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 K D\PPID BKD\"/>
    </mc:Choice>
  </mc:AlternateContent>
  <xr:revisionPtr revIDLastSave="0" documentId="8_{A5196AF0-9497-4CD3-BA25-3F10C55B3DE2}" xr6:coauthVersionLast="47" xr6:coauthVersionMax="47" xr10:uidLastSave="{00000000-0000-0000-0000-000000000000}"/>
  <bookViews>
    <workbookView xWindow="-120" yWindow="-120" windowWidth="20730" windowHeight="11160" firstSheet="13" activeTab="13" xr2:uid="{00000000-000D-0000-FFFF-FFFF00000000}"/>
  </bookViews>
  <sheets>
    <sheet name="01" sheetId="76" state="hidden" r:id="rId1"/>
    <sheet name="01 (5)" sheetId="87" state="hidden" r:id="rId2"/>
    <sheet name="02" sheetId="85" state="hidden" r:id="rId3"/>
    <sheet name="02 (4)" sheetId="96" state="hidden" r:id="rId4"/>
    <sheet name="03" sheetId="89" state="hidden" r:id="rId5"/>
    <sheet name="02 (3)" sheetId="88" state="hidden" r:id="rId6"/>
    <sheet name="02 (2)" sheetId="86" state="hidden" r:id="rId7"/>
    <sheet name="01 (4)" sheetId="84" state="hidden" r:id="rId8"/>
    <sheet name="01 (3)" sheetId="83" state="hidden" r:id="rId9"/>
    <sheet name="01 (2)" sheetId="82" state="hidden" r:id="rId10"/>
    <sheet name="03 (2)" sheetId="91" state="hidden" r:id="rId11"/>
    <sheet name="04" sheetId="92" state="hidden" r:id="rId12"/>
    <sheet name="04 (2)" sheetId="93" state="hidden" r:id="rId13"/>
    <sheet name="05" sheetId="94" r:id="rId14"/>
    <sheet name="Sheet2" sheetId="90" r:id="rId15"/>
  </sheets>
  <definedNames>
    <definedName name="_xlnm._FilterDatabase" localSheetId="0" hidden="1">'01'!$A$17:$U$45</definedName>
    <definedName name="_xlnm._FilterDatabase" localSheetId="9" hidden="1">'01 (2)'!$A$17:$U$45</definedName>
    <definedName name="_xlnm._FilterDatabase" localSheetId="8" hidden="1">'01 (3)'!$A$17:$U$45</definedName>
    <definedName name="_xlnm._FilterDatabase" localSheetId="7" hidden="1">'01 (4)'!$A$17:$U$45</definedName>
    <definedName name="_xlnm._FilterDatabase" localSheetId="1" hidden="1">'01 (5)'!$A$17:$U$45</definedName>
    <definedName name="_xlnm._FilterDatabase" localSheetId="2" hidden="1">'02'!$A$17:$U$45</definedName>
    <definedName name="_xlnm._FilterDatabase" localSheetId="6" hidden="1">'02 (2)'!$A$17:$U$45</definedName>
    <definedName name="_xlnm._FilterDatabase" localSheetId="5" hidden="1">'02 (3)'!$A$17:$U$45</definedName>
    <definedName name="_xlnm._FilterDatabase" localSheetId="3" hidden="1">'02 (4)'!$A$17:$U$45</definedName>
    <definedName name="_xlnm._FilterDatabase" localSheetId="4" hidden="1">'03'!$A$17:$U$45</definedName>
    <definedName name="_xlnm._FilterDatabase" localSheetId="10" hidden="1">'03 (2)'!$A$17:$U$45</definedName>
    <definedName name="_xlnm._FilterDatabase" localSheetId="11" hidden="1">'04'!$A$17:$U$45</definedName>
    <definedName name="_xlnm._FilterDatabase" localSheetId="12" hidden="1">'04 (2)'!$A$17:$U$45</definedName>
    <definedName name="_xlnm._FilterDatabase" localSheetId="13" hidden="1">'05'!$A$22:$U$50</definedName>
    <definedName name="_xlnm.Print_Area" localSheetId="0">'01'!$A$1:$N$434</definedName>
    <definedName name="_xlnm.Print_Area" localSheetId="9">'01 (2)'!$A$1:$N$433</definedName>
    <definedName name="_xlnm.Print_Area" localSheetId="8">'01 (3)'!$A$1:$N$434</definedName>
    <definedName name="_xlnm.Print_Area" localSheetId="7">'01 (4)'!$A$1:$N$434</definedName>
    <definedName name="_xlnm.Print_Area" localSheetId="1">'01 (5)'!$A$1:$N$434</definedName>
    <definedName name="_xlnm.Print_Area" localSheetId="2">'02'!$A$1:$N$434</definedName>
    <definedName name="_xlnm.Print_Area" localSheetId="6">'02 (2)'!$A$1:$N$434</definedName>
    <definedName name="_xlnm.Print_Area" localSheetId="5">'02 (3)'!$A$1:$N$434</definedName>
    <definedName name="_xlnm.Print_Area" localSheetId="3">'02 (4)'!$A$1:$N$434</definedName>
    <definedName name="_xlnm.Print_Area" localSheetId="4">'03'!$A$1:$N$434</definedName>
    <definedName name="_xlnm.Print_Area" localSheetId="10">'03 (2)'!$A$1:$N$434</definedName>
    <definedName name="_xlnm.Print_Area" localSheetId="11">'04'!$A$1:$N$434</definedName>
    <definedName name="_xlnm.Print_Area" localSheetId="12">'04 (2)'!$A$1:$N$434</definedName>
    <definedName name="_xlnm.Print_Area" localSheetId="13">'05'!$A$1:$N$389</definedName>
    <definedName name="_xlnm.Print_Titles" localSheetId="0">'01'!$13:$15</definedName>
    <definedName name="_xlnm.Print_Titles" localSheetId="9">'01 (2)'!$13:$15</definedName>
    <definedName name="_xlnm.Print_Titles" localSheetId="8">'01 (3)'!$13:$15</definedName>
    <definedName name="_xlnm.Print_Titles" localSheetId="7">'01 (4)'!$13:$15</definedName>
    <definedName name="_xlnm.Print_Titles" localSheetId="1">'01 (5)'!$13:$15</definedName>
    <definedName name="_xlnm.Print_Titles" localSheetId="2">'02'!$13:$15</definedName>
    <definedName name="_xlnm.Print_Titles" localSheetId="6">'02 (2)'!$13:$15</definedName>
    <definedName name="_xlnm.Print_Titles" localSheetId="5">'02 (3)'!$13:$15</definedName>
    <definedName name="_xlnm.Print_Titles" localSheetId="3">'02 (4)'!$13:$15</definedName>
    <definedName name="_xlnm.Print_Titles" localSheetId="4">'03'!$13:$15</definedName>
    <definedName name="_xlnm.Print_Titles" localSheetId="10">'03 (2)'!$13:$15</definedName>
    <definedName name="_xlnm.Print_Titles" localSheetId="11">'04'!$13:$15</definedName>
    <definedName name="_xlnm.Print_Titles" localSheetId="12">'04 (2)'!$13:$15</definedName>
    <definedName name="_xlnm.Print_Titles" localSheetId="13">'05'!$18:$20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1" i="94" l="1"/>
  <c r="S322" i="94"/>
  <c r="S326" i="94"/>
  <c r="S312" i="94"/>
  <c r="S323" i="94"/>
  <c r="S332" i="94"/>
  <c r="S331" i="94"/>
  <c r="S333" i="94"/>
  <c r="S316" i="94"/>
  <c r="S309" i="94"/>
  <c r="S299" i="94"/>
  <c r="S269" i="94"/>
  <c r="S259" i="94"/>
  <c r="S273" i="94"/>
  <c r="S202" i="94"/>
  <c r="S219" i="94"/>
  <c r="S176" i="94"/>
  <c r="S188" i="94"/>
  <c r="S187" i="94"/>
  <c r="S160" i="94"/>
  <c r="S36" i="94"/>
  <c r="S50" i="94"/>
  <c r="K316" i="94"/>
  <c r="K269" i="94"/>
  <c r="K259" i="94"/>
  <c r="K188" i="94"/>
  <c r="K187" i="94"/>
  <c r="K176" i="94"/>
  <c r="K123" i="94"/>
  <c r="K125" i="94"/>
  <c r="K353" i="94"/>
  <c r="K160" i="94"/>
  <c r="K273" i="94"/>
  <c r="K270" i="94"/>
  <c r="K271" i="94"/>
  <c r="K219" i="94"/>
  <c r="K326" i="94"/>
  <c r="K312" i="94"/>
  <c r="K36" i="94"/>
  <c r="K50" i="94"/>
  <c r="K202" i="94"/>
  <c r="K299" i="94"/>
  <c r="I419" i="96" l="1"/>
  <c r="M419" i="96" s="1"/>
  <c r="L418" i="96"/>
  <c r="M418" i="96" s="1"/>
  <c r="K418" i="96"/>
  <c r="I417" i="96"/>
  <c r="M417" i="96" s="1"/>
  <c r="H417" i="96"/>
  <c r="H416" i="96"/>
  <c r="I416" i="96" s="1"/>
  <c r="M416" i="96" s="1"/>
  <c r="H415" i="96"/>
  <c r="I415" i="96" s="1"/>
  <c r="M415" i="96" s="1"/>
  <c r="M414" i="96"/>
  <c r="I414" i="96"/>
  <c r="H414" i="96"/>
  <c r="I413" i="96"/>
  <c r="M413" i="96" s="1"/>
  <c r="H413" i="96"/>
  <c r="L412" i="96"/>
  <c r="I412" i="96"/>
  <c r="K410" i="96"/>
  <c r="L410" i="96" s="1"/>
  <c r="I410" i="96"/>
  <c r="K409" i="96"/>
  <c r="L409" i="96" s="1"/>
  <c r="I409" i="96"/>
  <c r="M409" i="96" s="1"/>
  <c r="L408" i="96"/>
  <c r="I408" i="96"/>
  <c r="H408" i="96"/>
  <c r="K407" i="96"/>
  <c r="L407" i="96" s="1"/>
  <c r="I407" i="96"/>
  <c r="K406" i="96"/>
  <c r="J406" i="96"/>
  <c r="L406" i="96" s="1"/>
  <c r="G406" i="96"/>
  <c r="M400" i="96"/>
  <c r="I400" i="96"/>
  <c r="K399" i="96"/>
  <c r="L399" i="96" s="1"/>
  <c r="M399" i="96" s="1"/>
  <c r="I398" i="96"/>
  <c r="M398" i="96" s="1"/>
  <c r="H398" i="96"/>
  <c r="M397" i="96"/>
  <c r="I397" i="96"/>
  <c r="H397" i="96"/>
  <c r="H396" i="96"/>
  <c r="I396" i="96" s="1"/>
  <c r="M396" i="96" s="1"/>
  <c r="H395" i="96"/>
  <c r="I395" i="96" s="1"/>
  <c r="M395" i="96" s="1"/>
  <c r="L394" i="96"/>
  <c r="H394" i="96"/>
  <c r="L393" i="96"/>
  <c r="I393" i="96"/>
  <c r="M393" i="96" s="1"/>
  <c r="K391" i="96"/>
  <c r="L391" i="96" s="1"/>
  <c r="M391" i="96" s="1"/>
  <c r="I391" i="96"/>
  <c r="L390" i="96"/>
  <c r="K390" i="96"/>
  <c r="I390" i="96"/>
  <c r="M390" i="96" s="1"/>
  <c r="M389" i="96"/>
  <c r="L389" i="96"/>
  <c r="H389" i="96"/>
  <c r="I389" i="96" s="1"/>
  <c r="K388" i="96"/>
  <c r="I388" i="96"/>
  <c r="J387" i="96"/>
  <c r="G387" i="96"/>
  <c r="L383" i="96"/>
  <c r="I383" i="96"/>
  <c r="M383" i="96" s="1"/>
  <c r="N383" i="96" s="1"/>
  <c r="L382" i="96"/>
  <c r="K382" i="96"/>
  <c r="K381" i="96" s="1"/>
  <c r="J382" i="96"/>
  <c r="H382" i="96"/>
  <c r="H381" i="96" s="1"/>
  <c r="G382" i="96"/>
  <c r="G381" i="96" s="1"/>
  <c r="F382" i="96"/>
  <c r="F381" i="96" s="1"/>
  <c r="J381" i="96"/>
  <c r="L381" i="96" s="1"/>
  <c r="L380" i="96"/>
  <c r="I380" i="96"/>
  <c r="M380" i="96" s="1"/>
  <c r="N380" i="96" s="1"/>
  <c r="K379" i="96"/>
  <c r="J379" i="96"/>
  <c r="J378" i="96" s="1"/>
  <c r="H379" i="96"/>
  <c r="H378" i="96" s="1"/>
  <c r="G379" i="96"/>
  <c r="F379" i="96"/>
  <c r="F378" i="96" s="1"/>
  <c r="K378" i="96"/>
  <c r="G378" i="96"/>
  <c r="G377" i="96" s="1"/>
  <c r="L374" i="96"/>
  <c r="I374" i="96"/>
  <c r="K373" i="96"/>
  <c r="K372" i="96" s="1"/>
  <c r="K371" i="96" s="1"/>
  <c r="K370" i="96" s="1"/>
  <c r="K369" i="96" s="1"/>
  <c r="J373" i="96"/>
  <c r="J372" i="96" s="1"/>
  <c r="H373" i="96"/>
  <c r="H372" i="96" s="1"/>
  <c r="H371" i="96" s="1"/>
  <c r="H370" i="96" s="1"/>
  <c r="H369" i="96" s="1"/>
  <c r="G373" i="96"/>
  <c r="G372" i="96" s="1"/>
  <c r="F373" i="96"/>
  <c r="L368" i="96"/>
  <c r="I368" i="96"/>
  <c r="M368" i="96" s="1"/>
  <c r="N368" i="96" s="1"/>
  <c r="M367" i="96"/>
  <c r="N367" i="96" s="1"/>
  <c r="L367" i="96"/>
  <c r="I367" i="96"/>
  <c r="K366" i="96"/>
  <c r="K363" i="96" s="1"/>
  <c r="K359" i="96" s="1"/>
  <c r="K358" i="96" s="1"/>
  <c r="K357" i="96" s="1"/>
  <c r="J366" i="96"/>
  <c r="I366" i="96"/>
  <c r="H366" i="96"/>
  <c r="G366" i="96"/>
  <c r="F366" i="96"/>
  <c r="M365" i="96"/>
  <c r="N365" i="96" s="1"/>
  <c r="L365" i="96"/>
  <c r="I365" i="96"/>
  <c r="K364" i="96"/>
  <c r="J364" i="96"/>
  <c r="L364" i="96" s="1"/>
  <c r="H364" i="96"/>
  <c r="H363" i="96" s="1"/>
  <c r="H359" i="96" s="1"/>
  <c r="H358" i="96" s="1"/>
  <c r="H357" i="96" s="1"/>
  <c r="G364" i="96"/>
  <c r="F364" i="96"/>
  <c r="F363" i="96"/>
  <c r="L362" i="96"/>
  <c r="I362" i="96"/>
  <c r="K361" i="96"/>
  <c r="K360" i="96" s="1"/>
  <c r="J361" i="96"/>
  <c r="J360" i="96" s="1"/>
  <c r="H361" i="96"/>
  <c r="H360" i="96" s="1"/>
  <c r="G361" i="96"/>
  <c r="G360" i="96" s="1"/>
  <c r="I360" i="96" s="1"/>
  <c r="F361" i="96"/>
  <c r="L356" i="96"/>
  <c r="I356" i="96"/>
  <c r="M356" i="96" s="1"/>
  <c r="N356" i="96" s="1"/>
  <c r="L355" i="96"/>
  <c r="K355" i="96"/>
  <c r="K354" i="96" s="1"/>
  <c r="J355" i="96"/>
  <c r="H355" i="96"/>
  <c r="H354" i="96" s="1"/>
  <c r="H353" i="96" s="1"/>
  <c r="H352" i="96" s="1"/>
  <c r="H351" i="96" s="1"/>
  <c r="G355" i="96"/>
  <c r="F355" i="96"/>
  <c r="F354" i="96" s="1"/>
  <c r="F353" i="96" s="1"/>
  <c r="J354" i="96"/>
  <c r="L354" i="96" s="1"/>
  <c r="L348" i="96"/>
  <c r="M348" i="96" s="1"/>
  <c r="N348" i="96" s="1"/>
  <c r="K347" i="96"/>
  <c r="K346" i="96" s="1"/>
  <c r="K345" i="96" s="1"/>
  <c r="K344" i="96" s="1"/>
  <c r="K343" i="96" s="1"/>
  <c r="J347" i="96"/>
  <c r="H347" i="96"/>
  <c r="H346" i="96" s="1"/>
  <c r="H345" i="96" s="1"/>
  <c r="H344" i="96" s="1"/>
  <c r="H343" i="96" s="1"/>
  <c r="G347" i="96"/>
  <c r="I347" i="96" s="1"/>
  <c r="F347" i="96"/>
  <c r="F346" i="96" s="1"/>
  <c r="L342" i="96"/>
  <c r="I342" i="96"/>
  <c r="M342" i="96" s="1"/>
  <c r="N342" i="96" s="1"/>
  <c r="K341" i="96"/>
  <c r="K340" i="96" s="1"/>
  <c r="K339" i="96" s="1"/>
  <c r="K338" i="96" s="1"/>
  <c r="K337" i="96" s="1"/>
  <c r="J341" i="96"/>
  <c r="J340" i="96" s="1"/>
  <c r="H341" i="96"/>
  <c r="H340" i="96" s="1"/>
  <c r="H339" i="96" s="1"/>
  <c r="H338" i="96" s="1"/>
  <c r="H337" i="96" s="1"/>
  <c r="G341" i="96"/>
  <c r="F341" i="96"/>
  <c r="F340" i="96" s="1"/>
  <c r="L336" i="96"/>
  <c r="I336" i="96"/>
  <c r="M336" i="96" s="1"/>
  <c r="N336" i="96" s="1"/>
  <c r="K335" i="96"/>
  <c r="K334" i="96" s="1"/>
  <c r="K333" i="96" s="1"/>
  <c r="K332" i="96" s="1"/>
  <c r="K331" i="96" s="1"/>
  <c r="J335" i="96"/>
  <c r="J334" i="96" s="1"/>
  <c r="H335" i="96"/>
  <c r="G335" i="96"/>
  <c r="G334" i="96" s="1"/>
  <c r="F335" i="96"/>
  <c r="H334" i="96"/>
  <c r="H333" i="96" s="1"/>
  <c r="H332" i="96" s="1"/>
  <c r="H331" i="96" s="1"/>
  <c r="L330" i="96"/>
  <c r="M330" i="96" s="1"/>
  <c r="N330" i="96" s="1"/>
  <c r="I330" i="96"/>
  <c r="S329" i="96"/>
  <c r="K329" i="96"/>
  <c r="L329" i="96" s="1"/>
  <c r="M329" i="96" s="1"/>
  <c r="N329" i="96" s="1"/>
  <c r="S328" i="96"/>
  <c r="K328" i="96"/>
  <c r="L328" i="96" s="1"/>
  <c r="M328" i="96" s="1"/>
  <c r="N328" i="96" s="1"/>
  <c r="S327" i="96"/>
  <c r="K327" i="96"/>
  <c r="L327" i="96" s="1"/>
  <c r="M327" i="96" s="1"/>
  <c r="N327" i="96" s="1"/>
  <c r="S326" i="96"/>
  <c r="K326" i="96"/>
  <c r="K323" i="96" s="1"/>
  <c r="K322" i="96" s="1"/>
  <c r="L325" i="96"/>
  <c r="M325" i="96" s="1"/>
  <c r="N325" i="96" s="1"/>
  <c r="L324" i="96"/>
  <c r="M324" i="96" s="1"/>
  <c r="N324" i="96" s="1"/>
  <c r="J323" i="96"/>
  <c r="J322" i="96" s="1"/>
  <c r="H323" i="96"/>
  <c r="G323" i="96"/>
  <c r="F323" i="96"/>
  <c r="F322" i="96" s="1"/>
  <c r="H322" i="96"/>
  <c r="L321" i="96"/>
  <c r="M321" i="96" s="1"/>
  <c r="N321" i="96" s="1"/>
  <c r="K320" i="96"/>
  <c r="K319" i="96" s="1"/>
  <c r="J320" i="96"/>
  <c r="J319" i="96" s="1"/>
  <c r="H320" i="96"/>
  <c r="G320" i="96"/>
  <c r="G319" i="96" s="1"/>
  <c r="I319" i="96" s="1"/>
  <c r="F320" i="96"/>
  <c r="H319" i="96"/>
  <c r="M318" i="96"/>
  <c r="N318" i="96" s="1"/>
  <c r="L318" i="96"/>
  <c r="S317" i="96"/>
  <c r="M317" i="96"/>
  <c r="N317" i="96" s="1"/>
  <c r="L317" i="96"/>
  <c r="K316" i="96"/>
  <c r="J316" i="96"/>
  <c r="H316" i="96"/>
  <c r="H315" i="96" s="1"/>
  <c r="G316" i="96"/>
  <c r="G315" i="96" s="1"/>
  <c r="F316" i="96"/>
  <c r="J315" i="96"/>
  <c r="F315" i="96"/>
  <c r="S311" i="96"/>
  <c r="K311" i="96"/>
  <c r="L311" i="96" s="1"/>
  <c r="I311" i="96"/>
  <c r="K310" i="96"/>
  <c r="K309" i="96" s="1"/>
  <c r="J310" i="96"/>
  <c r="J309" i="96" s="1"/>
  <c r="H310" i="96"/>
  <c r="H309" i="96" s="1"/>
  <c r="G310" i="96"/>
  <c r="G309" i="96" s="1"/>
  <c r="F310" i="96"/>
  <c r="L308" i="96"/>
  <c r="I308" i="96"/>
  <c r="M308" i="96" s="1"/>
  <c r="N308" i="96" s="1"/>
  <c r="L307" i="96"/>
  <c r="I307" i="96"/>
  <c r="M307" i="96" s="1"/>
  <c r="N307" i="96" s="1"/>
  <c r="K306" i="96"/>
  <c r="J306" i="96"/>
  <c r="L306" i="96" s="1"/>
  <c r="I306" i="96"/>
  <c r="H306" i="96"/>
  <c r="H305" i="96" s="1"/>
  <c r="G306" i="96"/>
  <c r="F306" i="96"/>
  <c r="F305" i="96" s="1"/>
  <c r="K305" i="96"/>
  <c r="J305" i="96"/>
  <c r="L305" i="96" s="1"/>
  <c r="G305" i="96"/>
  <c r="S304" i="96"/>
  <c r="L304" i="96"/>
  <c r="M304" i="96" s="1"/>
  <c r="N304" i="96" s="1"/>
  <c r="K304" i="96"/>
  <c r="K303" i="96"/>
  <c r="K302" i="96" s="1"/>
  <c r="K301" i="96" s="1"/>
  <c r="K300" i="96" s="1"/>
  <c r="K299" i="96" s="1"/>
  <c r="J303" i="96"/>
  <c r="H303" i="96"/>
  <c r="H302" i="96" s="1"/>
  <c r="G303" i="96"/>
  <c r="G302" i="96" s="1"/>
  <c r="F303" i="96"/>
  <c r="J302" i="96"/>
  <c r="F302" i="96"/>
  <c r="L296" i="96"/>
  <c r="M296" i="96" s="1"/>
  <c r="N296" i="96" s="1"/>
  <c r="L295" i="96"/>
  <c r="I295" i="96"/>
  <c r="M295" i="96" s="1"/>
  <c r="N295" i="96" s="1"/>
  <c r="L294" i="96"/>
  <c r="I294" i="96"/>
  <c r="M294" i="96" s="1"/>
  <c r="N294" i="96" s="1"/>
  <c r="L293" i="96"/>
  <c r="I293" i="96"/>
  <c r="K292" i="96"/>
  <c r="J292" i="96"/>
  <c r="H292" i="96"/>
  <c r="H291" i="96" s="1"/>
  <c r="G292" i="96"/>
  <c r="F292" i="96"/>
  <c r="K291" i="96"/>
  <c r="L290" i="96"/>
  <c r="M290" i="96" s="1"/>
  <c r="N290" i="96" s="1"/>
  <c r="L289" i="96"/>
  <c r="M289" i="96" s="1"/>
  <c r="N289" i="96" s="1"/>
  <c r="M288" i="96"/>
  <c r="N288" i="96" s="1"/>
  <c r="L288" i="96"/>
  <c r="L287" i="96"/>
  <c r="I287" i="96"/>
  <c r="L286" i="96"/>
  <c r="M286" i="96" s="1"/>
  <c r="N286" i="96" s="1"/>
  <c r="L285" i="96"/>
  <c r="M285" i="96" s="1"/>
  <c r="N285" i="96" s="1"/>
  <c r="M284" i="96"/>
  <c r="N284" i="96" s="1"/>
  <c r="L284" i="96"/>
  <c r="L283" i="96"/>
  <c r="I283" i="96"/>
  <c r="M283" i="96" s="1"/>
  <c r="N283" i="96" s="1"/>
  <c r="K282" i="96"/>
  <c r="J282" i="96"/>
  <c r="L282" i="96" s="1"/>
  <c r="H282" i="96"/>
  <c r="H281" i="96" s="1"/>
  <c r="G282" i="96"/>
  <c r="F282" i="96"/>
  <c r="F281" i="96" s="1"/>
  <c r="K281" i="96"/>
  <c r="K280" i="96" s="1"/>
  <c r="K279" i="96" s="1"/>
  <c r="K278" i="96" s="1"/>
  <c r="L277" i="96"/>
  <c r="I277" i="96"/>
  <c r="M277" i="96" s="1"/>
  <c r="N277" i="96" s="1"/>
  <c r="I276" i="96"/>
  <c r="M276" i="96" s="1"/>
  <c r="N276" i="96" s="1"/>
  <c r="M275" i="96"/>
  <c r="N275" i="96" s="1"/>
  <c r="I275" i="96"/>
  <c r="L274" i="96"/>
  <c r="M274" i="96" s="1"/>
  <c r="N274" i="96" s="1"/>
  <c r="I274" i="96"/>
  <c r="K273" i="96"/>
  <c r="K272" i="96" s="1"/>
  <c r="J273" i="96"/>
  <c r="H273" i="96"/>
  <c r="H272" i="96" s="1"/>
  <c r="H271" i="96" s="1"/>
  <c r="H270" i="96" s="1"/>
  <c r="H269" i="96" s="1"/>
  <c r="G273" i="96"/>
  <c r="F273" i="96"/>
  <c r="F272" i="96"/>
  <c r="K271" i="96"/>
  <c r="K270" i="96" s="1"/>
  <c r="K269" i="96" s="1"/>
  <c r="S268" i="96"/>
  <c r="K268" i="96"/>
  <c r="L268" i="96" s="1"/>
  <c r="I268" i="96"/>
  <c r="S267" i="96"/>
  <c r="K267" i="96"/>
  <c r="L267" i="96" s="1"/>
  <c r="I267" i="96"/>
  <c r="T266" i="96"/>
  <c r="L266" i="96"/>
  <c r="H266" i="96"/>
  <c r="H263" i="96" s="1"/>
  <c r="H262" i="96" s="1"/>
  <c r="L265" i="96"/>
  <c r="I265" i="96"/>
  <c r="S264" i="96"/>
  <c r="L264" i="96"/>
  <c r="M264" i="96" s="1"/>
  <c r="N264" i="96" s="1"/>
  <c r="K264" i="96"/>
  <c r="I264" i="96"/>
  <c r="J263" i="96"/>
  <c r="J262" i="96" s="1"/>
  <c r="G263" i="96"/>
  <c r="G262" i="96" s="1"/>
  <c r="F263" i="96"/>
  <c r="F262" i="96" s="1"/>
  <c r="K261" i="96"/>
  <c r="K260" i="96" s="1"/>
  <c r="K259" i="96" s="1"/>
  <c r="I261" i="96"/>
  <c r="J260" i="96"/>
  <c r="H260" i="96"/>
  <c r="H259" i="96" s="1"/>
  <c r="I259" i="96" s="1"/>
  <c r="G260" i="96"/>
  <c r="G259" i="96" s="1"/>
  <c r="F260" i="96"/>
  <c r="J259" i="96"/>
  <c r="F259" i="96"/>
  <c r="L255" i="96"/>
  <c r="I255" i="96"/>
  <c r="M255" i="96" s="1"/>
  <c r="N255" i="96" s="1"/>
  <c r="L254" i="96"/>
  <c r="I254" i="96"/>
  <c r="M254" i="96" s="1"/>
  <c r="N254" i="96" s="1"/>
  <c r="L253" i="96"/>
  <c r="I253" i="96"/>
  <c r="M253" i="96" s="1"/>
  <c r="N253" i="96" s="1"/>
  <c r="K252" i="96"/>
  <c r="K251" i="96" s="1"/>
  <c r="K250" i="96" s="1"/>
  <c r="K249" i="96" s="1"/>
  <c r="K248" i="96" s="1"/>
  <c r="J252" i="96"/>
  <c r="L252" i="96" s="1"/>
  <c r="H252" i="96"/>
  <c r="H251" i="96" s="1"/>
  <c r="H250" i="96" s="1"/>
  <c r="H249" i="96" s="1"/>
  <c r="H248" i="96" s="1"/>
  <c r="G252" i="96"/>
  <c r="F252" i="96"/>
  <c r="F251" i="96" s="1"/>
  <c r="F250" i="96" s="1"/>
  <c r="I245" i="96"/>
  <c r="M245" i="96" s="1"/>
  <c r="N245" i="96" s="1"/>
  <c r="K244" i="96"/>
  <c r="K243" i="96" s="1"/>
  <c r="J244" i="96"/>
  <c r="J243" i="96" s="1"/>
  <c r="J242" i="96" s="1"/>
  <c r="H244" i="96"/>
  <c r="G244" i="96"/>
  <c r="G243" i="96" s="1"/>
  <c r="F244" i="96"/>
  <c r="F243" i="96" s="1"/>
  <c r="F242" i="96" s="1"/>
  <c r="H243" i="96"/>
  <c r="H242" i="96" s="1"/>
  <c r="H241" i="96"/>
  <c r="H240" i="96" s="1"/>
  <c r="H239" i="96" s="1"/>
  <c r="L237" i="96"/>
  <c r="I237" i="96"/>
  <c r="M237" i="96" s="1"/>
  <c r="N237" i="96" s="1"/>
  <c r="K236" i="96"/>
  <c r="K235" i="96" s="1"/>
  <c r="J236" i="96"/>
  <c r="H236" i="96"/>
  <c r="G236" i="96"/>
  <c r="G235" i="96" s="1"/>
  <c r="G234" i="96" s="1"/>
  <c r="G232" i="96" s="1"/>
  <c r="F236" i="96"/>
  <c r="F235" i="96" s="1"/>
  <c r="F234" i="96" s="1"/>
  <c r="H235" i="96"/>
  <c r="H234" i="96" s="1"/>
  <c r="K234" i="96"/>
  <c r="K232" i="96" s="1"/>
  <c r="K231" i="96" s="1"/>
  <c r="L233" i="96"/>
  <c r="I233" i="96"/>
  <c r="H232" i="96"/>
  <c r="H231" i="96" s="1"/>
  <c r="F232" i="96"/>
  <c r="F231" i="96" s="1"/>
  <c r="L230" i="96"/>
  <c r="I230" i="96"/>
  <c r="L229" i="96"/>
  <c r="I229" i="96"/>
  <c r="L228" i="96"/>
  <c r="M228" i="96" s="1"/>
  <c r="N228" i="96" s="1"/>
  <c r="I228" i="96"/>
  <c r="K227" i="96"/>
  <c r="K226" i="96" s="1"/>
  <c r="J227" i="96"/>
  <c r="L227" i="96" s="1"/>
  <c r="H227" i="96"/>
  <c r="H226" i="96" s="1"/>
  <c r="G227" i="96"/>
  <c r="G226" i="96" s="1"/>
  <c r="F227" i="96"/>
  <c r="J226" i="96"/>
  <c r="J222" i="96" s="1"/>
  <c r="F226" i="96"/>
  <c r="L225" i="96"/>
  <c r="I225" i="96"/>
  <c r="K224" i="96"/>
  <c r="J224" i="96"/>
  <c r="J223" i="96" s="1"/>
  <c r="L223" i="96" s="1"/>
  <c r="H224" i="96"/>
  <c r="G224" i="96"/>
  <c r="G223" i="96" s="1"/>
  <c r="G222" i="96" s="1"/>
  <c r="F224" i="96"/>
  <c r="F223" i="96" s="1"/>
  <c r="K223" i="96"/>
  <c r="K222" i="96" s="1"/>
  <c r="K221" i="96" s="1"/>
  <c r="H223" i="96"/>
  <c r="F222" i="96"/>
  <c r="I220" i="96"/>
  <c r="M220" i="96" s="1"/>
  <c r="N220" i="96" s="1"/>
  <c r="L219" i="96"/>
  <c r="M219" i="96" s="1"/>
  <c r="N219" i="96" s="1"/>
  <c r="L218" i="96"/>
  <c r="I218" i="96"/>
  <c r="M218" i="96" s="1"/>
  <c r="N218" i="96" s="1"/>
  <c r="K217" i="96"/>
  <c r="K216" i="96" s="1"/>
  <c r="J217" i="96"/>
  <c r="H217" i="96"/>
  <c r="H216" i="96" s="1"/>
  <c r="G217" i="96"/>
  <c r="F217" i="96"/>
  <c r="J216" i="96"/>
  <c r="L216" i="96" s="1"/>
  <c r="L215" i="96"/>
  <c r="I215" i="96"/>
  <c r="L214" i="96"/>
  <c r="I214" i="96"/>
  <c r="K213" i="96"/>
  <c r="L213" i="96" s="1"/>
  <c r="J213" i="96"/>
  <c r="J212" i="96" s="1"/>
  <c r="H213" i="96"/>
  <c r="H212" i="96" s="1"/>
  <c r="H208" i="96" s="1"/>
  <c r="H207" i="96" s="1"/>
  <c r="G213" i="96"/>
  <c r="F213" i="96"/>
  <c r="F212" i="96" s="1"/>
  <c r="L211" i="96"/>
  <c r="I211" i="96"/>
  <c r="M211" i="96" s="1"/>
  <c r="N211" i="96" s="1"/>
  <c r="K210" i="96"/>
  <c r="J210" i="96"/>
  <c r="L210" i="96" s="1"/>
  <c r="I210" i="96"/>
  <c r="H210" i="96"/>
  <c r="H209" i="96" s="1"/>
  <c r="G210" i="96"/>
  <c r="F210" i="96"/>
  <c r="K209" i="96"/>
  <c r="J209" i="96"/>
  <c r="L209" i="96" s="1"/>
  <c r="I209" i="96"/>
  <c r="M209" i="96" s="1"/>
  <c r="G209" i="96"/>
  <c r="L205" i="96"/>
  <c r="I205" i="96"/>
  <c r="M205" i="96" s="1"/>
  <c r="N205" i="96" s="1"/>
  <c r="K204" i="96"/>
  <c r="K203" i="96" s="1"/>
  <c r="K202" i="96" s="1"/>
  <c r="K201" i="96" s="1"/>
  <c r="K199" i="96" s="1"/>
  <c r="K198" i="96" s="1"/>
  <c r="J204" i="96"/>
  <c r="J203" i="96" s="1"/>
  <c r="H204" i="96"/>
  <c r="G204" i="96"/>
  <c r="F204" i="96"/>
  <c r="F203" i="96" s="1"/>
  <c r="H203" i="96"/>
  <c r="H202" i="96" s="1"/>
  <c r="H201" i="96" s="1"/>
  <c r="H199" i="96" s="1"/>
  <c r="H198" i="96" s="1"/>
  <c r="L200" i="96"/>
  <c r="I200" i="96"/>
  <c r="F199" i="96"/>
  <c r="F198" i="96" s="1"/>
  <c r="L197" i="96"/>
  <c r="M197" i="96" s="1"/>
  <c r="N197" i="96" s="1"/>
  <c r="I197" i="96"/>
  <c r="L196" i="96"/>
  <c r="I196" i="96"/>
  <c r="K195" i="96"/>
  <c r="K194" i="96" s="1"/>
  <c r="J195" i="96"/>
  <c r="H195" i="96"/>
  <c r="H194" i="96" s="1"/>
  <c r="G195" i="96"/>
  <c r="G194" i="96" s="1"/>
  <c r="F195" i="96"/>
  <c r="F194" i="96"/>
  <c r="L193" i="96"/>
  <c r="M193" i="96" s="1"/>
  <c r="N193" i="96" s="1"/>
  <c r="M192" i="96"/>
  <c r="N192" i="96" s="1"/>
  <c r="L192" i="96"/>
  <c r="L191" i="96"/>
  <c r="M191" i="96" s="1"/>
  <c r="N191" i="96" s="1"/>
  <c r="L190" i="96"/>
  <c r="M190" i="96" s="1"/>
  <c r="N190" i="96" s="1"/>
  <c r="L189" i="96"/>
  <c r="I189" i="96"/>
  <c r="K188" i="96"/>
  <c r="K187" i="96" s="1"/>
  <c r="K186" i="96" s="1"/>
  <c r="K185" i="96" s="1"/>
  <c r="K184" i="96" s="1"/>
  <c r="J188" i="96"/>
  <c r="J187" i="96" s="1"/>
  <c r="H188" i="96"/>
  <c r="H187" i="96" s="1"/>
  <c r="G188" i="96"/>
  <c r="F188" i="96"/>
  <c r="F187" i="96" s="1"/>
  <c r="S183" i="96"/>
  <c r="S19" i="96" s="1"/>
  <c r="L183" i="96"/>
  <c r="M183" i="96" s="1"/>
  <c r="N183" i="96" s="1"/>
  <c r="K183" i="96"/>
  <c r="S182" i="96"/>
  <c r="K182" i="96"/>
  <c r="I182" i="96"/>
  <c r="J181" i="96"/>
  <c r="J180" i="96" s="1"/>
  <c r="H181" i="96"/>
  <c r="G181" i="96"/>
  <c r="F181" i="96"/>
  <c r="F180" i="96" s="1"/>
  <c r="H180" i="96"/>
  <c r="H175" i="96" s="1"/>
  <c r="H174" i="96" s="1"/>
  <c r="H173" i="96" s="1"/>
  <c r="G180" i="96"/>
  <c r="L179" i="96"/>
  <c r="M179" i="96" s="1"/>
  <c r="N179" i="96" s="1"/>
  <c r="I179" i="96"/>
  <c r="L178" i="96"/>
  <c r="I178" i="96"/>
  <c r="L177" i="96"/>
  <c r="K177" i="96"/>
  <c r="K176" i="96" s="1"/>
  <c r="J177" i="96"/>
  <c r="H177" i="96"/>
  <c r="H176" i="96" s="1"/>
  <c r="G177" i="96"/>
  <c r="G176" i="96" s="1"/>
  <c r="I176" i="96" s="1"/>
  <c r="F177" i="96"/>
  <c r="F176" i="96" s="1"/>
  <c r="J176" i="96"/>
  <c r="G175" i="96"/>
  <c r="L172" i="96"/>
  <c r="M172" i="96" s="1"/>
  <c r="N172" i="96" s="1"/>
  <c r="S171" i="96"/>
  <c r="L171" i="96"/>
  <c r="K171" i="96"/>
  <c r="K169" i="96" s="1"/>
  <c r="K168" i="96" s="1"/>
  <c r="K167" i="96" s="1"/>
  <c r="K166" i="96" s="1"/>
  <c r="K165" i="96" s="1"/>
  <c r="I171" i="96"/>
  <c r="L170" i="96"/>
  <c r="I170" i="96"/>
  <c r="M170" i="96" s="1"/>
  <c r="N170" i="96" s="1"/>
  <c r="J169" i="96"/>
  <c r="J168" i="96" s="1"/>
  <c r="H169" i="96"/>
  <c r="G169" i="96"/>
  <c r="F169" i="96"/>
  <c r="F168" i="96" s="1"/>
  <c r="H168" i="96"/>
  <c r="H167" i="96" s="1"/>
  <c r="H166" i="96" s="1"/>
  <c r="H165" i="96" s="1"/>
  <c r="L164" i="96"/>
  <c r="I164" i="96"/>
  <c r="M164" i="96" s="1"/>
  <c r="N164" i="96" s="1"/>
  <c r="L163" i="96"/>
  <c r="I163" i="96"/>
  <c r="M163" i="96" s="1"/>
  <c r="N163" i="96" s="1"/>
  <c r="K162" i="96"/>
  <c r="L162" i="96" s="1"/>
  <c r="J162" i="96"/>
  <c r="H162" i="96"/>
  <c r="G162" i="96"/>
  <c r="I162" i="96" s="1"/>
  <c r="F162" i="96"/>
  <c r="L161" i="96"/>
  <c r="I161" i="96"/>
  <c r="K160" i="96"/>
  <c r="K159" i="96" s="1"/>
  <c r="J160" i="96"/>
  <c r="H160" i="96"/>
  <c r="H159" i="96" s="1"/>
  <c r="G160" i="96"/>
  <c r="F160" i="96"/>
  <c r="F159" i="96"/>
  <c r="L158" i="96"/>
  <c r="I158" i="96"/>
  <c r="M158" i="96" s="1"/>
  <c r="N158" i="96" s="1"/>
  <c r="K157" i="96"/>
  <c r="K156" i="96" s="1"/>
  <c r="J157" i="96"/>
  <c r="H157" i="96"/>
  <c r="G157" i="96"/>
  <c r="I157" i="96" s="1"/>
  <c r="F157" i="96"/>
  <c r="F156" i="96" s="1"/>
  <c r="J156" i="96"/>
  <c r="G156" i="96"/>
  <c r="L155" i="96"/>
  <c r="I155" i="96"/>
  <c r="L154" i="96"/>
  <c r="I154" i="96"/>
  <c r="L153" i="96"/>
  <c r="K153" i="96"/>
  <c r="J153" i="96"/>
  <c r="H153" i="96"/>
  <c r="I153" i="96" s="1"/>
  <c r="M153" i="96" s="1"/>
  <c r="G153" i="96"/>
  <c r="G149" i="96" s="1"/>
  <c r="F153" i="96"/>
  <c r="M152" i="96"/>
  <c r="N152" i="96" s="1"/>
  <c r="L152" i="96"/>
  <c r="I152" i="96"/>
  <c r="M151" i="96"/>
  <c r="N151" i="96" s="1"/>
  <c r="L151" i="96"/>
  <c r="I151" i="96"/>
  <c r="K150" i="96"/>
  <c r="K149" i="96" s="1"/>
  <c r="J150" i="96"/>
  <c r="H150" i="96"/>
  <c r="G150" i="96"/>
  <c r="I150" i="96" s="1"/>
  <c r="F150" i="96"/>
  <c r="J149" i="96"/>
  <c r="F149" i="96"/>
  <c r="L146" i="96"/>
  <c r="M146" i="96" s="1"/>
  <c r="N146" i="96" s="1"/>
  <c r="I146" i="96"/>
  <c r="L145" i="96"/>
  <c r="I145" i="96"/>
  <c r="M145" i="96" s="1"/>
  <c r="N145" i="96" s="1"/>
  <c r="L144" i="96"/>
  <c r="M144" i="96" s="1"/>
  <c r="N144" i="96" s="1"/>
  <c r="I144" i="96"/>
  <c r="K143" i="96"/>
  <c r="J143" i="96"/>
  <c r="H143" i="96"/>
  <c r="H142" i="96" s="1"/>
  <c r="H141" i="96" s="1"/>
  <c r="H140" i="96" s="1"/>
  <c r="G143" i="96"/>
  <c r="F143" i="96"/>
  <c r="K142" i="96"/>
  <c r="J142" i="96"/>
  <c r="J141" i="96" s="1"/>
  <c r="F142" i="96"/>
  <c r="F141" i="96" s="1"/>
  <c r="K141" i="96"/>
  <c r="K140" i="96" s="1"/>
  <c r="L136" i="96"/>
  <c r="I136" i="96"/>
  <c r="L135" i="96"/>
  <c r="I135" i="96"/>
  <c r="M135" i="96" s="1"/>
  <c r="N135" i="96" s="1"/>
  <c r="L134" i="96"/>
  <c r="I134" i="96"/>
  <c r="L133" i="96"/>
  <c r="I133" i="96"/>
  <c r="K132" i="96"/>
  <c r="K131" i="96" s="1"/>
  <c r="J132" i="96"/>
  <c r="J131" i="96" s="1"/>
  <c r="L131" i="96" s="1"/>
  <c r="H132" i="96"/>
  <c r="H131" i="96" s="1"/>
  <c r="G132" i="96"/>
  <c r="G131" i="96" s="1"/>
  <c r="F132" i="96"/>
  <c r="M130" i="96"/>
  <c r="N130" i="96" s="1"/>
  <c r="L130" i="96"/>
  <c r="I130" i="96"/>
  <c r="M129" i="96"/>
  <c r="N129" i="96" s="1"/>
  <c r="L129" i="96"/>
  <c r="I129" i="96"/>
  <c r="M128" i="96"/>
  <c r="N128" i="96" s="1"/>
  <c r="L128" i="96"/>
  <c r="I128" i="96"/>
  <c r="K127" i="96"/>
  <c r="K126" i="96" s="1"/>
  <c r="J127" i="96"/>
  <c r="H127" i="96"/>
  <c r="H126" i="96" s="1"/>
  <c r="G127" i="96"/>
  <c r="F127" i="96"/>
  <c r="F126" i="96" s="1"/>
  <c r="J126" i="96"/>
  <c r="L120" i="96"/>
  <c r="I120" i="96"/>
  <c r="M120" i="96" s="1"/>
  <c r="N120" i="96" s="1"/>
  <c r="L119" i="96"/>
  <c r="I119" i="96"/>
  <c r="M119" i="96" s="1"/>
  <c r="N119" i="96" s="1"/>
  <c r="S118" i="96"/>
  <c r="L118" i="96"/>
  <c r="M118" i="96" s="1"/>
  <c r="N118" i="96" s="1"/>
  <c r="I118" i="96"/>
  <c r="L117" i="96"/>
  <c r="K117" i="96"/>
  <c r="K116" i="96" s="1"/>
  <c r="K115" i="96" s="1"/>
  <c r="K114" i="96" s="1"/>
  <c r="K113" i="96" s="1"/>
  <c r="K99" i="96" s="1"/>
  <c r="L99" i="96" s="1"/>
  <c r="J117" i="96"/>
  <c r="H117" i="96"/>
  <c r="H116" i="96" s="1"/>
  <c r="H115" i="96" s="1"/>
  <c r="H114" i="96" s="1"/>
  <c r="H113" i="96" s="1"/>
  <c r="G117" i="96"/>
  <c r="G116" i="96" s="1"/>
  <c r="F117" i="96"/>
  <c r="J116" i="96"/>
  <c r="J115" i="96" s="1"/>
  <c r="J114" i="96" s="1"/>
  <c r="F116" i="96"/>
  <c r="F115" i="96" s="1"/>
  <c r="F114" i="96" s="1"/>
  <c r="M112" i="96"/>
  <c r="N112" i="96" s="1"/>
  <c r="L112" i="96"/>
  <c r="I112" i="96"/>
  <c r="M111" i="96"/>
  <c r="N111" i="96" s="1"/>
  <c r="L111" i="96"/>
  <c r="I111" i="96"/>
  <c r="M110" i="96"/>
  <c r="N110" i="96" s="1"/>
  <c r="L110" i="96"/>
  <c r="I110" i="96"/>
  <c r="M109" i="96"/>
  <c r="N109" i="96" s="1"/>
  <c r="L109" i="96"/>
  <c r="I109" i="96"/>
  <c r="M108" i="96"/>
  <c r="N108" i="96" s="1"/>
  <c r="L108" i="96"/>
  <c r="I108" i="96"/>
  <c r="M107" i="96"/>
  <c r="N107" i="96" s="1"/>
  <c r="L107" i="96"/>
  <c r="I107" i="96"/>
  <c r="M106" i="96"/>
  <c r="N106" i="96" s="1"/>
  <c r="L106" i="96"/>
  <c r="I106" i="96"/>
  <c r="M105" i="96"/>
  <c r="N105" i="96" s="1"/>
  <c r="L105" i="96"/>
  <c r="I105" i="96"/>
  <c r="M104" i="96"/>
  <c r="N104" i="96" s="1"/>
  <c r="L104" i="96"/>
  <c r="I104" i="96"/>
  <c r="M103" i="96"/>
  <c r="N103" i="96" s="1"/>
  <c r="L103" i="96"/>
  <c r="I103" i="96"/>
  <c r="K102" i="96"/>
  <c r="J102" i="96"/>
  <c r="H102" i="96"/>
  <c r="H101" i="96" s="1"/>
  <c r="G102" i="96"/>
  <c r="I102" i="96" s="1"/>
  <c r="F102" i="96"/>
  <c r="K101" i="96"/>
  <c r="K95" i="96" s="1"/>
  <c r="L95" i="96" s="1"/>
  <c r="J101" i="96"/>
  <c r="F101" i="96"/>
  <c r="L100" i="96"/>
  <c r="I100" i="96"/>
  <c r="H99" i="96"/>
  <c r="G99" i="96"/>
  <c r="F99" i="96"/>
  <c r="L98" i="96"/>
  <c r="I98" i="96"/>
  <c r="L97" i="96"/>
  <c r="I97" i="96"/>
  <c r="M97" i="96" s="1"/>
  <c r="N97" i="96" s="1"/>
  <c r="L96" i="96"/>
  <c r="I96" i="96"/>
  <c r="M96" i="96" s="1"/>
  <c r="N96" i="96" s="1"/>
  <c r="J95" i="96"/>
  <c r="H95" i="96"/>
  <c r="G95" i="96"/>
  <c r="I95" i="96" s="1"/>
  <c r="F95" i="96"/>
  <c r="L94" i="96"/>
  <c r="I94" i="96"/>
  <c r="L93" i="96"/>
  <c r="M93" i="96" s="1"/>
  <c r="N93" i="96" s="1"/>
  <c r="I93" i="96"/>
  <c r="L92" i="96"/>
  <c r="M92" i="96" s="1"/>
  <c r="N92" i="96" s="1"/>
  <c r="I92" i="96"/>
  <c r="L91" i="96"/>
  <c r="I91" i="96"/>
  <c r="L90" i="96"/>
  <c r="M90" i="96" s="1"/>
  <c r="N90" i="96" s="1"/>
  <c r="I90" i="96"/>
  <c r="L89" i="96"/>
  <c r="M89" i="96" s="1"/>
  <c r="N89" i="96" s="1"/>
  <c r="I89" i="96"/>
  <c r="L88" i="96"/>
  <c r="I88" i="96"/>
  <c r="L87" i="96"/>
  <c r="M87" i="96" s="1"/>
  <c r="N87" i="96" s="1"/>
  <c r="I87" i="96"/>
  <c r="L86" i="96"/>
  <c r="M86" i="96" s="1"/>
  <c r="N86" i="96" s="1"/>
  <c r="I86" i="96"/>
  <c r="L85" i="96"/>
  <c r="I85" i="96"/>
  <c r="L84" i="96"/>
  <c r="K84" i="96"/>
  <c r="H84" i="96"/>
  <c r="H83" i="96" s="1"/>
  <c r="G84" i="96"/>
  <c r="G83" i="96" s="1"/>
  <c r="I83" i="96" s="1"/>
  <c r="M83" i="96" s="1"/>
  <c r="F84" i="96"/>
  <c r="L83" i="96"/>
  <c r="K83" i="96"/>
  <c r="I82" i="96"/>
  <c r="M82" i="96" s="1"/>
  <c r="N82" i="96" s="1"/>
  <c r="K81" i="96"/>
  <c r="L81" i="96" s="1"/>
  <c r="H81" i="96"/>
  <c r="G81" i="96"/>
  <c r="I81" i="96" s="1"/>
  <c r="F81" i="96"/>
  <c r="I80" i="96"/>
  <c r="M80" i="96" s="1"/>
  <c r="N80" i="96" s="1"/>
  <c r="K79" i="96"/>
  <c r="L79" i="96" s="1"/>
  <c r="H79" i="96"/>
  <c r="G79" i="96"/>
  <c r="I79" i="96" s="1"/>
  <c r="F79" i="96"/>
  <c r="L78" i="96"/>
  <c r="I78" i="96"/>
  <c r="M78" i="96" s="1"/>
  <c r="N78" i="96" s="1"/>
  <c r="K77" i="96"/>
  <c r="L77" i="96" s="1"/>
  <c r="H77" i="96"/>
  <c r="G77" i="96"/>
  <c r="F77" i="96"/>
  <c r="K76" i="96"/>
  <c r="L76" i="96" s="1"/>
  <c r="F76" i="96"/>
  <c r="L75" i="96"/>
  <c r="I75" i="96"/>
  <c r="K74" i="96"/>
  <c r="L74" i="96" s="1"/>
  <c r="I74" i="96"/>
  <c r="H74" i="96"/>
  <c r="G74" i="96"/>
  <c r="F74" i="96"/>
  <c r="L73" i="96"/>
  <c r="I73" i="96"/>
  <c r="M73" i="96" s="1"/>
  <c r="N73" i="96" s="1"/>
  <c r="K72" i="96"/>
  <c r="L72" i="96" s="1"/>
  <c r="H72" i="96"/>
  <c r="G72" i="96"/>
  <c r="I72" i="96" s="1"/>
  <c r="M72" i="96" s="1"/>
  <c r="N72" i="96" s="1"/>
  <c r="F72" i="96"/>
  <c r="L71" i="96"/>
  <c r="I71" i="96"/>
  <c r="K70" i="96"/>
  <c r="L70" i="96" s="1"/>
  <c r="I70" i="96"/>
  <c r="M70" i="96" s="1"/>
  <c r="H70" i="96"/>
  <c r="G70" i="96"/>
  <c r="F70" i="96"/>
  <c r="N70" i="96" s="1"/>
  <c r="L69" i="96"/>
  <c r="I69" i="96"/>
  <c r="M69" i="96" s="1"/>
  <c r="N69" i="96" s="1"/>
  <c r="K68" i="96"/>
  <c r="L68" i="96" s="1"/>
  <c r="H68" i="96"/>
  <c r="G68" i="96"/>
  <c r="I68" i="96" s="1"/>
  <c r="F68" i="96"/>
  <c r="L67" i="96"/>
  <c r="I67" i="96"/>
  <c r="K66" i="96"/>
  <c r="L66" i="96" s="1"/>
  <c r="I66" i="96"/>
  <c r="H66" i="96"/>
  <c r="G66" i="96"/>
  <c r="F66" i="96"/>
  <c r="L65" i="96"/>
  <c r="I65" i="96"/>
  <c r="M65" i="96" s="1"/>
  <c r="N65" i="96" s="1"/>
  <c r="K64" i="96"/>
  <c r="L64" i="96" s="1"/>
  <c r="H64" i="96"/>
  <c r="G64" i="96"/>
  <c r="I64" i="96" s="1"/>
  <c r="M64" i="96" s="1"/>
  <c r="N64" i="96" s="1"/>
  <c r="F64" i="96"/>
  <c r="L63" i="96"/>
  <c r="I63" i="96"/>
  <c r="K62" i="96"/>
  <c r="L62" i="96" s="1"/>
  <c r="I62" i="96"/>
  <c r="M62" i="96" s="1"/>
  <c r="H62" i="96"/>
  <c r="G62" i="96"/>
  <c r="F62" i="96"/>
  <c r="L61" i="96"/>
  <c r="I61" i="96"/>
  <c r="M61" i="96" s="1"/>
  <c r="N61" i="96" s="1"/>
  <c r="K60" i="96"/>
  <c r="L60" i="96" s="1"/>
  <c r="H60" i="96"/>
  <c r="G60" i="96"/>
  <c r="I60" i="96" s="1"/>
  <c r="F60" i="96"/>
  <c r="L59" i="96"/>
  <c r="I59" i="96"/>
  <c r="K58" i="96"/>
  <c r="L58" i="96" s="1"/>
  <c r="I58" i="96"/>
  <c r="H58" i="96"/>
  <c r="G58" i="96"/>
  <c r="F58" i="96"/>
  <c r="L57" i="96"/>
  <c r="I57" i="96"/>
  <c r="M57" i="96" s="1"/>
  <c r="N57" i="96" s="1"/>
  <c r="K56" i="96"/>
  <c r="L56" i="96" s="1"/>
  <c r="H56" i="96"/>
  <c r="G56" i="96"/>
  <c r="I56" i="96" s="1"/>
  <c r="F56" i="96"/>
  <c r="L55" i="96"/>
  <c r="I55" i="96"/>
  <c r="K54" i="96"/>
  <c r="L54" i="96" s="1"/>
  <c r="I54" i="96"/>
  <c r="M54" i="96" s="1"/>
  <c r="H54" i="96"/>
  <c r="G54" i="96"/>
  <c r="F54" i="96"/>
  <c r="L53" i="96"/>
  <c r="I53" i="96"/>
  <c r="M53" i="96" s="1"/>
  <c r="N53" i="96" s="1"/>
  <c r="K52" i="96"/>
  <c r="L52" i="96" s="1"/>
  <c r="H52" i="96"/>
  <c r="G52" i="96"/>
  <c r="F52" i="96"/>
  <c r="J48" i="96"/>
  <c r="K47" i="96"/>
  <c r="L45" i="96"/>
  <c r="M45" i="96" s="1"/>
  <c r="N45" i="96" s="1"/>
  <c r="I45" i="96"/>
  <c r="L44" i="96"/>
  <c r="I44" i="96"/>
  <c r="L43" i="96"/>
  <c r="K43" i="96"/>
  <c r="K42" i="96" s="1"/>
  <c r="J43" i="96"/>
  <c r="H43" i="96"/>
  <c r="H42" i="96" s="1"/>
  <c r="G43" i="96"/>
  <c r="G42" i="96" s="1"/>
  <c r="I42" i="96" s="1"/>
  <c r="F43" i="96"/>
  <c r="F42" i="96" s="1"/>
  <c r="J42" i="96"/>
  <c r="L42" i="96" s="1"/>
  <c r="N41" i="96"/>
  <c r="L41" i="96"/>
  <c r="I41" i="96"/>
  <c r="M41" i="96" s="1"/>
  <c r="M40" i="96"/>
  <c r="N40" i="96" s="1"/>
  <c r="L40" i="96"/>
  <c r="L39" i="96"/>
  <c r="M39" i="96" s="1"/>
  <c r="N39" i="96" s="1"/>
  <c r="L38" i="96"/>
  <c r="M38" i="96" s="1"/>
  <c r="N38" i="96" s="1"/>
  <c r="L37" i="96"/>
  <c r="I37" i="96"/>
  <c r="K36" i="96"/>
  <c r="K35" i="96" s="1"/>
  <c r="J36" i="96"/>
  <c r="H36" i="96"/>
  <c r="H35" i="96" s="1"/>
  <c r="H34" i="96" s="1"/>
  <c r="H33" i="96" s="1"/>
  <c r="H32" i="96" s="1"/>
  <c r="G36" i="96"/>
  <c r="F36" i="96"/>
  <c r="L31" i="96"/>
  <c r="M31" i="96" s="1"/>
  <c r="N31" i="96" s="1"/>
  <c r="I31" i="96"/>
  <c r="L30" i="96"/>
  <c r="K30" i="96"/>
  <c r="K29" i="96" s="1"/>
  <c r="J30" i="96"/>
  <c r="H30" i="96"/>
  <c r="H29" i="96" s="1"/>
  <c r="G30" i="96"/>
  <c r="G29" i="96" s="1"/>
  <c r="I29" i="96" s="1"/>
  <c r="M29" i="96" s="1"/>
  <c r="F30" i="96"/>
  <c r="F29" i="96" s="1"/>
  <c r="J29" i="96"/>
  <c r="L29" i="96" s="1"/>
  <c r="L28" i="96"/>
  <c r="M28" i="96" s="1"/>
  <c r="N28" i="96" s="1"/>
  <c r="M27" i="96"/>
  <c r="N27" i="96" s="1"/>
  <c r="L27" i="96"/>
  <c r="S26" i="96"/>
  <c r="P26" i="96"/>
  <c r="K26" i="96"/>
  <c r="L26" i="96" s="1"/>
  <c r="I26" i="96"/>
  <c r="L25" i="96"/>
  <c r="I25" i="96"/>
  <c r="L24" i="96"/>
  <c r="I24" i="96"/>
  <c r="K23" i="96"/>
  <c r="K22" i="96" s="1"/>
  <c r="K21" i="96" s="1"/>
  <c r="J23" i="96"/>
  <c r="H23" i="96"/>
  <c r="G23" i="96"/>
  <c r="F23" i="96"/>
  <c r="F22" i="96" s="1"/>
  <c r="H22" i="96"/>
  <c r="H21" i="96" s="1"/>
  <c r="H20" i="96" s="1"/>
  <c r="H19" i="96" s="1"/>
  <c r="H18" i="96" s="1"/>
  <c r="F21" i="96"/>
  <c r="F20" i="96" s="1"/>
  <c r="F19" i="96" s="1"/>
  <c r="T19" i="96"/>
  <c r="U17" i="96"/>
  <c r="J48" i="94"/>
  <c r="J47" i="94" s="1"/>
  <c r="L388" i="94"/>
  <c r="I388" i="94"/>
  <c r="K387" i="94"/>
  <c r="K386" i="94" s="1"/>
  <c r="J387" i="94"/>
  <c r="H387" i="94"/>
  <c r="H386" i="94" s="1"/>
  <c r="G387" i="94"/>
  <c r="F387" i="94"/>
  <c r="F386" i="94" s="1"/>
  <c r="L385" i="94"/>
  <c r="I385" i="94"/>
  <c r="K384" i="94"/>
  <c r="K383" i="94" s="1"/>
  <c r="J384" i="94"/>
  <c r="H384" i="94"/>
  <c r="H383" i="94" s="1"/>
  <c r="G384" i="94"/>
  <c r="G383" i="94" s="1"/>
  <c r="F384" i="94"/>
  <c r="F383" i="94" s="1"/>
  <c r="L379" i="94"/>
  <c r="I379" i="94"/>
  <c r="K378" i="94"/>
  <c r="K377" i="94" s="1"/>
  <c r="K376" i="94" s="1"/>
  <c r="K375" i="94" s="1"/>
  <c r="K374" i="94" s="1"/>
  <c r="J378" i="94"/>
  <c r="H378" i="94"/>
  <c r="H377" i="94" s="1"/>
  <c r="H376" i="94" s="1"/>
  <c r="H375" i="94" s="1"/>
  <c r="H374" i="94" s="1"/>
  <c r="G378" i="94"/>
  <c r="F378" i="94"/>
  <c r="L373" i="94"/>
  <c r="I373" i="94"/>
  <c r="L372" i="94"/>
  <c r="I372" i="94"/>
  <c r="K371" i="94"/>
  <c r="J371" i="94"/>
  <c r="H371" i="94"/>
  <c r="G371" i="94"/>
  <c r="F371" i="94"/>
  <c r="L370" i="94"/>
  <c r="I370" i="94"/>
  <c r="K369" i="94"/>
  <c r="J369" i="94"/>
  <c r="H369" i="94"/>
  <c r="G369" i="94"/>
  <c r="F369" i="94"/>
  <c r="L367" i="94"/>
  <c r="I367" i="94"/>
  <c r="K366" i="94"/>
  <c r="K365" i="94" s="1"/>
  <c r="J366" i="94"/>
  <c r="H366" i="94"/>
  <c r="H365" i="94" s="1"/>
  <c r="G366" i="94"/>
  <c r="F366" i="94"/>
  <c r="L361" i="94"/>
  <c r="I361" i="94"/>
  <c r="K360" i="94"/>
  <c r="J360" i="94"/>
  <c r="J359" i="94" s="1"/>
  <c r="H360" i="94"/>
  <c r="H359" i="94" s="1"/>
  <c r="H358" i="94" s="1"/>
  <c r="H357" i="94" s="1"/>
  <c r="H356" i="94" s="1"/>
  <c r="G360" i="94"/>
  <c r="F360" i="94"/>
  <c r="F359" i="94" s="1"/>
  <c r="F358" i="94" s="1"/>
  <c r="F357" i="94" s="1"/>
  <c r="L353" i="94"/>
  <c r="M353" i="94" s="1"/>
  <c r="N353" i="94" s="1"/>
  <c r="K352" i="94"/>
  <c r="J352" i="94"/>
  <c r="J351" i="94" s="1"/>
  <c r="J350" i="94" s="1"/>
  <c r="H352" i="94"/>
  <c r="G352" i="94"/>
  <c r="G351" i="94" s="1"/>
  <c r="G350" i="94" s="1"/>
  <c r="G349" i="94" s="1"/>
  <c r="F352" i="94"/>
  <c r="F351" i="94" s="1"/>
  <c r="F350" i="94" s="1"/>
  <c r="L347" i="94"/>
  <c r="I347" i="94"/>
  <c r="K346" i="94"/>
  <c r="K345" i="94" s="1"/>
  <c r="K344" i="94" s="1"/>
  <c r="K343" i="94" s="1"/>
  <c r="K342" i="94" s="1"/>
  <c r="J346" i="94"/>
  <c r="H346" i="94"/>
  <c r="H345" i="94" s="1"/>
  <c r="H344" i="94" s="1"/>
  <c r="H343" i="94" s="1"/>
  <c r="H342" i="94" s="1"/>
  <c r="G346" i="94"/>
  <c r="G345" i="94" s="1"/>
  <c r="G344" i="94" s="1"/>
  <c r="F346" i="94"/>
  <c r="F345" i="94" s="1"/>
  <c r="L341" i="94"/>
  <c r="I341" i="94"/>
  <c r="K340" i="94"/>
  <c r="K339" i="94" s="1"/>
  <c r="K338" i="94" s="1"/>
  <c r="K337" i="94" s="1"/>
  <c r="K336" i="94" s="1"/>
  <c r="J340" i="94"/>
  <c r="H340" i="94"/>
  <c r="H339" i="94" s="1"/>
  <c r="H338" i="94" s="1"/>
  <c r="H337" i="94" s="1"/>
  <c r="H336" i="94" s="1"/>
  <c r="G340" i="94"/>
  <c r="G339" i="94" s="1"/>
  <c r="F340" i="94"/>
  <c r="L335" i="94"/>
  <c r="I335" i="94"/>
  <c r="L334" i="94"/>
  <c r="M334" i="94" s="1"/>
  <c r="N334" i="94" s="1"/>
  <c r="L333" i="94"/>
  <c r="M333" i="94" s="1"/>
  <c r="N333" i="94" s="1"/>
  <c r="L332" i="94"/>
  <c r="M332" i="94" s="1"/>
  <c r="N332" i="94" s="1"/>
  <c r="L331" i="94"/>
  <c r="M331" i="94" s="1"/>
  <c r="N331" i="94" s="1"/>
  <c r="L330" i="94"/>
  <c r="M330" i="94" s="1"/>
  <c r="N330" i="94" s="1"/>
  <c r="L329" i="94"/>
  <c r="M329" i="94" s="1"/>
  <c r="N329" i="94" s="1"/>
  <c r="K328" i="94"/>
  <c r="J328" i="94"/>
  <c r="J327" i="94" s="1"/>
  <c r="H328" i="94"/>
  <c r="G328" i="94"/>
  <c r="G327" i="94" s="1"/>
  <c r="F328" i="94"/>
  <c r="F327" i="94" s="1"/>
  <c r="L326" i="94"/>
  <c r="M326" i="94" s="1"/>
  <c r="N326" i="94" s="1"/>
  <c r="K325" i="94"/>
  <c r="K324" i="94" s="1"/>
  <c r="J325" i="94"/>
  <c r="J324" i="94" s="1"/>
  <c r="H325" i="94"/>
  <c r="G325" i="94"/>
  <c r="G324" i="94" s="1"/>
  <c r="F325" i="94"/>
  <c r="F324" i="94" s="1"/>
  <c r="L323" i="94"/>
  <c r="M323" i="94" s="1"/>
  <c r="N323" i="94" s="1"/>
  <c r="L322" i="94"/>
  <c r="M322" i="94" s="1"/>
  <c r="N322" i="94" s="1"/>
  <c r="J321" i="94"/>
  <c r="H321" i="94"/>
  <c r="H320" i="94" s="1"/>
  <c r="G321" i="94"/>
  <c r="F321" i="94"/>
  <c r="K320" i="94"/>
  <c r="L316" i="94"/>
  <c r="I316" i="94"/>
  <c r="K315" i="94"/>
  <c r="K314" i="94" s="1"/>
  <c r="J315" i="94"/>
  <c r="H315" i="94"/>
  <c r="H314" i="94" s="1"/>
  <c r="G315" i="94"/>
  <c r="G314" i="94" s="1"/>
  <c r="F315" i="94"/>
  <c r="F314" i="94" s="1"/>
  <c r="L313" i="94"/>
  <c r="I313" i="94"/>
  <c r="L312" i="94"/>
  <c r="I312" i="94"/>
  <c r="K311" i="94"/>
  <c r="J311" i="94"/>
  <c r="J310" i="94" s="1"/>
  <c r="H311" i="94"/>
  <c r="H310" i="94" s="1"/>
  <c r="G311" i="94"/>
  <c r="F311" i="94"/>
  <c r="F310" i="94" s="1"/>
  <c r="L309" i="94"/>
  <c r="M309" i="94" s="1"/>
  <c r="N309" i="94" s="1"/>
  <c r="K308" i="94"/>
  <c r="K307" i="94" s="1"/>
  <c r="J308" i="94"/>
  <c r="H308" i="94"/>
  <c r="G308" i="94"/>
  <c r="F308" i="94"/>
  <c r="F307" i="94" s="1"/>
  <c r="H307" i="94"/>
  <c r="G307" i="94"/>
  <c r="L301" i="94"/>
  <c r="M301" i="94" s="1"/>
  <c r="N301" i="94" s="1"/>
  <c r="L300" i="94"/>
  <c r="I300" i="94"/>
  <c r="L299" i="94"/>
  <c r="I299" i="94"/>
  <c r="L298" i="94"/>
  <c r="I298" i="94"/>
  <c r="K297" i="94"/>
  <c r="K296" i="94" s="1"/>
  <c r="J297" i="94"/>
  <c r="H297" i="94"/>
  <c r="H296" i="94" s="1"/>
  <c r="G297" i="94"/>
  <c r="F297" i="94"/>
  <c r="L295" i="94"/>
  <c r="M295" i="94" s="1"/>
  <c r="N295" i="94" s="1"/>
  <c r="L294" i="94"/>
  <c r="M294" i="94" s="1"/>
  <c r="N294" i="94" s="1"/>
  <c r="L293" i="94"/>
  <c r="M293" i="94" s="1"/>
  <c r="N293" i="94" s="1"/>
  <c r="L292" i="94"/>
  <c r="I292" i="94"/>
  <c r="L291" i="94"/>
  <c r="M291" i="94" s="1"/>
  <c r="N291" i="94" s="1"/>
  <c r="L290" i="94"/>
  <c r="M290" i="94" s="1"/>
  <c r="N290" i="94" s="1"/>
  <c r="L289" i="94"/>
  <c r="M289" i="94" s="1"/>
  <c r="N289" i="94" s="1"/>
  <c r="L288" i="94"/>
  <c r="I288" i="94"/>
  <c r="K287" i="94"/>
  <c r="K286" i="94" s="1"/>
  <c r="J287" i="94"/>
  <c r="H287" i="94"/>
  <c r="H286" i="94" s="1"/>
  <c r="G287" i="94"/>
  <c r="F287" i="94"/>
  <c r="L282" i="94"/>
  <c r="I282" i="94"/>
  <c r="I281" i="94"/>
  <c r="M281" i="94" s="1"/>
  <c r="N281" i="94" s="1"/>
  <c r="I280" i="94"/>
  <c r="M280" i="94" s="1"/>
  <c r="N280" i="94" s="1"/>
  <c r="L279" i="94"/>
  <c r="I279" i="94"/>
  <c r="K278" i="94"/>
  <c r="K277" i="94" s="1"/>
  <c r="K276" i="94" s="1"/>
  <c r="K275" i="94" s="1"/>
  <c r="K274" i="94" s="1"/>
  <c r="J278" i="94"/>
  <c r="H278" i="94"/>
  <c r="H277" i="94" s="1"/>
  <c r="H276" i="94" s="1"/>
  <c r="H275" i="94" s="1"/>
  <c r="H274" i="94" s="1"/>
  <c r="G278" i="94"/>
  <c r="G277" i="94" s="1"/>
  <c r="F278" i="94"/>
  <c r="F277" i="94" s="1"/>
  <c r="L273" i="94"/>
  <c r="I273" i="94"/>
  <c r="L272" i="94"/>
  <c r="I272" i="94"/>
  <c r="L271" i="94"/>
  <c r="I271" i="94"/>
  <c r="L270" i="94"/>
  <c r="I270" i="94"/>
  <c r="L269" i="94"/>
  <c r="I269" i="94"/>
  <c r="K268" i="94"/>
  <c r="K267" i="94" s="1"/>
  <c r="J268" i="94"/>
  <c r="H268" i="94"/>
  <c r="H267" i="94" s="1"/>
  <c r="G268" i="94"/>
  <c r="F268" i="94"/>
  <c r="L266" i="94"/>
  <c r="I266" i="94"/>
  <c r="K265" i="94"/>
  <c r="K264" i="94" s="1"/>
  <c r="J265" i="94"/>
  <c r="H265" i="94"/>
  <c r="G265" i="94"/>
  <c r="G264" i="94" s="1"/>
  <c r="F265" i="94"/>
  <c r="F264" i="94" s="1"/>
  <c r="L260" i="94"/>
  <c r="I260" i="94"/>
  <c r="L259" i="94"/>
  <c r="I259" i="94"/>
  <c r="L258" i="94"/>
  <c r="I258" i="94"/>
  <c r="K257" i="94"/>
  <c r="J257" i="94"/>
  <c r="J256" i="94" s="1"/>
  <c r="J255" i="94" s="1"/>
  <c r="J254" i="94" s="1"/>
  <c r="H257" i="94"/>
  <c r="H256" i="94" s="1"/>
  <c r="H255" i="94" s="1"/>
  <c r="H254" i="94" s="1"/>
  <c r="H253" i="94" s="1"/>
  <c r="G257" i="94"/>
  <c r="F257" i="94"/>
  <c r="F256" i="94" s="1"/>
  <c r="F255" i="94" s="1"/>
  <c r="F254" i="94" s="1"/>
  <c r="F253" i="94" s="1"/>
  <c r="I250" i="94"/>
  <c r="M250" i="94" s="1"/>
  <c r="N250" i="94" s="1"/>
  <c r="K249" i="94"/>
  <c r="K248" i="94" s="1"/>
  <c r="K247" i="94" s="1"/>
  <c r="K246" i="94" s="1"/>
  <c r="K245" i="94" s="1"/>
  <c r="K244" i="94" s="1"/>
  <c r="J249" i="94"/>
  <c r="H249" i="94"/>
  <c r="G249" i="94"/>
  <c r="G248" i="94" s="1"/>
  <c r="G247" i="94" s="1"/>
  <c r="G246" i="94" s="1"/>
  <c r="F249" i="94"/>
  <c r="F248" i="94" s="1"/>
  <c r="F247" i="94" s="1"/>
  <c r="F246" i="94" s="1"/>
  <c r="F244" i="94" s="1"/>
  <c r="L242" i="94"/>
  <c r="I242" i="94"/>
  <c r="K241" i="94"/>
  <c r="J241" i="94"/>
  <c r="J240" i="94" s="1"/>
  <c r="H241" i="94"/>
  <c r="H240" i="94" s="1"/>
  <c r="H239" i="94" s="1"/>
  <c r="H237" i="94" s="1"/>
  <c r="H236" i="94" s="1"/>
  <c r="G241" i="94"/>
  <c r="F241" i="94"/>
  <c r="F240" i="94" s="1"/>
  <c r="L238" i="94"/>
  <c r="I238" i="94"/>
  <c r="F237" i="94"/>
  <c r="F236" i="94" s="1"/>
  <c r="L235" i="94"/>
  <c r="I235" i="94"/>
  <c r="L234" i="94"/>
  <c r="I234" i="94"/>
  <c r="L233" i="94"/>
  <c r="I233" i="94"/>
  <c r="K232" i="94"/>
  <c r="K231" i="94" s="1"/>
  <c r="J232" i="94"/>
  <c r="J231" i="94" s="1"/>
  <c r="H232" i="94"/>
  <c r="H231" i="94" s="1"/>
  <c r="G232" i="94"/>
  <c r="G231" i="94" s="1"/>
  <c r="F232" i="94"/>
  <c r="F231" i="94" s="1"/>
  <c r="L230" i="94"/>
  <c r="I230" i="94"/>
  <c r="K229" i="94"/>
  <c r="K228" i="94" s="1"/>
  <c r="K227" i="94" s="1"/>
  <c r="K226" i="94" s="1"/>
  <c r="J229" i="94"/>
  <c r="J228" i="94" s="1"/>
  <c r="H229" i="94"/>
  <c r="G229" i="94"/>
  <c r="G228" i="94" s="1"/>
  <c r="G227" i="94" s="1"/>
  <c r="F229" i="94"/>
  <c r="F228" i="94" s="1"/>
  <c r="I225" i="94"/>
  <c r="M225" i="94" s="1"/>
  <c r="N225" i="94" s="1"/>
  <c r="L224" i="94"/>
  <c r="M224" i="94" s="1"/>
  <c r="N224" i="94" s="1"/>
  <c r="L223" i="94"/>
  <c r="I223" i="94"/>
  <c r="K222" i="94"/>
  <c r="K221" i="94" s="1"/>
  <c r="J222" i="94"/>
  <c r="J221" i="94" s="1"/>
  <c r="H222" i="94"/>
  <c r="H221" i="94" s="1"/>
  <c r="G222" i="94"/>
  <c r="G221" i="94" s="1"/>
  <c r="F222" i="94"/>
  <c r="F221" i="94" s="1"/>
  <c r="L220" i="94"/>
  <c r="I220" i="94"/>
  <c r="L219" i="94"/>
  <c r="I219" i="94"/>
  <c r="K218" i="94"/>
  <c r="K217" i="94" s="1"/>
  <c r="J218" i="94"/>
  <c r="J217" i="94" s="1"/>
  <c r="H218" i="94"/>
  <c r="H217" i="94" s="1"/>
  <c r="G218" i="94"/>
  <c r="F218" i="94"/>
  <c r="F217" i="94" s="1"/>
  <c r="L216" i="94"/>
  <c r="I216" i="94"/>
  <c r="K215" i="94"/>
  <c r="K214" i="94" s="1"/>
  <c r="J215" i="94"/>
  <c r="H215" i="94"/>
  <c r="H214" i="94" s="1"/>
  <c r="G215" i="94"/>
  <c r="G214" i="94" s="1"/>
  <c r="F215" i="94"/>
  <c r="F214" i="94" s="1"/>
  <c r="L210" i="94"/>
  <c r="I210" i="94"/>
  <c r="K209" i="94"/>
  <c r="K208" i="94" s="1"/>
  <c r="K207" i="94" s="1"/>
  <c r="K206" i="94" s="1"/>
  <c r="K204" i="94" s="1"/>
  <c r="K203" i="94" s="1"/>
  <c r="J209" i="94"/>
  <c r="J208" i="94" s="1"/>
  <c r="J207" i="94" s="1"/>
  <c r="H209" i="94"/>
  <c r="H208" i="94" s="1"/>
  <c r="H207" i="94" s="1"/>
  <c r="H206" i="94" s="1"/>
  <c r="H204" i="94" s="1"/>
  <c r="H203" i="94" s="1"/>
  <c r="G209" i="94"/>
  <c r="F209" i="94"/>
  <c r="F208" i="94" s="1"/>
  <c r="F207" i="94" s="1"/>
  <c r="L205" i="94"/>
  <c r="I205" i="94"/>
  <c r="F204" i="94"/>
  <c r="F203" i="94" s="1"/>
  <c r="L202" i="94"/>
  <c r="I202" i="94"/>
  <c r="L201" i="94"/>
  <c r="I201" i="94"/>
  <c r="K200" i="94"/>
  <c r="K199" i="94" s="1"/>
  <c r="J200" i="94"/>
  <c r="J199" i="94" s="1"/>
  <c r="H200" i="94"/>
  <c r="H199" i="94" s="1"/>
  <c r="G200" i="94"/>
  <c r="G199" i="94" s="1"/>
  <c r="F200" i="94"/>
  <c r="L198" i="94"/>
  <c r="M198" i="94" s="1"/>
  <c r="N198" i="94" s="1"/>
  <c r="L197" i="94"/>
  <c r="M197" i="94" s="1"/>
  <c r="N197" i="94" s="1"/>
  <c r="L196" i="94"/>
  <c r="M196" i="94" s="1"/>
  <c r="N196" i="94" s="1"/>
  <c r="L195" i="94"/>
  <c r="M195" i="94" s="1"/>
  <c r="N195" i="94" s="1"/>
  <c r="L194" i="94"/>
  <c r="I194" i="94"/>
  <c r="K193" i="94"/>
  <c r="K192" i="94" s="1"/>
  <c r="J193" i="94"/>
  <c r="J192" i="94" s="1"/>
  <c r="H193" i="94"/>
  <c r="G193" i="94"/>
  <c r="G192" i="94" s="1"/>
  <c r="F193" i="94"/>
  <c r="F192" i="94" s="1"/>
  <c r="L188" i="94"/>
  <c r="M188" i="94" s="1"/>
  <c r="N188" i="94" s="1"/>
  <c r="L187" i="94"/>
  <c r="I187" i="94"/>
  <c r="K186" i="94"/>
  <c r="K185" i="94" s="1"/>
  <c r="J186" i="94"/>
  <c r="J185" i="94" s="1"/>
  <c r="H186" i="94"/>
  <c r="H185" i="94" s="1"/>
  <c r="G186" i="94"/>
  <c r="G185" i="94" s="1"/>
  <c r="F186" i="94"/>
  <c r="L184" i="94"/>
  <c r="I184" i="94"/>
  <c r="L183" i="94"/>
  <c r="I183" i="94"/>
  <c r="K182" i="94"/>
  <c r="K181" i="94" s="1"/>
  <c r="J182" i="94"/>
  <c r="H182" i="94"/>
  <c r="H181" i="94" s="1"/>
  <c r="G182" i="94"/>
  <c r="G181" i="94" s="1"/>
  <c r="F182" i="94"/>
  <c r="F181" i="94" s="1"/>
  <c r="L177" i="94"/>
  <c r="M177" i="94" s="1"/>
  <c r="N177" i="94" s="1"/>
  <c r="L176" i="94"/>
  <c r="I176" i="94"/>
  <c r="L175" i="94"/>
  <c r="K174" i="94"/>
  <c r="K173" i="94" s="1"/>
  <c r="K172" i="94" s="1"/>
  <c r="K171" i="94" s="1"/>
  <c r="K170" i="94" s="1"/>
  <c r="I175" i="94"/>
  <c r="J174" i="94"/>
  <c r="J173" i="94" s="1"/>
  <c r="J172" i="94" s="1"/>
  <c r="H174" i="94"/>
  <c r="H173" i="94" s="1"/>
  <c r="H172" i="94" s="1"/>
  <c r="H171" i="94" s="1"/>
  <c r="H170" i="94" s="1"/>
  <c r="G174" i="94"/>
  <c r="G173" i="94" s="1"/>
  <c r="G172" i="94" s="1"/>
  <c r="G171" i="94" s="1"/>
  <c r="F174" i="94"/>
  <c r="F173" i="94" s="1"/>
  <c r="F172" i="94" s="1"/>
  <c r="L169" i="94"/>
  <c r="I169" i="94"/>
  <c r="L168" i="94"/>
  <c r="I168" i="94"/>
  <c r="K167" i="94"/>
  <c r="J167" i="94"/>
  <c r="H167" i="94"/>
  <c r="G167" i="94"/>
  <c r="F167" i="94"/>
  <c r="L166" i="94"/>
  <c r="I166" i="94"/>
  <c r="K165" i="94"/>
  <c r="J165" i="94"/>
  <c r="J164" i="94" s="1"/>
  <c r="H165" i="94"/>
  <c r="H161" i="94" s="1"/>
  <c r="G165" i="94"/>
  <c r="F165" i="94"/>
  <c r="L163" i="94"/>
  <c r="I163" i="94"/>
  <c r="K162" i="94"/>
  <c r="J162" i="94"/>
  <c r="H162" i="94"/>
  <c r="G162" i="94"/>
  <c r="I162" i="94" s="1"/>
  <c r="F162" i="94"/>
  <c r="F161" i="94" s="1"/>
  <c r="L160" i="94"/>
  <c r="I160" i="94"/>
  <c r="L159" i="94"/>
  <c r="I159" i="94"/>
  <c r="K158" i="94"/>
  <c r="J158" i="94"/>
  <c r="J154" i="94" s="1"/>
  <c r="H158" i="94"/>
  <c r="H154" i="94" s="1"/>
  <c r="G158" i="94"/>
  <c r="F158" i="94"/>
  <c r="L157" i="94"/>
  <c r="I157" i="94"/>
  <c r="M157" i="94" s="1"/>
  <c r="N157" i="94" s="1"/>
  <c r="L156" i="94"/>
  <c r="I156" i="94"/>
  <c r="K155" i="94"/>
  <c r="J155" i="94"/>
  <c r="H155" i="94"/>
  <c r="G155" i="94"/>
  <c r="I155" i="94" s="1"/>
  <c r="F155" i="94"/>
  <c r="L151" i="94"/>
  <c r="I151" i="94"/>
  <c r="M151" i="94" s="1"/>
  <c r="N151" i="94" s="1"/>
  <c r="L150" i="94"/>
  <c r="I150" i="94"/>
  <c r="L149" i="94"/>
  <c r="I149" i="94"/>
  <c r="K148" i="94"/>
  <c r="K147" i="94" s="1"/>
  <c r="K146" i="94" s="1"/>
  <c r="K145" i="94" s="1"/>
  <c r="J148" i="94"/>
  <c r="L148" i="94" s="1"/>
  <c r="H148" i="94"/>
  <c r="H147" i="94" s="1"/>
  <c r="H146" i="94" s="1"/>
  <c r="H145" i="94" s="1"/>
  <c r="G148" i="94"/>
  <c r="G147" i="94" s="1"/>
  <c r="F148" i="94"/>
  <c r="F147" i="94" s="1"/>
  <c r="F146" i="94" s="1"/>
  <c r="L141" i="94"/>
  <c r="I141" i="94"/>
  <c r="L140" i="94"/>
  <c r="I140" i="94"/>
  <c r="L139" i="94"/>
  <c r="I139" i="94"/>
  <c r="L138" i="94"/>
  <c r="I138" i="94"/>
  <c r="K137" i="94"/>
  <c r="K136" i="94" s="1"/>
  <c r="J137" i="94"/>
  <c r="J136" i="94" s="1"/>
  <c r="H137" i="94"/>
  <c r="H136" i="94" s="1"/>
  <c r="G137" i="94"/>
  <c r="F137" i="94"/>
  <c r="F136" i="94" s="1"/>
  <c r="L135" i="94"/>
  <c r="I135" i="94"/>
  <c r="M135" i="94" s="1"/>
  <c r="N135" i="94" s="1"/>
  <c r="L134" i="94"/>
  <c r="I134" i="94"/>
  <c r="L133" i="94"/>
  <c r="I133" i="94"/>
  <c r="K132" i="94"/>
  <c r="K131" i="94" s="1"/>
  <c r="J132" i="94"/>
  <c r="L132" i="94" s="1"/>
  <c r="H132" i="94"/>
  <c r="H131" i="94" s="1"/>
  <c r="G132" i="94"/>
  <c r="G131" i="94" s="1"/>
  <c r="F132" i="94"/>
  <c r="L125" i="94"/>
  <c r="K122" i="94"/>
  <c r="I125" i="94"/>
  <c r="L124" i="94"/>
  <c r="I124" i="94"/>
  <c r="L123" i="94"/>
  <c r="I123" i="94"/>
  <c r="J122" i="94"/>
  <c r="J121" i="94" s="1"/>
  <c r="H122" i="94"/>
  <c r="H121" i="94" s="1"/>
  <c r="H120" i="94" s="1"/>
  <c r="H119" i="94" s="1"/>
  <c r="H118" i="94" s="1"/>
  <c r="G122" i="94"/>
  <c r="F122" i="94"/>
  <c r="F121" i="94" s="1"/>
  <c r="F120" i="94" s="1"/>
  <c r="L117" i="94"/>
  <c r="I117" i="94"/>
  <c r="L116" i="94"/>
  <c r="I116" i="94"/>
  <c r="L115" i="94"/>
  <c r="I115" i="94"/>
  <c r="L114" i="94"/>
  <c r="I114" i="94"/>
  <c r="L113" i="94"/>
  <c r="I113" i="94"/>
  <c r="L112" i="94"/>
  <c r="I112" i="94"/>
  <c r="L111" i="94"/>
  <c r="I111" i="94"/>
  <c r="L110" i="94"/>
  <c r="I110" i="94"/>
  <c r="L109" i="94"/>
  <c r="I109" i="94"/>
  <c r="L108" i="94"/>
  <c r="I108" i="94"/>
  <c r="K107" i="94"/>
  <c r="K106" i="94" s="1"/>
  <c r="K100" i="94" s="1"/>
  <c r="J107" i="94"/>
  <c r="H107" i="94"/>
  <c r="H106" i="94" s="1"/>
  <c r="G107" i="94"/>
  <c r="F107" i="94"/>
  <c r="F106" i="94" s="1"/>
  <c r="L105" i="94"/>
  <c r="I105" i="94"/>
  <c r="H104" i="94"/>
  <c r="G104" i="94"/>
  <c r="F104" i="94"/>
  <c r="L103" i="94"/>
  <c r="I103" i="94"/>
  <c r="L102" i="94"/>
  <c r="I102" i="94"/>
  <c r="L101" i="94"/>
  <c r="I101" i="94"/>
  <c r="J100" i="94"/>
  <c r="H100" i="94"/>
  <c r="G100" i="94"/>
  <c r="F100" i="94"/>
  <c r="L99" i="94"/>
  <c r="I99" i="94"/>
  <c r="L98" i="94"/>
  <c r="I98" i="94"/>
  <c r="L97" i="94"/>
  <c r="I97" i="94"/>
  <c r="M97" i="94" s="1"/>
  <c r="N97" i="94" s="1"/>
  <c r="L96" i="94"/>
  <c r="I96" i="94"/>
  <c r="L95" i="94"/>
  <c r="I95" i="94"/>
  <c r="L94" i="94"/>
  <c r="I94" i="94"/>
  <c r="M94" i="94" s="1"/>
  <c r="N94" i="94" s="1"/>
  <c r="L93" i="94"/>
  <c r="I93" i="94"/>
  <c r="L92" i="94"/>
  <c r="I92" i="94"/>
  <c r="L91" i="94"/>
  <c r="I91" i="94"/>
  <c r="M91" i="94" s="1"/>
  <c r="N91" i="94" s="1"/>
  <c r="L90" i="94"/>
  <c r="I90" i="94"/>
  <c r="K89" i="94"/>
  <c r="H89" i="94"/>
  <c r="G89" i="94"/>
  <c r="F89" i="94"/>
  <c r="I87" i="94"/>
  <c r="M87" i="94" s="1"/>
  <c r="N87" i="94" s="1"/>
  <c r="K86" i="94"/>
  <c r="L86" i="94" s="1"/>
  <c r="H86" i="94"/>
  <c r="G86" i="94"/>
  <c r="F86" i="94"/>
  <c r="I85" i="94"/>
  <c r="M85" i="94" s="1"/>
  <c r="N85" i="94" s="1"/>
  <c r="K84" i="94"/>
  <c r="L84" i="94" s="1"/>
  <c r="H84" i="94"/>
  <c r="G84" i="94"/>
  <c r="F84" i="94"/>
  <c r="L83" i="94"/>
  <c r="I83" i="94"/>
  <c r="M83" i="94" s="1"/>
  <c r="N83" i="94" s="1"/>
  <c r="K82" i="94"/>
  <c r="L82" i="94" s="1"/>
  <c r="H82" i="94"/>
  <c r="G82" i="94"/>
  <c r="F82" i="94"/>
  <c r="F81" i="94" s="1"/>
  <c r="L80" i="94"/>
  <c r="I80" i="94"/>
  <c r="K79" i="94"/>
  <c r="L79" i="94" s="1"/>
  <c r="H79" i="94"/>
  <c r="G79" i="94"/>
  <c r="F79" i="94"/>
  <c r="L78" i="94"/>
  <c r="I78" i="94"/>
  <c r="K77" i="94"/>
  <c r="L77" i="94" s="1"/>
  <c r="H77" i="94"/>
  <c r="G77" i="94"/>
  <c r="F77" i="94"/>
  <c r="L76" i="94"/>
  <c r="I76" i="94"/>
  <c r="K75" i="94"/>
  <c r="L75" i="94" s="1"/>
  <c r="H75" i="94"/>
  <c r="G75" i="94"/>
  <c r="F75" i="94"/>
  <c r="L74" i="94"/>
  <c r="I74" i="94"/>
  <c r="K73" i="94"/>
  <c r="L73" i="94" s="1"/>
  <c r="H73" i="94"/>
  <c r="G73" i="94"/>
  <c r="F73" i="94"/>
  <c r="L72" i="94"/>
  <c r="H71" i="94"/>
  <c r="K71" i="94"/>
  <c r="L71" i="94" s="1"/>
  <c r="G71" i="94"/>
  <c r="F71" i="94"/>
  <c r="L70" i="94"/>
  <c r="I70" i="94"/>
  <c r="M70" i="94" s="1"/>
  <c r="N70" i="94" s="1"/>
  <c r="K69" i="94"/>
  <c r="L69" i="94" s="1"/>
  <c r="H69" i="94"/>
  <c r="G69" i="94"/>
  <c r="I69" i="94" s="1"/>
  <c r="F69" i="94"/>
  <c r="L68" i="94"/>
  <c r="H67" i="94"/>
  <c r="K67" i="94"/>
  <c r="L67" i="94" s="1"/>
  <c r="G67" i="94"/>
  <c r="F67" i="94"/>
  <c r="L66" i="94"/>
  <c r="I66" i="94"/>
  <c r="K65" i="94"/>
  <c r="L65" i="94" s="1"/>
  <c r="H65" i="94"/>
  <c r="G65" i="94"/>
  <c r="F65" i="94"/>
  <c r="L64" i="94"/>
  <c r="H63" i="94"/>
  <c r="K63" i="94"/>
  <c r="L63" i="94" s="1"/>
  <c r="G63" i="94"/>
  <c r="F63" i="94"/>
  <c r="L62" i="94"/>
  <c r="I62" i="94"/>
  <c r="K61" i="94"/>
  <c r="L61" i="94" s="1"/>
  <c r="H61" i="94"/>
  <c r="G61" i="94"/>
  <c r="F61" i="94"/>
  <c r="L60" i="94"/>
  <c r="H59" i="94"/>
  <c r="K59" i="94"/>
  <c r="G59" i="94"/>
  <c r="F59" i="94"/>
  <c r="L58" i="94"/>
  <c r="I58" i="94"/>
  <c r="M58" i="94" s="1"/>
  <c r="N58" i="94" s="1"/>
  <c r="K57" i="94"/>
  <c r="L57" i="94" s="1"/>
  <c r="H57" i="94"/>
  <c r="G57" i="94"/>
  <c r="F57" i="94"/>
  <c r="J53" i="94"/>
  <c r="L50" i="94"/>
  <c r="I50" i="94"/>
  <c r="K48" i="94"/>
  <c r="I49" i="94"/>
  <c r="H48" i="94"/>
  <c r="H47" i="94" s="1"/>
  <c r="G48" i="94"/>
  <c r="G47" i="94" s="1"/>
  <c r="F48" i="94"/>
  <c r="F47" i="94" s="1"/>
  <c r="L46" i="94"/>
  <c r="I46" i="94"/>
  <c r="L45" i="94"/>
  <c r="M45" i="94" s="1"/>
  <c r="N45" i="94" s="1"/>
  <c r="L44" i="94"/>
  <c r="M44" i="94" s="1"/>
  <c r="N44" i="94" s="1"/>
  <c r="L43" i="94"/>
  <c r="M43" i="94" s="1"/>
  <c r="N43" i="94" s="1"/>
  <c r="L42" i="94"/>
  <c r="I42" i="94"/>
  <c r="M42" i="94" s="1"/>
  <c r="N42" i="94" s="1"/>
  <c r="K41" i="94"/>
  <c r="K40" i="94" s="1"/>
  <c r="J41" i="94"/>
  <c r="J40" i="94" s="1"/>
  <c r="H41" i="94"/>
  <c r="H40" i="94" s="1"/>
  <c r="G41" i="94"/>
  <c r="F41" i="94"/>
  <c r="F40" i="94" s="1"/>
  <c r="L36" i="94"/>
  <c r="I36" i="94"/>
  <c r="K35" i="94"/>
  <c r="K34" i="94" s="1"/>
  <c r="J35" i="94"/>
  <c r="J34" i="94" s="1"/>
  <c r="H35" i="94"/>
  <c r="H34" i="94" s="1"/>
  <c r="G35" i="94"/>
  <c r="G34" i="94" s="1"/>
  <c r="F35" i="94"/>
  <c r="F34" i="94" s="1"/>
  <c r="L33" i="94"/>
  <c r="M33" i="94" s="1"/>
  <c r="N33" i="94" s="1"/>
  <c r="L32" i="94"/>
  <c r="M32" i="94" s="1"/>
  <c r="N32" i="94" s="1"/>
  <c r="P31" i="94"/>
  <c r="L31" i="94"/>
  <c r="I31" i="94"/>
  <c r="M31" i="94" s="1"/>
  <c r="N31" i="94" s="1"/>
  <c r="L30" i="94"/>
  <c r="I30" i="94"/>
  <c r="L29" i="94"/>
  <c r="I29" i="94"/>
  <c r="K28" i="94"/>
  <c r="K27" i="94" s="1"/>
  <c r="J28" i="94"/>
  <c r="J27" i="94" s="1"/>
  <c r="H28" i="94"/>
  <c r="H27" i="94" s="1"/>
  <c r="G28" i="94"/>
  <c r="F28" i="94"/>
  <c r="T24" i="94"/>
  <c r="S24" i="94"/>
  <c r="U22" i="94"/>
  <c r="K418" i="92"/>
  <c r="K410" i="92"/>
  <c r="K409" i="92"/>
  <c r="K408" i="92"/>
  <c r="K407" i="92"/>
  <c r="H414" i="92"/>
  <c r="H413" i="92"/>
  <c r="H409" i="92"/>
  <c r="H408" i="92"/>
  <c r="H407" i="92"/>
  <c r="H414" i="93"/>
  <c r="I414" i="93" s="1"/>
  <c r="M414" i="93" s="1"/>
  <c r="H413" i="93"/>
  <c r="I413" i="93" s="1"/>
  <c r="M413" i="93" s="1"/>
  <c r="H409" i="93"/>
  <c r="H408" i="93"/>
  <c r="H407" i="93"/>
  <c r="I407" i="93" s="1"/>
  <c r="K418" i="93"/>
  <c r="K410" i="93"/>
  <c r="L410" i="93" s="1"/>
  <c r="K409" i="93"/>
  <c r="L409" i="93" s="1"/>
  <c r="K408" i="93"/>
  <c r="K407" i="93"/>
  <c r="I419" i="93"/>
  <c r="M419" i="93" s="1"/>
  <c r="L418" i="93"/>
  <c r="M418" i="93" s="1"/>
  <c r="I417" i="93"/>
  <c r="M417" i="93" s="1"/>
  <c r="I416" i="93"/>
  <c r="M416" i="93" s="1"/>
  <c r="I415" i="93"/>
  <c r="M415" i="93" s="1"/>
  <c r="L412" i="93"/>
  <c r="I412" i="93"/>
  <c r="I410" i="93"/>
  <c r="L408" i="93"/>
  <c r="I408" i="93"/>
  <c r="L407" i="93"/>
  <c r="J406" i="93"/>
  <c r="G406" i="93"/>
  <c r="I400" i="93"/>
  <c r="M400" i="93" s="1"/>
  <c r="L399" i="93"/>
  <c r="M399" i="93" s="1"/>
  <c r="K399" i="93"/>
  <c r="I398" i="93"/>
  <c r="M398" i="93" s="1"/>
  <c r="I397" i="93"/>
  <c r="M397" i="93" s="1"/>
  <c r="I396" i="93"/>
  <c r="M396" i="93" s="1"/>
  <c r="H395" i="93"/>
  <c r="I395" i="93" s="1"/>
  <c r="M395" i="93" s="1"/>
  <c r="L394" i="93"/>
  <c r="H394" i="93"/>
  <c r="I394" i="93" s="1"/>
  <c r="L393" i="93"/>
  <c r="M393" i="93" s="1"/>
  <c r="I393" i="93"/>
  <c r="K391" i="93"/>
  <c r="L391" i="93" s="1"/>
  <c r="I391" i="93"/>
  <c r="K390" i="93"/>
  <c r="L390" i="93" s="1"/>
  <c r="H390" i="93"/>
  <c r="I390" i="93" s="1"/>
  <c r="M390" i="93" s="1"/>
  <c r="K389" i="93"/>
  <c r="L389" i="93" s="1"/>
  <c r="H389" i="93"/>
  <c r="I389" i="93" s="1"/>
  <c r="K388" i="93"/>
  <c r="K387" i="93" s="1"/>
  <c r="L387" i="93" s="1"/>
  <c r="H388" i="93"/>
  <c r="I388" i="93" s="1"/>
  <c r="J387" i="93"/>
  <c r="G387" i="93"/>
  <c r="L383" i="93"/>
  <c r="I383" i="93"/>
  <c r="M383" i="93" s="1"/>
  <c r="N383" i="93" s="1"/>
  <c r="K382" i="93"/>
  <c r="K381" i="93" s="1"/>
  <c r="J382" i="93"/>
  <c r="J381" i="93" s="1"/>
  <c r="H382" i="93"/>
  <c r="G382" i="93"/>
  <c r="F382" i="93"/>
  <c r="F381" i="93" s="1"/>
  <c r="H381" i="93"/>
  <c r="L380" i="93"/>
  <c r="M380" i="93" s="1"/>
  <c r="N380" i="93" s="1"/>
  <c r="I380" i="93"/>
  <c r="K379" i="93"/>
  <c r="K378" i="93" s="1"/>
  <c r="J379" i="93"/>
  <c r="H379" i="93"/>
  <c r="H378" i="93" s="1"/>
  <c r="G379" i="93"/>
  <c r="G378" i="93" s="1"/>
  <c r="F379" i="93"/>
  <c r="F378" i="93"/>
  <c r="M374" i="93"/>
  <c r="N374" i="93" s="1"/>
  <c r="L374" i="93"/>
  <c r="I374" i="93"/>
  <c r="K373" i="93"/>
  <c r="J373" i="93"/>
  <c r="L373" i="93" s="1"/>
  <c r="H373" i="93"/>
  <c r="G373" i="93"/>
  <c r="F373" i="93"/>
  <c r="K372" i="93"/>
  <c r="K371" i="93" s="1"/>
  <c r="K370" i="93" s="1"/>
  <c r="K369" i="93" s="1"/>
  <c r="J372" i="93"/>
  <c r="J371" i="93" s="1"/>
  <c r="G372" i="93"/>
  <c r="G371" i="93" s="1"/>
  <c r="G370" i="93" s="1"/>
  <c r="F372" i="93"/>
  <c r="F371" i="93" s="1"/>
  <c r="L368" i="93"/>
  <c r="I368" i="93"/>
  <c r="M368" i="93" s="1"/>
  <c r="N368" i="93" s="1"/>
  <c r="L367" i="93"/>
  <c r="I367" i="93"/>
  <c r="M367" i="93" s="1"/>
  <c r="N367" i="93" s="1"/>
  <c r="K366" i="93"/>
  <c r="J366" i="93"/>
  <c r="L366" i="93" s="1"/>
  <c r="H366" i="93"/>
  <c r="G366" i="93"/>
  <c r="I366" i="93" s="1"/>
  <c r="F366" i="93"/>
  <c r="L365" i="93"/>
  <c r="I365" i="93"/>
  <c r="K364" i="93"/>
  <c r="K363" i="93" s="1"/>
  <c r="J364" i="93"/>
  <c r="H364" i="93"/>
  <c r="H363" i="93" s="1"/>
  <c r="G364" i="93"/>
  <c r="G363" i="93" s="1"/>
  <c r="F364" i="93"/>
  <c r="M362" i="93"/>
  <c r="N362" i="93" s="1"/>
  <c r="L362" i="93"/>
  <c r="I362" i="93"/>
  <c r="K361" i="93"/>
  <c r="J361" i="93"/>
  <c r="L361" i="93" s="1"/>
  <c r="H361" i="93"/>
  <c r="H360" i="93" s="1"/>
  <c r="G361" i="93"/>
  <c r="I361" i="93" s="1"/>
  <c r="F361" i="93"/>
  <c r="K360" i="93"/>
  <c r="F360" i="93"/>
  <c r="L356" i="93"/>
  <c r="I356" i="93"/>
  <c r="M356" i="93" s="1"/>
  <c r="N356" i="93" s="1"/>
  <c r="K355" i="93"/>
  <c r="K354" i="93" s="1"/>
  <c r="K353" i="93" s="1"/>
  <c r="K352" i="93" s="1"/>
  <c r="J355" i="93"/>
  <c r="J354" i="93" s="1"/>
  <c r="H355" i="93"/>
  <c r="G355" i="93"/>
  <c r="I355" i="93" s="1"/>
  <c r="F355" i="93"/>
  <c r="F354" i="93" s="1"/>
  <c r="H354" i="93"/>
  <c r="H353" i="93" s="1"/>
  <c r="H352" i="93" s="1"/>
  <c r="H351" i="93" s="1"/>
  <c r="G354" i="93"/>
  <c r="G353" i="93" s="1"/>
  <c r="L348" i="93"/>
  <c r="M348" i="93" s="1"/>
  <c r="N348" i="93" s="1"/>
  <c r="K347" i="93"/>
  <c r="K346" i="93" s="1"/>
  <c r="K345" i="93" s="1"/>
  <c r="K344" i="93" s="1"/>
  <c r="K343" i="93" s="1"/>
  <c r="J347" i="93"/>
  <c r="J346" i="93" s="1"/>
  <c r="H347" i="93"/>
  <c r="H346" i="93" s="1"/>
  <c r="H345" i="93" s="1"/>
  <c r="H344" i="93" s="1"/>
  <c r="H343" i="93" s="1"/>
  <c r="G347" i="93"/>
  <c r="G346" i="93" s="1"/>
  <c r="F347" i="93"/>
  <c r="L342" i="93"/>
  <c r="I342" i="93"/>
  <c r="K341" i="93"/>
  <c r="J341" i="93"/>
  <c r="H341" i="93"/>
  <c r="H340" i="93" s="1"/>
  <c r="H339" i="93" s="1"/>
  <c r="H338" i="93" s="1"/>
  <c r="H337" i="93" s="1"/>
  <c r="G341" i="93"/>
  <c r="G340" i="93" s="1"/>
  <c r="F341" i="93"/>
  <c r="J340" i="93"/>
  <c r="J339" i="93" s="1"/>
  <c r="J338" i="93" s="1"/>
  <c r="F340" i="93"/>
  <c r="F339" i="93" s="1"/>
  <c r="F338" i="93" s="1"/>
  <c r="L336" i="93"/>
  <c r="I336" i="93"/>
  <c r="M336" i="93" s="1"/>
  <c r="N336" i="93" s="1"/>
  <c r="K335" i="93"/>
  <c r="J335" i="93"/>
  <c r="I335" i="93"/>
  <c r="H335" i="93"/>
  <c r="H334" i="93" s="1"/>
  <c r="H333" i="93" s="1"/>
  <c r="H332" i="93" s="1"/>
  <c r="H331" i="93" s="1"/>
  <c r="G335" i="93"/>
  <c r="F335" i="93"/>
  <c r="F334" i="93" s="1"/>
  <c r="F333" i="93" s="1"/>
  <c r="K334" i="93"/>
  <c r="K333" i="93" s="1"/>
  <c r="K332" i="93" s="1"/>
  <c r="K331" i="93" s="1"/>
  <c r="J334" i="93"/>
  <c r="J333" i="93" s="1"/>
  <c r="G334" i="93"/>
  <c r="G333" i="93"/>
  <c r="G332" i="93" s="1"/>
  <c r="L330" i="93"/>
  <c r="I330" i="93"/>
  <c r="S329" i="93"/>
  <c r="L329" i="93"/>
  <c r="M329" i="93" s="1"/>
  <c r="N329" i="93" s="1"/>
  <c r="S328" i="93"/>
  <c r="L328" i="93"/>
  <c r="M328" i="93" s="1"/>
  <c r="N328" i="93" s="1"/>
  <c r="S327" i="93"/>
  <c r="L327" i="93"/>
  <c r="M327" i="93" s="1"/>
  <c r="N327" i="93" s="1"/>
  <c r="L326" i="93"/>
  <c r="M326" i="93" s="1"/>
  <c r="N326" i="93" s="1"/>
  <c r="L325" i="93"/>
  <c r="M325" i="93" s="1"/>
  <c r="N325" i="93" s="1"/>
  <c r="L324" i="93"/>
  <c r="M324" i="93" s="1"/>
  <c r="N324" i="93" s="1"/>
  <c r="K323" i="93"/>
  <c r="K322" i="93" s="1"/>
  <c r="J323" i="93"/>
  <c r="J322" i="93" s="1"/>
  <c r="H323" i="93"/>
  <c r="H322" i="93" s="1"/>
  <c r="G323" i="93"/>
  <c r="G322" i="93" s="1"/>
  <c r="F323" i="93"/>
  <c r="M321" i="93"/>
  <c r="N321" i="93" s="1"/>
  <c r="L321" i="93"/>
  <c r="K320" i="93"/>
  <c r="K319" i="93" s="1"/>
  <c r="K314" i="93" s="1"/>
  <c r="K313" i="93" s="1"/>
  <c r="K312" i="93" s="1"/>
  <c r="J320" i="93"/>
  <c r="H320" i="93"/>
  <c r="H319" i="93" s="1"/>
  <c r="G320" i="93"/>
  <c r="G319" i="93" s="1"/>
  <c r="F320" i="93"/>
  <c r="F319" i="93"/>
  <c r="N318" i="93"/>
  <c r="L318" i="93"/>
  <c r="M318" i="93" s="1"/>
  <c r="S317" i="93"/>
  <c r="L317" i="93"/>
  <c r="M317" i="93" s="1"/>
  <c r="N317" i="93" s="1"/>
  <c r="K316" i="93"/>
  <c r="J316" i="93"/>
  <c r="L316" i="93" s="1"/>
  <c r="H316" i="93"/>
  <c r="H315" i="93" s="1"/>
  <c r="G316" i="93"/>
  <c r="I316" i="93" s="1"/>
  <c r="M316" i="93" s="1"/>
  <c r="F316" i="93"/>
  <c r="F315" i="93" s="1"/>
  <c r="K315" i="93"/>
  <c r="J315" i="93"/>
  <c r="S311" i="93"/>
  <c r="K311" i="93"/>
  <c r="K310" i="93" s="1"/>
  <c r="I311" i="93"/>
  <c r="J310" i="93"/>
  <c r="H310" i="93"/>
  <c r="H309" i="93" s="1"/>
  <c r="G310" i="93"/>
  <c r="G309" i="93" s="1"/>
  <c r="F310" i="93"/>
  <c r="F309" i="93" s="1"/>
  <c r="J309" i="93"/>
  <c r="L308" i="93"/>
  <c r="I308" i="93"/>
  <c r="L307" i="93"/>
  <c r="I307" i="93"/>
  <c r="M307" i="93" s="1"/>
  <c r="N307" i="93" s="1"/>
  <c r="K306" i="93"/>
  <c r="K305" i="93" s="1"/>
  <c r="J306" i="93"/>
  <c r="J305" i="93" s="1"/>
  <c r="H306" i="93"/>
  <c r="G306" i="93"/>
  <c r="F306" i="93"/>
  <c r="F305" i="93" s="1"/>
  <c r="H305" i="93"/>
  <c r="S304" i="93"/>
  <c r="L304" i="93"/>
  <c r="M304" i="93" s="1"/>
  <c r="N304" i="93" s="1"/>
  <c r="K303" i="93"/>
  <c r="J303" i="93"/>
  <c r="H303" i="93"/>
  <c r="H302" i="93" s="1"/>
  <c r="G303" i="93"/>
  <c r="G302" i="93" s="1"/>
  <c r="F303" i="93"/>
  <c r="J302" i="93"/>
  <c r="F302" i="93"/>
  <c r="M296" i="93"/>
  <c r="N296" i="93" s="1"/>
  <c r="L296" i="93"/>
  <c r="L295" i="93"/>
  <c r="I295" i="93"/>
  <c r="M295" i="93" s="1"/>
  <c r="N295" i="93" s="1"/>
  <c r="L294" i="93"/>
  <c r="I294" i="93"/>
  <c r="M294" i="93" s="1"/>
  <c r="N294" i="93" s="1"/>
  <c r="L293" i="93"/>
  <c r="I293" i="93"/>
  <c r="M293" i="93" s="1"/>
  <c r="N293" i="93" s="1"/>
  <c r="K292" i="93"/>
  <c r="J292" i="93"/>
  <c r="L292" i="93" s="1"/>
  <c r="H292" i="93"/>
  <c r="H291" i="93" s="1"/>
  <c r="G292" i="93"/>
  <c r="I292" i="93" s="1"/>
  <c r="F292" i="93"/>
  <c r="F291" i="93" s="1"/>
  <c r="K291" i="93"/>
  <c r="J291" i="93"/>
  <c r="L291" i="93" s="1"/>
  <c r="L290" i="93"/>
  <c r="M290" i="93" s="1"/>
  <c r="N290" i="93" s="1"/>
  <c r="N289" i="93"/>
  <c r="L289" i="93"/>
  <c r="M289" i="93" s="1"/>
  <c r="L288" i="93"/>
  <c r="M288" i="93" s="1"/>
  <c r="N288" i="93" s="1"/>
  <c r="L287" i="93"/>
  <c r="I287" i="93"/>
  <c r="L286" i="93"/>
  <c r="M286" i="93" s="1"/>
  <c r="N286" i="93" s="1"/>
  <c r="L285" i="93"/>
  <c r="M285" i="93" s="1"/>
  <c r="N285" i="93" s="1"/>
  <c r="L284" i="93"/>
  <c r="M284" i="93" s="1"/>
  <c r="N284" i="93" s="1"/>
  <c r="M283" i="93"/>
  <c r="N283" i="93" s="1"/>
  <c r="L283" i="93"/>
  <c r="I283" i="93"/>
  <c r="K282" i="93"/>
  <c r="J282" i="93"/>
  <c r="L282" i="93" s="1"/>
  <c r="H282" i="93"/>
  <c r="H281" i="93" s="1"/>
  <c r="G282" i="93"/>
  <c r="F282" i="93"/>
  <c r="K281" i="93"/>
  <c r="K280" i="93" s="1"/>
  <c r="K279" i="93" s="1"/>
  <c r="K278" i="93" s="1"/>
  <c r="J281" i="93"/>
  <c r="G281" i="93"/>
  <c r="F281" i="93"/>
  <c r="F280" i="93" s="1"/>
  <c r="L277" i="93"/>
  <c r="I277" i="93"/>
  <c r="M277" i="93" s="1"/>
  <c r="N277" i="93" s="1"/>
  <c r="M276" i="93"/>
  <c r="N276" i="93" s="1"/>
  <c r="I276" i="93"/>
  <c r="M275" i="93"/>
  <c r="N275" i="93" s="1"/>
  <c r="I275" i="93"/>
  <c r="L274" i="93"/>
  <c r="I274" i="93"/>
  <c r="L273" i="93"/>
  <c r="K273" i="93"/>
  <c r="K272" i="93" s="1"/>
  <c r="K271" i="93" s="1"/>
  <c r="K270" i="93" s="1"/>
  <c r="K269" i="93" s="1"/>
  <c r="J273" i="93"/>
  <c r="H273" i="93"/>
  <c r="H272" i="93" s="1"/>
  <c r="H271" i="93" s="1"/>
  <c r="H270" i="93" s="1"/>
  <c r="H269" i="93" s="1"/>
  <c r="G273" i="93"/>
  <c r="G272" i="93" s="1"/>
  <c r="F273" i="93"/>
  <c r="F272" i="93" s="1"/>
  <c r="F271" i="93" s="1"/>
  <c r="F270" i="93" s="1"/>
  <c r="J272" i="93"/>
  <c r="J271" i="93" s="1"/>
  <c r="J270" i="93" s="1"/>
  <c r="L268" i="93"/>
  <c r="I268" i="93"/>
  <c r="M268" i="93" s="1"/>
  <c r="N268" i="93" s="1"/>
  <c r="L267" i="93"/>
  <c r="I267" i="93"/>
  <c r="M267" i="93" s="1"/>
  <c r="N267" i="93" s="1"/>
  <c r="T266" i="93"/>
  <c r="L266" i="93"/>
  <c r="H266" i="93"/>
  <c r="H263" i="93" s="1"/>
  <c r="L265" i="93"/>
  <c r="I265" i="93"/>
  <c r="M265" i="93" s="1"/>
  <c r="N265" i="93" s="1"/>
  <c r="S264" i="93"/>
  <c r="K264" i="93"/>
  <c r="I264" i="93"/>
  <c r="J263" i="93"/>
  <c r="G263" i="93"/>
  <c r="F263" i="93"/>
  <c r="J262" i="93"/>
  <c r="G262" i="93"/>
  <c r="F262" i="93"/>
  <c r="L261" i="93"/>
  <c r="I261" i="93"/>
  <c r="M261" i="93" s="1"/>
  <c r="N261" i="93" s="1"/>
  <c r="K260" i="93"/>
  <c r="K259" i="93" s="1"/>
  <c r="J260" i="93"/>
  <c r="J259" i="93" s="1"/>
  <c r="H260" i="93"/>
  <c r="H259" i="93" s="1"/>
  <c r="G260" i="93"/>
  <c r="G259" i="93" s="1"/>
  <c r="F260" i="93"/>
  <c r="L255" i="93"/>
  <c r="M255" i="93" s="1"/>
  <c r="N255" i="93" s="1"/>
  <c r="I255" i="93"/>
  <c r="S254" i="93"/>
  <c r="K254" i="93"/>
  <c r="L254" i="93" s="1"/>
  <c r="M254" i="93" s="1"/>
  <c r="N254" i="93" s="1"/>
  <c r="I254" i="93"/>
  <c r="L253" i="93"/>
  <c r="I253" i="93"/>
  <c r="M253" i="93" s="1"/>
  <c r="N253" i="93" s="1"/>
  <c r="K252" i="93"/>
  <c r="K251" i="93" s="1"/>
  <c r="K250" i="93" s="1"/>
  <c r="K249" i="93" s="1"/>
  <c r="K248" i="93" s="1"/>
  <c r="J252" i="93"/>
  <c r="H252" i="93"/>
  <c r="G252" i="93"/>
  <c r="F252" i="93"/>
  <c r="F251" i="93" s="1"/>
  <c r="H251" i="93"/>
  <c r="H250" i="93" s="1"/>
  <c r="H249" i="93" s="1"/>
  <c r="H248" i="93" s="1"/>
  <c r="I245" i="93"/>
  <c r="M245" i="93" s="1"/>
  <c r="N245" i="93" s="1"/>
  <c r="L244" i="93"/>
  <c r="K244" i="93"/>
  <c r="K243" i="93" s="1"/>
  <c r="K242" i="93" s="1"/>
  <c r="J244" i="93"/>
  <c r="J243" i="93" s="1"/>
  <c r="J242" i="93" s="1"/>
  <c r="H244" i="93"/>
  <c r="H243" i="93" s="1"/>
  <c r="H242" i="93" s="1"/>
  <c r="H241" i="93" s="1"/>
  <c r="H240" i="93" s="1"/>
  <c r="H239" i="93" s="1"/>
  <c r="G244" i="93"/>
  <c r="F244" i="93"/>
  <c r="L243" i="93"/>
  <c r="K241" i="93"/>
  <c r="K240" i="93" s="1"/>
  <c r="K239" i="93" s="1"/>
  <c r="L237" i="93"/>
  <c r="I237" i="93"/>
  <c r="M237" i="93" s="1"/>
  <c r="N237" i="93" s="1"/>
  <c r="K236" i="93"/>
  <c r="J236" i="93"/>
  <c r="I236" i="93"/>
  <c r="H236" i="93"/>
  <c r="H235" i="93" s="1"/>
  <c r="G236" i="93"/>
  <c r="G235" i="93" s="1"/>
  <c r="I235" i="93" s="1"/>
  <c r="F236" i="93"/>
  <c r="K235" i="93"/>
  <c r="K234" i="93" s="1"/>
  <c r="K232" i="93" s="1"/>
  <c r="K231" i="93" s="1"/>
  <c r="H234" i="93"/>
  <c r="L233" i="93"/>
  <c r="I233" i="93"/>
  <c r="H232" i="93"/>
  <c r="H231" i="93" s="1"/>
  <c r="F232" i="93"/>
  <c r="F231" i="93"/>
  <c r="L230" i="93"/>
  <c r="I230" i="93"/>
  <c r="M230" i="93" s="1"/>
  <c r="N230" i="93" s="1"/>
  <c r="L229" i="93"/>
  <c r="I229" i="93"/>
  <c r="L228" i="93"/>
  <c r="I228" i="93"/>
  <c r="K227" i="93"/>
  <c r="J227" i="93"/>
  <c r="H227" i="93"/>
  <c r="G227" i="93"/>
  <c r="F227" i="93"/>
  <c r="K226" i="93"/>
  <c r="H226" i="93"/>
  <c r="M225" i="93"/>
  <c r="N225" i="93" s="1"/>
  <c r="L225" i="93"/>
  <c r="I225" i="93"/>
  <c r="K224" i="93"/>
  <c r="K223" i="93" s="1"/>
  <c r="K222" i="93" s="1"/>
  <c r="K221" i="93" s="1"/>
  <c r="J224" i="93"/>
  <c r="H224" i="93"/>
  <c r="I224" i="93" s="1"/>
  <c r="G224" i="93"/>
  <c r="G223" i="93" s="1"/>
  <c r="F224" i="93"/>
  <c r="H223" i="93"/>
  <c r="H222" i="93" s="1"/>
  <c r="H221" i="93" s="1"/>
  <c r="F223" i="93"/>
  <c r="M220" i="93"/>
  <c r="N220" i="93" s="1"/>
  <c r="I220" i="93"/>
  <c r="L219" i="93"/>
  <c r="M219" i="93" s="1"/>
  <c r="N219" i="93" s="1"/>
  <c r="L218" i="93"/>
  <c r="I218" i="93"/>
  <c r="M218" i="93" s="1"/>
  <c r="N218" i="93" s="1"/>
  <c r="K217" i="93"/>
  <c r="J217" i="93"/>
  <c r="L217" i="93" s="1"/>
  <c r="H217" i="93"/>
  <c r="G217" i="93"/>
  <c r="F217" i="93"/>
  <c r="F216" i="93" s="1"/>
  <c r="K216" i="93"/>
  <c r="J216" i="93"/>
  <c r="L216" i="93" s="1"/>
  <c r="H216" i="93"/>
  <c r="L215" i="93"/>
  <c r="I215" i="93"/>
  <c r="L214" i="93"/>
  <c r="I214" i="93"/>
  <c r="M214" i="93" s="1"/>
  <c r="N214" i="93" s="1"/>
  <c r="K213" i="93"/>
  <c r="K212" i="93" s="1"/>
  <c r="K208" i="93" s="1"/>
  <c r="K207" i="93" s="1"/>
  <c r="J213" i="93"/>
  <c r="H213" i="93"/>
  <c r="H212" i="93" s="1"/>
  <c r="G213" i="93"/>
  <c r="G212" i="93" s="1"/>
  <c r="I212" i="93" s="1"/>
  <c r="F213" i="93"/>
  <c r="J212" i="93"/>
  <c r="L212" i="93" s="1"/>
  <c r="F212" i="93"/>
  <c r="L211" i="93"/>
  <c r="I211" i="93"/>
  <c r="M211" i="93" s="1"/>
  <c r="N211" i="93" s="1"/>
  <c r="K210" i="93"/>
  <c r="J210" i="93"/>
  <c r="L210" i="93" s="1"/>
  <c r="H210" i="93"/>
  <c r="G210" i="93"/>
  <c r="F210" i="93"/>
  <c r="F209" i="93" s="1"/>
  <c r="K209" i="93"/>
  <c r="J209" i="93"/>
  <c r="H209" i="93"/>
  <c r="L205" i="93"/>
  <c r="I205" i="93"/>
  <c r="K204" i="93"/>
  <c r="L204" i="93" s="1"/>
  <c r="J204" i="93"/>
  <c r="J203" i="93" s="1"/>
  <c r="H204" i="93"/>
  <c r="H203" i="93" s="1"/>
  <c r="H202" i="93" s="1"/>
  <c r="H201" i="93" s="1"/>
  <c r="H199" i="93" s="1"/>
  <c r="H198" i="93" s="1"/>
  <c r="G204" i="93"/>
  <c r="I204" i="93" s="1"/>
  <c r="F204" i="93"/>
  <c r="F203" i="93" s="1"/>
  <c r="F202" i="93" s="1"/>
  <c r="J202" i="93"/>
  <c r="J201" i="93" s="1"/>
  <c r="J199" i="93" s="1"/>
  <c r="L200" i="93"/>
  <c r="I200" i="93"/>
  <c r="M200" i="93" s="1"/>
  <c r="N200" i="93" s="1"/>
  <c r="F199" i="93"/>
  <c r="M197" i="93"/>
  <c r="N197" i="93" s="1"/>
  <c r="L197" i="93"/>
  <c r="I197" i="93"/>
  <c r="L196" i="93"/>
  <c r="M196" i="93" s="1"/>
  <c r="N196" i="93" s="1"/>
  <c r="I196" i="93"/>
  <c r="K195" i="93"/>
  <c r="K194" i="93" s="1"/>
  <c r="J195" i="93"/>
  <c r="H195" i="93"/>
  <c r="H194" i="93" s="1"/>
  <c r="G195" i="93"/>
  <c r="F195" i="93"/>
  <c r="J194" i="93"/>
  <c r="F194" i="93"/>
  <c r="L193" i="93"/>
  <c r="M193" i="93" s="1"/>
  <c r="N193" i="93" s="1"/>
  <c r="M192" i="93"/>
  <c r="N192" i="93" s="1"/>
  <c r="L192" i="93"/>
  <c r="L191" i="93"/>
  <c r="M191" i="93" s="1"/>
  <c r="N191" i="93" s="1"/>
  <c r="L190" i="93"/>
  <c r="M190" i="93" s="1"/>
  <c r="N190" i="93" s="1"/>
  <c r="L189" i="93"/>
  <c r="I189" i="93"/>
  <c r="M189" i="93" s="1"/>
  <c r="N189" i="93" s="1"/>
  <c r="K188" i="93"/>
  <c r="K187" i="93" s="1"/>
  <c r="J188" i="93"/>
  <c r="J187" i="93" s="1"/>
  <c r="H188" i="93"/>
  <c r="G188" i="93"/>
  <c r="G187" i="93" s="1"/>
  <c r="F188" i="93"/>
  <c r="H187" i="93"/>
  <c r="H186" i="93" s="1"/>
  <c r="H185" i="93" s="1"/>
  <c r="H184" i="93" s="1"/>
  <c r="S183" i="93"/>
  <c r="L183" i="93"/>
  <c r="M183" i="93" s="1"/>
  <c r="N183" i="93" s="1"/>
  <c r="K183" i="93"/>
  <c r="K181" i="93" s="1"/>
  <c r="K180" i="93" s="1"/>
  <c r="L182" i="93"/>
  <c r="I182" i="93"/>
  <c r="J181" i="93"/>
  <c r="L181" i="93" s="1"/>
  <c r="I181" i="93"/>
  <c r="H181" i="93"/>
  <c r="H180" i="93" s="1"/>
  <c r="G181" i="93"/>
  <c r="F181" i="93"/>
  <c r="F180" i="93" s="1"/>
  <c r="G180" i="93"/>
  <c r="I180" i="93" s="1"/>
  <c r="L179" i="93"/>
  <c r="I179" i="93"/>
  <c r="L178" i="93"/>
  <c r="I178" i="93"/>
  <c r="M178" i="93" s="1"/>
  <c r="N178" i="93" s="1"/>
  <c r="K177" i="93"/>
  <c r="K176" i="93" s="1"/>
  <c r="J177" i="93"/>
  <c r="J176" i="93" s="1"/>
  <c r="H177" i="93"/>
  <c r="G177" i="93"/>
  <c r="G176" i="93" s="1"/>
  <c r="F177" i="93"/>
  <c r="H176" i="93"/>
  <c r="L172" i="93"/>
  <c r="M172" i="93" s="1"/>
  <c r="N172" i="93" s="1"/>
  <c r="S171" i="93"/>
  <c r="L171" i="93"/>
  <c r="M171" i="93" s="1"/>
  <c r="N171" i="93" s="1"/>
  <c r="K171" i="93"/>
  <c r="I171" i="93"/>
  <c r="S170" i="93"/>
  <c r="K170" i="93"/>
  <c r="L170" i="93" s="1"/>
  <c r="I170" i="93"/>
  <c r="K169" i="93"/>
  <c r="K168" i="93" s="1"/>
  <c r="K167" i="93" s="1"/>
  <c r="K166" i="93" s="1"/>
  <c r="K165" i="93" s="1"/>
  <c r="J169" i="93"/>
  <c r="H169" i="93"/>
  <c r="G169" i="93"/>
  <c r="G168" i="93" s="1"/>
  <c r="F169" i="93"/>
  <c r="H168" i="93"/>
  <c r="H167" i="93" s="1"/>
  <c r="H166" i="93" s="1"/>
  <c r="H165" i="93" s="1"/>
  <c r="L164" i="93"/>
  <c r="I164" i="93"/>
  <c r="L163" i="93"/>
  <c r="I163" i="93"/>
  <c r="M163" i="93" s="1"/>
  <c r="N163" i="93" s="1"/>
  <c r="K162" i="93"/>
  <c r="J162" i="93"/>
  <c r="L162" i="93" s="1"/>
  <c r="H162" i="93"/>
  <c r="G162" i="93"/>
  <c r="F162" i="93"/>
  <c r="L161" i="93"/>
  <c r="I161" i="93"/>
  <c r="M161" i="93" s="1"/>
  <c r="N161" i="93" s="1"/>
  <c r="K160" i="93"/>
  <c r="J160" i="93"/>
  <c r="I160" i="93"/>
  <c r="H160" i="93"/>
  <c r="G160" i="93"/>
  <c r="G156" i="93" s="1"/>
  <c r="I156" i="93" s="1"/>
  <c r="F160" i="93"/>
  <c r="K159" i="93"/>
  <c r="J159" i="93"/>
  <c r="L159" i="93" s="1"/>
  <c r="G159" i="93"/>
  <c r="L158" i="93"/>
  <c r="I158" i="93"/>
  <c r="K157" i="93"/>
  <c r="K156" i="93" s="1"/>
  <c r="J157" i="93"/>
  <c r="L157" i="93" s="1"/>
  <c r="H157" i="93"/>
  <c r="G157" i="93"/>
  <c r="F157" i="93"/>
  <c r="H156" i="93"/>
  <c r="L155" i="93"/>
  <c r="M155" i="93" s="1"/>
  <c r="N155" i="93" s="1"/>
  <c r="I155" i="93"/>
  <c r="M154" i="93"/>
  <c r="N154" i="93" s="1"/>
  <c r="L154" i="93"/>
  <c r="I154" i="93"/>
  <c r="K153" i="93"/>
  <c r="K149" i="93" s="1"/>
  <c r="K148" i="93" s="1"/>
  <c r="K147" i="93" s="1"/>
  <c r="J153" i="93"/>
  <c r="I153" i="93"/>
  <c r="H153" i="93"/>
  <c r="H149" i="93" s="1"/>
  <c r="G153" i="93"/>
  <c r="F153" i="93"/>
  <c r="N152" i="93"/>
  <c r="L152" i="93"/>
  <c r="I152" i="93"/>
  <c r="M152" i="93" s="1"/>
  <c r="L151" i="93"/>
  <c r="M151" i="93" s="1"/>
  <c r="N151" i="93" s="1"/>
  <c r="I151" i="93"/>
  <c r="K150" i="93"/>
  <c r="J150" i="93"/>
  <c r="H150" i="93"/>
  <c r="G150" i="93"/>
  <c r="F150" i="93"/>
  <c r="J149" i="93"/>
  <c r="G149" i="93"/>
  <c r="N146" i="93"/>
  <c r="L146" i="93"/>
  <c r="I146" i="93"/>
  <c r="M146" i="93" s="1"/>
  <c r="L145" i="93"/>
  <c r="M145" i="93" s="1"/>
  <c r="N145" i="93" s="1"/>
  <c r="I145" i="93"/>
  <c r="N144" i="93"/>
  <c r="L144" i="93"/>
  <c r="I144" i="93"/>
  <c r="M144" i="93" s="1"/>
  <c r="K143" i="93"/>
  <c r="J143" i="93"/>
  <c r="J142" i="93" s="1"/>
  <c r="I143" i="93"/>
  <c r="H143" i="93"/>
  <c r="H142" i="93" s="1"/>
  <c r="H141" i="93" s="1"/>
  <c r="H140" i="93" s="1"/>
  <c r="G143" i="93"/>
  <c r="F143" i="93"/>
  <c r="F142" i="93" s="1"/>
  <c r="K142" i="93"/>
  <c r="K141" i="93" s="1"/>
  <c r="K140" i="93" s="1"/>
  <c r="G142" i="93"/>
  <c r="G141" i="93" s="1"/>
  <c r="L136" i="93"/>
  <c r="I136" i="93"/>
  <c r="M136" i="93" s="1"/>
  <c r="N136" i="93" s="1"/>
  <c r="L135" i="93"/>
  <c r="I135" i="93"/>
  <c r="L134" i="93"/>
  <c r="I134" i="93"/>
  <c r="L133" i="93"/>
  <c r="I133" i="93"/>
  <c r="M133" i="93" s="1"/>
  <c r="N133" i="93" s="1"/>
  <c r="K132" i="93"/>
  <c r="K131" i="93" s="1"/>
  <c r="J132" i="93"/>
  <c r="L132" i="93" s="1"/>
  <c r="H132" i="93"/>
  <c r="H131" i="93" s="1"/>
  <c r="G132" i="93"/>
  <c r="F132" i="93"/>
  <c r="L130" i="93"/>
  <c r="I130" i="93"/>
  <c r="M130" i="93" s="1"/>
  <c r="N130" i="93" s="1"/>
  <c r="L129" i="93"/>
  <c r="I129" i="93"/>
  <c r="L128" i="93"/>
  <c r="M128" i="93" s="1"/>
  <c r="N128" i="93" s="1"/>
  <c r="I128" i="93"/>
  <c r="K127" i="93"/>
  <c r="J127" i="93"/>
  <c r="J126" i="93" s="1"/>
  <c r="H127" i="93"/>
  <c r="H126" i="93" s="1"/>
  <c r="G127" i="93"/>
  <c r="F127" i="93"/>
  <c r="F126" i="93" s="1"/>
  <c r="K126" i="93"/>
  <c r="S120" i="93"/>
  <c r="M120" i="93"/>
  <c r="N120" i="93" s="1"/>
  <c r="K120" i="93"/>
  <c r="L120" i="93" s="1"/>
  <c r="I120" i="93"/>
  <c r="L119" i="93"/>
  <c r="M119" i="93" s="1"/>
  <c r="N119" i="93" s="1"/>
  <c r="I119" i="93"/>
  <c r="N118" i="93"/>
  <c r="L118" i="93"/>
  <c r="I118" i="93"/>
  <c r="M118" i="93" s="1"/>
  <c r="K117" i="93"/>
  <c r="K116" i="93" s="1"/>
  <c r="K115" i="93" s="1"/>
  <c r="K114" i="93" s="1"/>
  <c r="J117" i="93"/>
  <c r="J116" i="93" s="1"/>
  <c r="I117" i="93"/>
  <c r="H117" i="93"/>
  <c r="H116" i="93" s="1"/>
  <c r="H115" i="93" s="1"/>
  <c r="H114" i="93" s="1"/>
  <c r="H113" i="93" s="1"/>
  <c r="G117" i="93"/>
  <c r="F117" i="93"/>
  <c r="F116" i="93" s="1"/>
  <c r="G116" i="93"/>
  <c r="G115" i="93" s="1"/>
  <c r="L112" i="93"/>
  <c r="I112" i="93"/>
  <c r="M112" i="93" s="1"/>
  <c r="N112" i="93" s="1"/>
  <c r="L111" i="93"/>
  <c r="I111" i="93"/>
  <c r="L110" i="93"/>
  <c r="I110" i="93"/>
  <c r="L109" i="93"/>
  <c r="I109" i="93"/>
  <c r="M109" i="93" s="1"/>
  <c r="N109" i="93" s="1"/>
  <c r="L108" i="93"/>
  <c r="I108" i="93"/>
  <c r="L107" i="93"/>
  <c r="I107" i="93"/>
  <c r="L106" i="93"/>
  <c r="I106" i="93"/>
  <c r="M106" i="93" s="1"/>
  <c r="N106" i="93" s="1"/>
  <c r="L105" i="93"/>
  <c r="I105" i="93"/>
  <c r="L104" i="93"/>
  <c r="I104" i="93"/>
  <c r="L103" i="93"/>
  <c r="I103" i="93"/>
  <c r="M103" i="93" s="1"/>
  <c r="N103" i="93" s="1"/>
  <c r="K102" i="93"/>
  <c r="K101" i="93" s="1"/>
  <c r="J102" i="93"/>
  <c r="H102" i="93"/>
  <c r="G102" i="93"/>
  <c r="G101" i="93" s="1"/>
  <c r="F102" i="93"/>
  <c r="H101" i="93"/>
  <c r="L100" i="93"/>
  <c r="I100" i="93"/>
  <c r="M100" i="93" s="1"/>
  <c r="N100" i="93" s="1"/>
  <c r="H99" i="93"/>
  <c r="G99" i="93"/>
  <c r="F99" i="93"/>
  <c r="L98" i="93"/>
  <c r="I98" i="93"/>
  <c r="M98" i="93" s="1"/>
  <c r="N98" i="93" s="1"/>
  <c r="L97" i="93"/>
  <c r="I97" i="93"/>
  <c r="M97" i="93" s="1"/>
  <c r="N97" i="93" s="1"/>
  <c r="M96" i="93"/>
  <c r="N96" i="93" s="1"/>
  <c r="L96" i="93"/>
  <c r="I96" i="93"/>
  <c r="J95" i="93"/>
  <c r="H95" i="93"/>
  <c r="G95" i="93"/>
  <c r="F95" i="93"/>
  <c r="L94" i="93"/>
  <c r="I94" i="93"/>
  <c r="L93" i="93"/>
  <c r="I93" i="93"/>
  <c r="M93" i="93" s="1"/>
  <c r="N93" i="93" s="1"/>
  <c r="L92" i="93"/>
  <c r="I92" i="93"/>
  <c r="L91" i="93"/>
  <c r="I91" i="93"/>
  <c r="L90" i="93"/>
  <c r="I90" i="93"/>
  <c r="M90" i="93" s="1"/>
  <c r="N90" i="93" s="1"/>
  <c r="L89" i="93"/>
  <c r="I89" i="93"/>
  <c r="L88" i="93"/>
  <c r="I88" i="93"/>
  <c r="L87" i="93"/>
  <c r="I87" i="93"/>
  <c r="M87" i="93" s="1"/>
  <c r="N87" i="93" s="1"/>
  <c r="L86" i="93"/>
  <c r="I86" i="93"/>
  <c r="L85" i="93"/>
  <c r="I85" i="93"/>
  <c r="K84" i="93"/>
  <c r="L84" i="93" s="1"/>
  <c r="I84" i="93"/>
  <c r="H84" i="93"/>
  <c r="G84" i="93"/>
  <c r="F84" i="93"/>
  <c r="K83" i="93"/>
  <c r="L83" i="93" s="1"/>
  <c r="T82" i="93"/>
  <c r="H82" i="93"/>
  <c r="I82" i="93" s="1"/>
  <c r="M82" i="93" s="1"/>
  <c r="N82" i="93" s="1"/>
  <c r="K81" i="93"/>
  <c r="L81" i="93" s="1"/>
  <c r="G81" i="93"/>
  <c r="F81" i="93"/>
  <c r="I80" i="93"/>
  <c r="M80" i="93" s="1"/>
  <c r="N80" i="93" s="1"/>
  <c r="K79" i="93"/>
  <c r="L79" i="93" s="1"/>
  <c r="I79" i="93"/>
  <c r="M79" i="93" s="1"/>
  <c r="N79" i="93" s="1"/>
  <c r="H79" i="93"/>
  <c r="G79" i="93"/>
  <c r="F79" i="93"/>
  <c r="L78" i="93"/>
  <c r="I78" i="93"/>
  <c r="M78" i="93" s="1"/>
  <c r="N78" i="93" s="1"/>
  <c r="K77" i="93"/>
  <c r="L77" i="93" s="1"/>
  <c r="H77" i="93"/>
  <c r="G77" i="93"/>
  <c r="I77" i="93" s="1"/>
  <c r="F77" i="93"/>
  <c r="L75" i="93"/>
  <c r="I75" i="93"/>
  <c r="K74" i="93"/>
  <c r="L74" i="93" s="1"/>
  <c r="I74" i="93"/>
  <c r="H74" i="93"/>
  <c r="G74" i="93"/>
  <c r="F74" i="93"/>
  <c r="L73" i="93"/>
  <c r="I73" i="93"/>
  <c r="M73" i="93" s="1"/>
  <c r="N73" i="93" s="1"/>
  <c r="K72" i="93"/>
  <c r="L72" i="93" s="1"/>
  <c r="H72" i="93"/>
  <c r="G72" i="93"/>
  <c r="F72" i="93"/>
  <c r="L71" i="93"/>
  <c r="I71" i="93"/>
  <c r="K70" i="93"/>
  <c r="L70" i="93" s="1"/>
  <c r="H70" i="93"/>
  <c r="I70" i="93" s="1"/>
  <c r="M70" i="93" s="1"/>
  <c r="N70" i="93" s="1"/>
  <c r="G70" i="93"/>
  <c r="F70" i="93"/>
  <c r="L69" i="93"/>
  <c r="I69" i="93"/>
  <c r="K68" i="93"/>
  <c r="L68" i="93" s="1"/>
  <c r="H68" i="93"/>
  <c r="G68" i="93"/>
  <c r="I68" i="93" s="1"/>
  <c r="M68" i="93" s="1"/>
  <c r="N68" i="93" s="1"/>
  <c r="F68" i="93"/>
  <c r="T67" i="93"/>
  <c r="L67" i="93"/>
  <c r="I67" i="93"/>
  <c r="M67" i="93" s="1"/>
  <c r="N67" i="93" s="1"/>
  <c r="H67" i="93"/>
  <c r="L66" i="93"/>
  <c r="K66" i="93"/>
  <c r="H66" i="93"/>
  <c r="G66" i="93"/>
  <c r="I66" i="93" s="1"/>
  <c r="F66" i="93"/>
  <c r="T65" i="93"/>
  <c r="L65" i="93"/>
  <c r="H65" i="93"/>
  <c r="H64" i="93" s="1"/>
  <c r="K64" i="93"/>
  <c r="L64" i="93" s="1"/>
  <c r="G64" i="93"/>
  <c r="F64" i="93"/>
  <c r="T63" i="93"/>
  <c r="L63" i="93"/>
  <c r="I63" i="93"/>
  <c r="H63" i="93"/>
  <c r="H62" i="93" s="1"/>
  <c r="K62" i="93"/>
  <c r="L62" i="93" s="1"/>
  <c r="G62" i="93"/>
  <c r="F62" i="93"/>
  <c r="T61" i="93"/>
  <c r="L61" i="93"/>
  <c r="H61" i="93"/>
  <c r="I61" i="93" s="1"/>
  <c r="K60" i="93"/>
  <c r="L60" i="93" s="1"/>
  <c r="G60" i="93"/>
  <c r="F60" i="93"/>
  <c r="T59" i="93"/>
  <c r="L59" i="93"/>
  <c r="I59" i="93"/>
  <c r="H59" i="93"/>
  <c r="L58" i="93"/>
  <c r="K58" i="93"/>
  <c r="H58" i="93"/>
  <c r="G58" i="93"/>
  <c r="I58" i="93" s="1"/>
  <c r="M58" i="93" s="1"/>
  <c r="F58" i="93"/>
  <c r="T57" i="93"/>
  <c r="L57" i="93"/>
  <c r="H57" i="93"/>
  <c r="I57" i="93" s="1"/>
  <c r="K56" i="93"/>
  <c r="L56" i="93" s="1"/>
  <c r="G56" i="93"/>
  <c r="F56" i="93"/>
  <c r="T55" i="93"/>
  <c r="L55" i="93"/>
  <c r="I55" i="93"/>
  <c r="H55" i="93"/>
  <c r="H54" i="93" s="1"/>
  <c r="L54" i="93"/>
  <c r="K54" i="93"/>
  <c r="K51" i="93" s="1"/>
  <c r="L51" i="93" s="1"/>
  <c r="G54" i="93"/>
  <c r="I54" i="93" s="1"/>
  <c r="F54" i="93"/>
  <c r="T53" i="93"/>
  <c r="L53" i="93"/>
  <c r="H53" i="93"/>
  <c r="H52" i="93" s="1"/>
  <c r="K52" i="93"/>
  <c r="L52" i="93" s="1"/>
  <c r="G52" i="93"/>
  <c r="F52" i="93"/>
  <c r="F51" i="93"/>
  <c r="J48" i="93"/>
  <c r="L45" i="93"/>
  <c r="I45" i="93"/>
  <c r="L44" i="93"/>
  <c r="K44" i="93"/>
  <c r="K43" i="93" s="1"/>
  <c r="K42" i="93" s="1"/>
  <c r="I44" i="93"/>
  <c r="J43" i="93"/>
  <c r="L43" i="93" s="1"/>
  <c r="H43" i="93"/>
  <c r="H42" i="93" s="1"/>
  <c r="G43" i="93"/>
  <c r="F43" i="93"/>
  <c r="F42" i="93" s="1"/>
  <c r="J42" i="93"/>
  <c r="L42" i="93" s="1"/>
  <c r="G42" i="93"/>
  <c r="I42" i="93" s="1"/>
  <c r="L41" i="93"/>
  <c r="I41" i="93"/>
  <c r="L40" i="93"/>
  <c r="M40" i="93" s="1"/>
  <c r="N40" i="93" s="1"/>
  <c r="M39" i="93"/>
  <c r="N39" i="93" s="1"/>
  <c r="L39" i="93"/>
  <c r="M38" i="93"/>
  <c r="N38" i="93" s="1"/>
  <c r="L38" i="93"/>
  <c r="L37" i="93"/>
  <c r="I37" i="93"/>
  <c r="L36" i="93"/>
  <c r="K36" i="93"/>
  <c r="K35" i="93" s="1"/>
  <c r="J36" i="93"/>
  <c r="H36" i="93"/>
  <c r="H35" i="93" s="1"/>
  <c r="G36" i="93"/>
  <c r="G35" i="93" s="1"/>
  <c r="F36" i="93"/>
  <c r="F35" i="93" s="1"/>
  <c r="F34" i="93" s="1"/>
  <c r="J35" i="93"/>
  <c r="L35" i="93" s="1"/>
  <c r="J34" i="93"/>
  <c r="J33" i="93" s="1"/>
  <c r="L31" i="93"/>
  <c r="I31" i="93"/>
  <c r="M31" i="93" s="1"/>
  <c r="N31" i="93" s="1"/>
  <c r="K30" i="93"/>
  <c r="J30" i="93"/>
  <c r="L30" i="93" s="1"/>
  <c r="H30" i="93"/>
  <c r="H29" i="93" s="1"/>
  <c r="G30" i="93"/>
  <c r="F30" i="93"/>
  <c r="F29" i="93" s="1"/>
  <c r="K29" i="93"/>
  <c r="J29" i="93"/>
  <c r="L29" i="93" s="1"/>
  <c r="L28" i="93"/>
  <c r="M28" i="93" s="1"/>
  <c r="N28" i="93" s="1"/>
  <c r="L27" i="93"/>
  <c r="M27" i="93" s="1"/>
  <c r="N27" i="93" s="1"/>
  <c r="P26" i="93"/>
  <c r="L26" i="93"/>
  <c r="I26" i="93"/>
  <c r="M26" i="93" s="1"/>
  <c r="N26" i="93" s="1"/>
  <c r="L25" i="93"/>
  <c r="I25" i="93"/>
  <c r="L24" i="93"/>
  <c r="I24" i="93"/>
  <c r="K23" i="93"/>
  <c r="K22" i="93" s="1"/>
  <c r="K21" i="93" s="1"/>
  <c r="K20" i="93" s="1"/>
  <c r="K19" i="93" s="1"/>
  <c r="J23" i="93"/>
  <c r="L23" i="93" s="1"/>
  <c r="H23" i="93"/>
  <c r="H22" i="93" s="1"/>
  <c r="H21" i="93" s="1"/>
  <c r="H20" i="93" s="1"/>
  <c r="H19" i="93" s="1"/>
  <c r="G23" i="93"/>
  <c r="F23" i="93"/>
  <c r="U17" i="93"/>
  <c r="I307" i="94" l="1"/>
  <c r="F368" i="94"/>
  <c r="I383" i="94"/>
  <c r="M205" i="94"/>
  <c r="N205" i="94" s="1"/>
  <c r="M29" i="94"/>
  <c r="N29" i="94" s="1"/>
  <c r="M223" i="94"/>
  <c r="N223" i="94" s="1"/>
  <c r="M238" i="94"/>
  <c r="N238" i="94" s="1"/>
  <c r="L155" i="94"/>
  <c r="L162" i="94"/>
  <c r="M162" i="94" s="1"/>
  <c r="N162" i="94" s="1"/>
  <c r="I167" i="94"/>
  <c r="M169" i="94"/>
  <c r="N169" i="94" s="1"/>
  <c r="M183" i="94"/>
  <c r="N183" i="94" s="1"/>
  <c r="I344" i="94"/>
  <c r="H26" i="94"/>
  <c r="H25" i="94" s="1"/>
  <c r="H24" i="94" s="1"/>
  <c r="M46" i="94"/>
  <c r="N46" i="94" s="1"/>
  <c r="I241" i="94"/>
  <c r="L278" i="94"/>
  <c r="I297" i="94"/>
  <c r="M30" i="94"/>
  <c r="N30" i="94" s="1"/>
  <c r="I34" i="94"/>
  <c r="M62" i="94"/>
  <c r="N62" i="94" s="1"/>
  <c r="I73" i="94"/>
  <c r="M73" i="94" s="1"/>
  <c r="N73" i="94" s="1"/>
  <c r="I75" i="94"/>
  <c r="M75" i="94" s="1"/>
  <c r="N75" i="94" s="1"/>
  <c r="I77" i="94"/>
  <c r="M77" i="94" s="1"/>
  <c r="N77" i="94" s="1"/>
  <c r="M108" i="94"/>
  <c r="N108" i="94" s="1"/>
  <c r="M111" i="94"/>
  <c r="N111" i="94" s="1"/>
  <c r="M114" i="94"/>
  <c r="N114" i="94" s="1"/>
  <c r="M133" i="94"/>
  <c r="N133" i="94" s="1"/>
  <c r="M361" i="94"/>
  <c r="N361" i="94" s="1"/>
  <c r="L369" i="94"/>
  <c r="M150" i="94"/>
  <c r="N150" i="94" s="1"/>
  <c r="M194" i="94"/>
  <c r="N194" i="94" s="1"/>
  <c r="M258" i="94"/>
  <c r="N258" i="94" s="1"/>
  <c r="M341" i="94"/>
  <c r="N341" i="94" s="1"/>
  <c r="M116" i="94"/>
  <c r="N116" i="94" s="1"/>
  <c r="M216" i="94"/>
  <c r="N216" i="94" s="1"/>
  <c r="M270" i="94"/>
  <c r="N270" i="94" s="1"/>
  <c r="I86" i="94"/>
  <c r="J147" i="94"/>
  <c r="L147" i="94" s="1"/>
  <c r="J277" i="94"/>
  <c r="L277" i="94" s="1"/>
  <c r="M292" i="94"/>
  <c r="N292" i="94" s="1"/>
  <c r="H39" i="94"/>
  <c r="H38" i="94" s="1"/>
  <c r="H37" i="94" s="1"/>
  <c r="I47" i="94"/>
  <c r="M101" i="94"/>
  <c r="N101" i="94" s="1"/>
  <c r="M149" i="94"/>
  <c r="N149" i="94" s="1"/>
  <c r="M156" i="94"/>
  <c r="N156" i="94" s="1"/>
  <c r="I182" i="94"/>
  <c r="L215" i="94"/>
  <c r="I218" i="94"/>
  <c r="M220" i="94"/>
  <c r="N220" i="94" s="1"/>
  <c r="M230" i="94"/>
  <c r="N230" i="94" s="1"/>
  <c r="L231" i="94"/>
  <c r="M235" i="94"/>
  <c r="N235" i="94" s="1"/>
  <c r="M300" i="94"/>
  <c r="N300" i="94" s="1"/>
  <c r="I308" i="94"/>
  <c r="M347" i="94"/>
  <c r="N347" i="94" s="1"/>
  <c r="I28" i="94"/>
  <c r="I61" i="94"/>
  <c r="M61" i="94" s="1"/>
  <c r="N61" i="94" s="1"/>
  <c r="M74" i="94"/>
  <c r="N74" i="94" s="1"/>
  <c r="M78" i="94"/>
  <c r="N78" i="94" s="1"/>
  <c r="L136" i="94"/>
  <c r="M140" i="94"/>
  <c r="N140" i="94" s="1"/>
  <c r="M163" i="94"/>
  <c r="N163" i="94" s="1"/>
  <c r="L167" i="94"/>
  <c r="L182" i="94"/>
  <c r="H306" i="94"/>
  <c r="H305" i="94" s="1"/>
  <c r="H304" i="94" s="1"/>
  <c r="I321" i="94"/>
  <c r="M372" i="94"/>
  <c r="N372" i="94" s="1"/>
  <c r="M388" i="94"/>
  <c r="N388" i="94" s="1"/>
  <c r="H285" i="94"/>
  <c r="H284" i="94" s="1"/>
  <c r="H283" i="94" s="1"/>
  <c r="L100" i="94"/>
  <c r="H130" i="94"/>
  <c r="H129" i="94" s="1"/>
  <c r="H128" i="94" s="1"/>
  <c r="H127" i="94" s="1"/>
  <c r="G27" i="94"/>
  <c r="I27" i="94" s="1"/>
  <c r="I41" i="94"/>
  <c r="M66" i="94"/>
  <c r="N66" i="94" s="1"/>
  <c r="M92" i="94"/>
  <c r="N92" i="94" s="1"/>
  <c r="M95" i="94"/>
  <c r="N95" i="94" s="1"/>
  <c r="M98" i="94"/>
  <c r="N98" i="94" s="1"/>
  <c r="M105" i="94"/>
  <c r="N105" i="94" s="1"/>
  <c r="L107" i="94"/>
  <c r="M110" i="94"/>
  <c r="N110" i="94" s="1"/>
  <c r="M113" i="94"/>
  <c r="N113" i="94" s="1"/>
  <c r="M134" i="94"/>
  <c r="N134" i="94" s="1"/>
  <c r="M159" i="94"/>
  <c r="N159" i="94" s="1"/>
  <c r="M166" i="94"/>
  <c r="N166" i="94" s="1"/>
  <c r="M184" i="94"/>
  <c r="N184" i="94" s="1"/>
  <c r="M234" i="94"/>
  <c r="N234" i="94" s="1"/>
  <c r="M279" i="94"/>
  <c r="N279" i="94" s="1"/>
  <c r="M288" i="94"/>
  <c r="N288" i="94" s="1"/>
  <c r="I315" i="94"/>
  <c r="L346" i="94"/>
  <c r="M379" i="94"/>
  <c r="N379" i="94" s="1"/>
  <c r="I387" i="94"/>
  <c r="L360" i="94"/>
  <c r="K81" i="94"/>
  <c r="L81" i="94" s="1"/>
  <c r="I221" i="94"/>
  <c r="I278" i="94"/>
  <c r="K382" i="94"/>
  <c r="K381" i="94" s="1"/>
  <c r="K380" i="94" s="1"/>
  <c r="H81" i="94"/>
  <c r="J181" i="94"/>
  <c r="L181" i="94" s="1"/>
  <c r="M123" i="94"/>
  <c r="N123" i="94" s="1"/>
  <c r="J131" i="94"/>
  <c r="L131" i="94" s="1"/>
  <c r="I148" i="94"/>
  <c r="M148" i="94" s="1"/>
  <c r="N148" i="94" s="1"/>
  <c r="J214" i="94"/>
  <c r="L214" i="94" s="1"/>
  <c r="H213" i="94"/>
  <c r="H212" i="94" s="1"/>
  <c r="L28" i="94"/>
  <c r="M260" i="94"/>
  <c r="N260" i="94" s="1"/>
  <c r="I57" i="94"/>
  <c r="M57" i="94" s="1"/>
  <c r="N57" i="94" s="1"/>
  <c r="M102" i="94"/>
  <c r="N102" i="94" s="1"/>
  <c r="J161" i="94"/>
  <c r="L209" i="94"/>
  <c r="M269" i="94"/>
  <c r="N269" i="94" s="1"/>
  <c r="G320" i="94"/>
  <c r="I320" i="94" s="1"/>
  <c r="L328" i="94"/>
  <c r="L292" i="96"/>
  <c r="J291" i="96"/>
  <c r="L291" i="96" s="1"/>
  <c r="L153" i="93"/>
  <c r="M153" i="93" s="1"/>
  <c r="N153" i="93" s="1"/>
  <c r="M215" i="93"/>
  <c r="N215" i="93" s="1"/>
  <c r="K263" i="93"/>
  <c r="K262" i="93" s="1"/>
  <c r="L264" i="93"/>
  <c r="M264" i="93" s="1"/>
  <c r="N264" i="93" s="1"/>
  <c r="K340" i="93"/>
  <c r="K339" i="93" s="1"/>
  <c r="K338" i="93" s="1"/>
  <c r="K337" i="93" s="1"/>
  <c r="L341" i="93"/>
  <c r="H324" i="94"/>
  <c r="I324" i="94" s="1"/>
  <c r="I325" i="94"/>
  <c r="I217" i="93"/>
  <c r="M217" i="93" s="1"/>
  <c r="N217" i="93" s="1"/>
  <c r="G216" i="93"/>
  <c r="L227" i="93"/>
  <c r="J226" i="93"/>
  <c r="J222" i="93" s="1"/>
  <c r="I188" i="96"/>
  <c r="G187" i="96"/>
  <c r="G186" i="96" s="1"/>
  <c r="I62" i="93"/>
  <c r="M62" i="93" s="1"/>
  <c r="K139" i="93"/>
  <c r="I195" i="93"/>
  <c r="G194" i="93"/>
  <c r="I194" i="93" s="1"/>
  <c r="M194" i="93" s="1"/>
  <c r="N194" i="93" s="1"/>
  <c r="M54" i="93"/>
  <c r="I72" i="93"/>
  <c r="K76" i="93"/>
  <c r="L76" i="93" s="1"/>
  <c r="I127" i="93"/>
  <c r="M127" i="93" s="1"/>
  <c r="N127" i="93" s="1"/>
  <c r="G126" i="93"/>
  <c r="L224" i="93"/>
  <c r="M224" i="93" s="1"/>
  <c r="N224" i="93" s="1"/>
  <c r="J223" i="93"/>
  <c r="L223" i="93" s="1"/>
  <c r="J360" i="93"/>
  <c r="L360" i="93" s="1"/>
  <c r="L379" i="93"/>
  <c r="J378" i="93"/>
  <c r="L378" i="93" s="1"/>
  <c r="M69" i="94"/>
  <c r="N69" i="94" s="1"/>
  <c r="I287" i="94"/>
  <c r="G286" i="94"/>
  <c r="I286" i="94" s="1"/>
  <c r="I143" i="96"/>
  <c r="G142" i="96"/>
  <c r="I43" i="93"/>
  <c r="M59" i="93"/>
  <c r="N59" i="93" s="1"/>
  <c r="M61" i="93"/>
  <c r="N61" i="93" s="1"/>
  <c r="M66" i="93"/>
  <c r="N66" i="93" s="1"/>
  <c r="F83" i="93"/>
  <c r="M129" i="93"/>
  <c r="N129" i="93" s="1"/>
  <c r="J131" i="93"/>
  <c r="I150" i="93"/>
  <c r="J180" i="93"/>
  <c r="M182" i="93"/>
  <c r="N182" i="93" s="1"/>
  <c r="I210" i="93"/>
  <c r="M210" i="93" s="1"/>
  <c r="N210" i="93" s="1"/>
  <c r="G209" i="93"/>
  <c r="G208" i="93" s="1"/>
  <c r="G207" i="93" s="1"/>
  <c r="I207" i="93" s="1"/>
  <c r="L23" i="96"/>
  <c r="J22" i="96"/>
  <c r="I30" i="93"/>
  <c r="G29" i="93"/>
  <c r="G76" i="93"/>
  <c r="I76" i="93" s="1"/>
  <c r="M76" i="93" s="1"/>
  <c r="H372" i="93"/>
  <c r="H371" i="93" s="1"/>
  <c r="H370" i="93" s="1"/>
  <c r="H369" i="93" s="1"/>
  <c r="I373" i="93"/>
  <c r="M373" i="93" s="1"/>
  <c r="F131" i="93"/>
  <c r="F125" i="93" s="1"/>
  <c r="F56" i="94"/>
  <c r="H83" i="93"/>
  <c r="I95" i="93"/>
  <c r="S19" i="93"/>
  <c r="G148" i="93"/>
  <c r="J156" i="93"/>
  <c r="L160" i="93"/>
  <c r="M160" i="93" s="1"/>
  <c r="N160" i="93" s="1"/>
  <c r="I282" i="93"/>
  <c r="M282" i="93" s="1"/>
  <c r="N282" i="93" s="1"/>
  <c r="K302" i="93"/>
  <c r="L303" i="93"/>
  <c r="L320" i="93"/>
  <c r="J319" i="93"/>
  <c r="M361" i="93"/>
  <c r="L352" i="94"/>
  <c r="K351" i="94"/>
  <c r="K350" i="94" s="1"/>
  <c r="K349" i="94" s="1"/>
  <c r="K348" i="94" s="1"/>
  <c r="M287" i="93"/>
  <c r="N287" i="93" s="1"/>
  <c r="I322" i="93"/>
  <c r="K377" i="93"/>
  <c r="K376" i="93" s="1"/>
  <c r="K375" i="93" s="1"/>
  <c r="I82" i="94"/>
  <c r="M82" i="94" s="1"/>
  <c r="N82" i="94" s="1"/>
  <c r="G81" i="94"/>
  <c r="I81" i="94" s="1"/>
  <c r="K164" i="94"/>
  <c r="L164" i="94" s="1"/>
  <c r="K161" i="94"/>
  <c r="H192" i="94"/>
  <c r="H191" i="94" s="1"/>
  <c r="H190" i="94" s="1"/>
  <c r="H189" i="94" s="1"/>
  <c r="I193" i="94"/>
  <c r="I209" i="94"/>
  <c r="G208" i="94"/>
  <c r="G207" i="94" s="1"/>
  <c r="G206" i="94" s="1"/>
  <c r="I206" i="94" s="1"/>
  <c r="L249" i="94"/>
  <c r="J248" i="94"/>
  <c r="H50" i="96"/>
  <c r="H49" i="96" s="1"/>
  <c r="H48" i="96" s="1"/>
  <c r="H47" i="96" s="1"/>
  <c r="I169" i="96"/>
  <c r="G168" i="96"/>
  <c r="G167" i="96" s="1"/>
  <c r="G216" i="96"/>
  <c r="I216" i="96" s="1"/>
  <c r="M216" i="96" s="1"/>
  <c r="I217" i="96"/>
  <c r="M217" i="96" s="1"/>
  <c r="N217" i="96" s="1"/>
  <c r="I364" i="96"/>
  <c r="M364" i="96" s="1"/>
  <c r="G363" i="96"/>
  <c r="I363" i="96" s="1"/>
  <c r="M363" i="96" s="1"/>
  <c r="N363" i="96" s="1"/>
  <c r="M37" i="93"/>
  <c r="N37" i="93" s="1"/>
  <c r="M69" i="93"/>
  <c r="N69" i="93" s="1"/>
  <c r="I99" i="93"/>
  <c r="I132" i="93"/>
  <c r="M132" i="93" s="1"/>
  <c r="N132" i="93" s="1"/>
  <c r="I162" i="93"/>
  <c r="M162" i="93" s="1"/>
  <c r="M233" i="93"/>
  <c r="N233" i="93" s="1"/>
  <c r="L262" i="93"/>
  <c r="M274" i="93"/>
  <c r="N274" i="93" s="1"/>
  <c r="J280" i="93"/>
  <c r="H314" i="93"/>
  <c r="H313" i="93" s="1"/>
  <c r="H312" i="93" s="1"/>
  <c r="L388" i="93"/>
  <c r="M388" i="93" s="1"/>
  <c r="K56" i="94"/>
  <c r="G121" i="94"/>
  <c r="I121" i="94" s="1"/>
  <c r="I122" i="94"/>
  <c r="F154" i="94"/>
  <c r="J35" i="96"/>
  <c r="L36" i="96"/>
  <c r="L222" i="96"/>
  <c r="J221" i="96"/>
  <c r="L221" i="96" s="1"/>
  <c r="I79" i="94"/>
  <c r="M79" i="94" s="1"/>
  <c r="N79" i="94" s="1"/>
  <c r="M80" i="94"/>
  <c r="N80" i="94" s="1"/>
  <c r="H76" i="96"/>
  <c r="I77" i="96"/>
  <c r="M77" i="96" s="1"/>
  <c r="N77" i="96" s="1"/>
  <c r="M24" i="93"/>
  <c r="N24" i="93" s="1"/>
  <c r="H34" i="93"/>
  <c r="H33" i="93" s="1"/>
  <c r="H32" i="93" s="1"/>
  <c r="H18" i="93" s="1"/>
  <c r="M41" i="93"/>
  <c r="N41" i="93" s="1"/>
  <c r="M44" i="93"/>
  <c r="N44" i="93" s="1"/>
  <c r="M55" i="93"/>
  <c r="N55" i="93" s="1"/>
  <c r="M57" i="93"/>
  <c r="N57" i="93" s="1"/>
  <c r="M63" i="93"/>
  <c r="N63" i="93" s="1"/>
  <c r="I64" i="93"/>
  <c r="M64" i="93" s="1"/>
  <c r="N64" i="93" s="1"/>
  <c r="M71" i="93"/>
  <c r="N71" i="93" s="1"/>
  <c r="M85" i="93"/>
  <c r="N85" i="93" s="1"/>
  <c r="M88" i="93"/>
  <c r="N88" i="93" s="1"/>
  <c r="M91" i="93"/>
  <c r="N91" i="93" s="1"/>
  <c r="M94" i="93"/>
  <c r="N94" i="93" s="1"/>
  <c r="I101" i="93"/>
  <c r="M104" i="93"/>
  <c r="N104" i="93" s="1"/>
  <c r="M107" i="93"/>
  <c r="N107" i="93" s="1"/>
  <c r="M110" i="93"/>
  <c r="N110" i="93" s="1"/>
  <c r="H125" i="93"/>
  <c r="H124" i="93" s="1"/>
  <c r="H123" i="93" s="1"/>
  <c r="H122" i="93" s="1"/>
  <c r="M134" i="93"/>
  <c r="N134" i="93" s="1"/>
  <c r="L149" i="93"/>
  <c r="L150" i="93"/>
  <c r="M158" i="93"/>
  <c r="N158" i="93" s="1"/>
  <c r="M164" i="93"/>
  <c r="N164" i="93" s="1"/>
  <c r="L169" i="93"/>
  <c r="I176" i="93"/>
  <c r="M179" i="93"/>
  <c r="N179" i="93" s="1"/>
  <c r="K186" i="93"/>
  <c r="K185" i="93" s="1"/>
  <c r="L194" i="93"/>
  <c r="L195" i="93"/>
  <c r="H208" i="93"/>
  <c r="H207" i="93" s="1"/>
  <c r="H206" i="93" s="1"/>
  <c r="K206" i="93"/>
  <c r="M228" i="93"/>
  <c r="N228" i="93" s="1"/>
  <c r="I252" i="93"/>
  <c r="K258" i="93"/>
  <c r="K257" i="93" s="1"/>
  <c r="K256" i="93" s="1"/>
  <c r="K247" i="93" s="1"/>
  <c r="G291" i="93"/>
  <c r="I291" i="93" s="1"/>
  <c r="M291" i="93" s="1"/>
  <c r="I306" i="93"/>
  <c r="M308" i="93"/>
  <c r="N308" i="93" s="1"/>
  <c r="G315" i="93"/>
  <c r="L322" i="93"/>
  <c r="M342" i="93"/>
  <c r="N342" i="93" s="1"/>
  <c r="J363" i="93"/>
  <c r="I382" i="93"/>
  <c r="M389" i="93"/>
  <c r="M394" i="93"/>
  <c r="F27" i="94"/>
  <c r="F26" i="94" s="1"/>
  <c r="M86" i="94"/>
  <c r="N86" i="94" s="1"/>
  <c r="L89" i="94"/>
  <c r="K88" i="94"/>
  <c r="L88" i="94" s="1"/>
  <c r="I366" i="94"/>
  <c r="G365" i="94"/>
  <c r="I365" i="94" s="1"/>
  <c r="L384" i="94"/>
  <c r="J383" i="94"/>
  <c r="L383" i="94" s="1"/>
  <c r="M383" i="94" s="1"/>
  <c r="N383" i="94" s="1"/>
  <c r="N54" i="96"/>
  <c r="L156" i="96"/>
  <c r="K315" i="96"/>
  <c r="K314" i="96" s="1"/>
  <c r="K313" i="96" s="1"/>
  <c r="K312" i="96" s="1"/>
  <c r="L316" i="96"/>
  <c r="M236" i="93"/>
  <c r="N236" i="93" s="1"/>
  <c r="M335" i="93"/>
  <c r="K359" i="93"/>
  <c r="K358" i="93" s="1"/>
  <c r="K357" i="93" s="1"/>
  <c r="G164" i="94"/>
  <c r="G161" i="94"/>
  <c r="I161" i="94" s="1"/>
  <c r="G51" i="96"/>
  <c r="I23" i="93"/>
  <c r="M25" i="93"/>
  <c r="N25" i="93" s="1"/>
  <c r="M45" i="93"/>
  <c r="N45" i="93" s="1"/>
  <c r="T19" i="93"/>
  <c r="M75" i="93"/>
  <c r="N75" i="93" s="1"/>
  <c r="M86" i="93"/>
  <c r="N86" i="93" s="1"/>
  <c r="M89" i="93"/>
  <c r="N89" i="93" s="1"/>
  <c r="M92" i="93"/>
  <c r="N92" i="93" s="1"/>
  <c r="L102" i="93"/>
  <c r="M105" i="93"/>
  <c r="N105" i="93" s="1"/>
  <c r="M108" i="93"/>
  <c r="N108" i="93" s="1"/>
  <c r="M111" i="93"/>
  <c r="N111" i="93" s="1"/>
  <c r="M135" i="93"/>
  <c r="N135" i="93" s="1"/>
  <c r="F149" i="93"/>
  <c r="I157" i="93"/>
  <c r="F159" i="93"/>
  <c r="H159" i="93"/>
  <c r="H175" i="93"/>
  <c r="H174" i="93" s="1"/>
  <c r="H173" i="93" s="1"/>
  <c r="I227" i="93"/>
  <c r="M227" i="93" s="1"/>
  <c r="M229" i="93"/>
  <c r="N229" i="93" s="1"/>
  <c r="L236" i="93"/>
  <c r="G251" i="93"/>
  <c r="L263" i="93"/>
  <c r="G305" i="93"/>
  <c r="I305" i="93" s="1"/>
  <c r="M330" i="93"/>
  <c r="N330" i="93" s="1"/>
  <c r="L335" i="93"/>
  <c r="G360" i="93"/>
  <c r="M365" i="93"/>
  <c r="N365" i="93" s="1"/>
  <c r="H377" i="93"/>
  <c r="H376" i="93" s="1"/>
  <c r="H375" i="93" s="1"/>
  <c r="G381" i="93"/>
  <c r="I381" i="93" s="1"/>
  <c r="M412" i="93"/>
  <c r="K406" i="93"/>
  <c r="L406" i="93" s="1"/>
  <c r="H406" i="93"/>
  <c r="I406" i="93" s="1"/>
  <c r="L27" i="94"/>
  <c r="L34" i="94"/>
  <c r="M76" i="94"/>
  <c r="N76" i="94" s="1"/>
  <c r="M155" i="94"/>
  <c r="N155" i="94" s="1"/>
  <c r="I173" i="94"/>
  <c r="M210" i="94"/>
  <c r="N210" i="94" s="1"/>
  <c r="G217" i="94"/>
  <c r="I217" i="94" s="1"/>
  <c r="I229" i="94"/>
  <c r="H228" i="94"/>
  <c r="H227" i="94" s="1"/>
  <c r="H226" i="94" s="1"/>
  <c r="I277" i="94"/>
  <c r="G276" i="94"/>
  <c r="I276" i="94" s="1"/>
  <c r="M385" i="94"/>
  <c r="N385" i="94" s="1"/>
  <c r="H51" i="96"/>
  <c r="I52" i="96"/>
  <c r="M56" i="96"/>
  <c r="N56" i="96" s="1"/>
  <c r="N62" i="96"/>
  <c r="I127" i="96"/>
  <c r="G126" i="96"/>
  <c r="J148" i="96"/>
  <c r="J258" i="96"/>
  <c r="J272" i="96"/>
  <c r="L273" i="96"/>
  <c r="M124" i="94"/>
  <c r="N124" i="94" s="1"/>
  <c r="I137" i="94"/>
  <c r="M139" i="94"/>
  <c r="N139" i="94" s="1"/>
  <c r="I174" i="94"/>
  <c r="K191" i="94"/>
  <c r="K190" i="94" s="1"/>
  <c r="K189" i="94" s="1"/>
  <c r="L221" i="94"/>
  <c r="L241" i="94"/>
  <c r="I265" i="94"/>
  <c r="I268" i="94"/>
  <c r="I345" i="94"/>
  <c r="J368" i="94"/>
  <c r="J358" i="94" s="1"/>
  <c r="J357" i="94" s="1"/>
  <c r="J356" i="94" s="1"/>
  <c r="H382" i="94"/>
  <c r="H381" i="94" s="1"/>
  <c r="H380" i="94" s="1"/>
  <c r="M161" i="96"/>
  <c r="N161" i="96" s="1"/>
  <c r="L243" i="96"/>
  <c r="I252" i="96"/>
  <c r="M252" i="96" s="1"/>
  <c r="N252" i="96" s="1"/>
  <c r="G251" i="96"/>
  <c r="G250" i="96" s="1"/>
  <c r="M287" i="96"/>
  <c r="N287" i="96" s="1"/>
  <c r="I107" i="94"/>
  <c r="M109" i="94"/>
  <c r="N109" i="94" s="1"/>
  <c r="M112" i="94"/>
  <c r="N112" i="94" s="1"/>
  <c r="M115" i="94"/>
  <c r="N115" i="94" s="1"/>
  <c r="M117" i="94"/>
  <c r="N117" i="94" s="1"/>
  <c r="K154" i="94"/>
  <c r="L154" i="94" s="1"/>
  <c r="M168" i="94"/>
  <c r="N168" i="94" s="1"/>
  <c r="K180" i="94"/>
  <c r="K179" i="94" s="1"/>
  <c r="K178" i="94" s="1"/>
  <c r="L193" i="94"/>
  <c r="M201" i="94"/>
  <c r="N201" i="94" s="1"/>
  <c r="J227" i="94"/>
  <c r="L229" i="94"/>
  <c r="M233" i="94"/>
  <c r="N233" i="94" s="1"/>
  <c r="M242" i="94"/>
  <c r="N242" i="94" s="1"/>
  <c r="L287" i="94"/>
  <c r="I311" i="94"/>
  <c r="M335" i="94"/>
  <c r="N335" i="94" s="1"/>
  <c r="J345" i="94"/>
  <c r="L345" i="94" s="1"/>
  <c r="L387" i="94"/>
  <c r="M25" i="96"/>
  <c r="N25" i="96" s="1"/>
  <c r="M42" i="96"/>
  <c r="M44" i="96"/>
  <c r="N44" i="96" s="1"/>
  <c r="M98" i="96"/>
  <c r="N98" i="96" s="1"/>
  <c r="K125" i="96"/>
  <c r="K124" i="96" s="1"/>
  <c r="K123" i="96" s="1"/>
  <c r="K122" i="96" s="1"/>
  <c r="L150" i="96"/>
  <c r="L157" i="96"/>
  <c r="M157" i="96" s="1"/>
  <c r="N157" i="96" s="1"/>
  <c r="G159" i="96"/>
  <c r="M171" i="96"/>
  <c r="N171" i="96" s="1"/>
  <c r="I175" i="96"/>
  <c r="G174" i="96"/>
  <c r="G173" i="96" s="1"/>
  <c r="I173" i="96" s="1"/>
  <c r="L217" i="96"/>
  <c r="J235" i="96"/>
  <c r="L236" i="96"/>
  <c r="I282" i="96"/>
  <c r="M282" i="96" s="1"/>
  <c r="N282" i="96" s="1"/>
  <c r="G281" i="96"/>
  <c r="G280" i="96" s="1"/>
  <c r="G279" i="96" s="1"/>
  <c r="M293" i="96"/>
  <c r="N293" i="96" s="1"/>
  <c r="M306" i="96"/>
  <c r="N306" i="96" s="1"/>
  <c r="G354" i="96"/>
  <c r="I355" i="96"/>
  <c r="M355" i="96" s="1"/>
  <c r="K298" i="96"/>
  <c r="I132" i="94"/>
  <c r="M132" i="94" s="1"/>
  <c r="N132" i="94" s="1"/>
  <c r="I231" i="94"/>
  <c r="G296" i="94"/>
  <c r="I296" i="94" s="1"/>
  <c r="I328" i="94"/>
  <c r="M367" i="94"/>
  <c r="N367" i="94" s="1"/>
  <c r="I369" i="94"/>
  <c r="I384" i="94"/>
  <c r="M85" i="96"/>
  <c r="N85" i="96" s="1"/>
  <c r="M88" i="96"/>
  <c r="N88" i="96" s="1"/>
  <c r="M91" i="96"/>
  <c r="N91" i="96" s="1"/>
  <c r="M94" i="96"/>
  <c r="N94" i="96" s="1"/>
  <c r="G101" i="96"/>
  <c r="I101" i="96" s="1"/>
  <c r="H125" i="96"/>
  <c r="H124" i="96" s="1"/>
  <c r="H123" i="96" s="1"/>
  <c r="H122" i="96" s="1"/>
  <c r="L160" i="96"/>
  <c r="J159" i="96"/>
  <c r="L182" i="96"/>
  <c r="M182" i="96" s="1"/>
  <c r="N182" i="96" s="1"/>
  <c r="K181" i="96"/>
  <c r="K180" i="96" s="1"/>
  <c r="L195" i="96"/>
  <c r="J194" i="96"/>
  <c r="L194" i="96" s="1"/>
  <c r="I204" i="96"/>
  <c r="G203" i="96"/>
  <c r="G202" i="96" s="1"/>
  <c r="J251" i="96"/>
  <c r="G272" i="96"/>
  <c r="I273" i="96"/>
  <c r="M273" i="96" s="1"/>
  <c r="I292" i="96"/>
  <c r="M292" i="96" s="1"/>
  <c r="N292" i="96" s="1"/>
  <c r="G291" i="96"/>
  <c r="L303" i="96"/>
  <c r="I323" i="96"/>
  <c r="G322" i="96"/>
  <c r="I322" i="96" s="1"/>
  <c r="L326" i="96"/>
  <c r="M326" i="96" s="1"/>
  <c r="N326" i="96" s="1"/>
  <c r="M366" i="96"/>
  <c r="N366" i="96" s="1"/>
  <c r="K387" i="96"/>
  <c r="L388" i="96"/>
  <c r="M388" i="96" s="1"/>
  <c r="I84" i="94"/>
  <c r="M84" i="94" s="1"/>
  <c r="N84" i="94" s="1"/>
  <c r="M90" i="94"/>
  <c r="N90" i="94" s="1"/>
  <c r="M93" i="94"/>
  <c r="N93" i="94" s="1"/>
  <c r="M96" i="94"/>
  <c r="N96" i="94" s="1"/>
  <c r="M99" i="94"/>
  <c r="N99" i="94" s="1"/>
  <c r="M103" i="94"/>
  <c r="N103" i="94" s="1"/>
  <c r="F131" i="94"/>
  <c r="F130" i="94" s="1"/>
  <c r="M138" i="94"/>
  <c r="N138" i="94" s="1"/>
  <c r="M141" i="94"/>
  <c r="N141" i="94" s="1"/>
  <c r="I158" i="94"/>
  <c r="M175" i="94"/>
  <c r="N175" i="94" s="1"/>
  <c r="H180" i="94"/>
  <c r="H179" i="94" s="1"/>
  <c r="H178" i="94" s="1"/>
  <c r="I257" i="94"/>
  <c r="M266" i="94"/>
  <c r="N266" i="94" s="1"/>
  <c r="M282" i="94"/>
  <c r="N282" i="94" s="1"/>
  <c r="M298" i="94"/>
  <c r="N298" i="94" s="1"/>
  <c r="I314" i="94"/>
  <c r="I339" i="94"/>
  <c r="L340" i="94"/>
  <c r="I346" i="94"/>
  <c r="I371" i="94"/>
  <c r="M373" i="94"/>
  <c r="N373" i="94" s="1"/>
  <c r="I378" i="94"/>
  <c r="G377" i="94"/>
  <c r="I377" i="94" s="1"/>
  <c r="M37" i="96"/>
  <c r="N37" i="96" s="1"/>
  <c r="M55" i="96"/>
  <c r="N55" i="96" s="1"/>
  <c r="M63" i="96"/>
  <c r="N63" i="96" s="1"/>
  <c r="M71" i="96"/>
  <c r="N71" i="96" s="1"/>
  <c r="I84" i="96"/>
  <c r="M84" i="96" s="1"/>
  <c r="I99" i="96"/>
  <c r="M99" i="96" s="1"/>
  <c r="N99" i="96" s="1"/>
  <c r="L101" i="96"/>
  <c r="L102" i="96"/>
  <c r="M102" i="96" s="1"/>
  <c r="N102" i="96" s="1"/>
  <c r="L127" i="96"/>
  <c r="M134" i="96"/>
  <c r="N134" i="96" s="1"/>
  <c r="M154" i="96"/>
  <c r="N154" i="96" s="1"/>
  <c r="K148" i="96"/>
  <c r="K147" i="96" s="1"/>
  <c r="M178" i="96"/>
  <c r="N178" i="96" s="1"/>
  <c r="H222" i="96"/>
  <c r="H221" i="96" s="1"/>
  <c r="H206" i="96" s="1"/>
  <c r="I226" i="96"/>
  <c r="I260" i="96"/>
  <c r="M267" i="96"/>
  <c r="N267" i="96" s="1"/>
  <c r="J281" i="96"/>
  <c r="J280" i="96" s="1"/>
  <c r="L366" i="96"/>
  <c r="J363" i="96"/>
  <c r="L363" i="96" s="1"/>
  <c r="H186" i="96"/>
  <c r="H185" i="96" s="1"/>
  <c r="H184" i="96" s="1"/>
  <c r="M225" i="96"/>
  <c r="N225" i="96" s="1"/>
  <c r="G258" i="96"/>
  <c r="I309" i="96"/>
  <c r="I341" i="96"/>
  <c r="G346" i="96"/>
  <c r="I346" i="96" s="1"/>
  <c r="L347" i="96"/>
  <c r="K353" i="96"/>
  <c r="K352" i="96" s="1"/>
  <c r="M362" i="96"/>
  <c r="N362" i="96" s="1"/>
  <c r="M374" i="96"/>
  <c r="N374" i="96" s="1"/>
  <c r="I379" i="96"/>
  <c r="M379" i="96" s="1"/>
  <c r="N379" i="96" s="1"/>
  <c r="H387" i="96"/>
  <c r="I387" i="96" s="1"/>
  <c r="H406" i="96"/>
  <c r="I340" i="94"/>
  <c r="I352" i="94"/>
  <c r="I360" i="94"/>
  <c r="L366" i="94"/>
  <c r="L371" i="94"/>
  <c r="L378" i="94"/>
  <c r="M59" i="96"/>
  <c r="N59" i="96" s="1"/>
  <c r="M67" i="96"/>
  <c r="N67" i="96" s="1"/>
  <c r="M75" i="96"/>
  <c r="N75" i="96" s="1"/>
  <c r="M100" i="96"/>
  <c r="N100" i="96" s="1"/>
  <c r="M133" i="96"/>
  <c r="N133" i="96" s="1"/>
  <c r="M136" i="96"/>
  <c r="N136" i="96" s="1"/>
  <c r="L143" i="96"/>
  <c r="M155" i="96"/>
  <c r="N155" i="96" s="1"/>
  <c r="I181" i="96"/>
  <c r="M200" i="96"/>
  <c r="N200" i="96" s="1"/>
  <c r="I213" i="96"/>
  <c r="M229" i="96"/>
  <c r="N229" i="96" s="1"/>
  <c r="M233" i="96"/>
  <c r="N233" i="96" s="1"/>
  <c r="I236" i="96"/>
  <c r="M236" i="96" s="1"/>
  <c r="N236" i="96" s="1"/>
  <c r="L322" i="96"/>
  <c r="H350" i="96"/>
  <c r="I406" i="96"/>
  <c r="M406" i="96" s="1"/>
  <c r="M408" i="96"/>
  <c r="M412" i="96"/>
  <c r="H377" i="96"/>
  <c r="H376" i="96" s="1"/>
  <c r="H375" i="96" s="1"/>
  <c r="K175" i="96"/>
  <c r="K174" i="96" s="1"/>
  <c r="K173" i="96" s="1"/>
  <c r="I180" i="96"/>
  <c r="M189" i="96"/>
  <c r="N189" i="96" s="1"/>
  <c r="M196" i="96"/>
  <c r="N196" i="96" s="1"/>
  <c r="M230" i="96"/>
  <c r="N230" i="96" s="1"/>
  <c r="H280" i="96"/>
  <c r="H279" i="96" s="1"/>
  <c r="H278" i="96" s="1"/>
  <c r="H314" i="96"/>
  <c r="H313" i="96" s="1"/>
  <c r="H312" i="96" s="1"/>
  <c r="L361" i="96"/>
  <c r="L373" i="96"/>
  <c r="K327" i="94"/>
  <c r="L327" i="94" s="1"/>
  <c r="L321" i="94"/>
  <c r="M272" i="94"/>
  <c r="N272" i="94" s="1"/>
  <c r="M187" i="94"/>
  <c r="N187" i="94" s="1"/>
  <c r="M160" i="94"/>
  <c r="N160" i="94" s="1"/>
  <c r="L158" i="94"/>
  <c r="M176" i="94"/>
  <c r="N176" i="94" s="1"/>
  <c r="L174" i="94"/>
  <c r="M50" i="94"/>
  <c r="N50" i="94" s="1"/>
  <c r="K213" i="94"/>
  <c r="K212" i="94" s="1"/>
  <c r="K211" i="94" s="1"/>
  <c r="M219" i="94"/>
  <c r="N219" i="94" s="1"/>
  <c r="L325" i="94"/>
  <c r="L324" i="94"/>
  <c r="M312" i="94"/>
  <c r="N312" i="94" s="1"/>
  <c r="L35" i="94"/>
  <c r="M36" i="94"/>
  <c r="N36" i="94" s="1"/>
  <c r="L199" i="94"/>
  <c r="M202" i="94"/>
  <c r="N202" i="94" s="1"/>
  <c r="K285" i="94"/>
  <c r="K284" i="94" s="1"/>
  <c r="K283" i="94" s="1"/>
  <c r="L297" i="94"/>
  <c r="M297" i="94" s="1"/>
  <c r="N297" i="94" s="1"/>
  <c r="M299" i="94"/>
  <c r="N299" i="94" s="1"/>
  <c r="N29" i="96"/>
  <c r="N42" i="96"/>
  <c r="G125" i="96"/>
  <c r="I131" i="96"/>
  <c r="M131" i="96" s="1"/>
  <c r="L141" i="96"/>
  <c r="J140" i="96"/>
  <c r="I159" i="96"/>
  <c r="G148" i="96"/>
  <c r="F167" i="96"/>
  <c r="I186" i="96"/>
  <c r="G185" i="96"/>
  <c r="F202" i="96"/>
  <c r="M24" i="96"/>
  <c r="N24" i="96" s="1"/>
  <c r="M26" i="96"/>
  <c r="N26" i="96" s="1"/>
  <c r="I43" i="96"/>
  <c r="M43" i="96" s="1"/>
  <c r="N43" i="96" s="1"/>
  <c r="F51" i="96"/>
  <c r="K51" i="96"/>
  <c r="M58" i="96"/>
  <c r="N58" i="96" s="1"/>
  <c r="M66" i="96"/>
  <c r="N66" i="96" s="1"/>
  <c r="M74" i="96"/>
  <c r="N74" i="96" s="1"/>
  <c r="I126" i="96"/>
  <c r="M150" i="96"/>
  <c r="N150" i="96" s="1"/>
  <c r="M162" i="96"/>
  <c r="I194" i="96"/>
  <c r="M210" i="96"/>
  <c r="J47" i="96"/>
  <c r="L47" i="96" s="1"/>
  <c r="L114" i="96"/>
  <c r="J113" i="96"/>
  <c r="L113" i="96" s="1"/>
  <c r="I116" i="96"/>
  <c r="G115" i="96"/>
  <c r="L148" i="96"/>
  <c r="J147" i="96"/>
  <c r="L147" i="96" s="1"/>
  <c r="L168" i="96"/>
  <c r="J167" i="96"/>
  <c r="F175" i="96"/>
  <c r="F186" i="96"/>
  <c r="L203" i="96"/>
  <c r="J202" i="96"/>
  <c r="I232" i="96"/>
  <c r="G231" i="96"/>
  <c r="I231" i="96" s="1"/>
  <c r="K20" i="96"/>
  <c r="K19" i="96" s="1"/>
  <c r="I30" i="96"/>
  <c r="M30" i="96" s="1"/>
  <c r="N30" i="96" s="1"/>
  <c r="M95" i="96"/>
  <c r="N95" i="96" s="1"/>
  <c r="N162" i="96"/>
  <c r="I23" i="96"/>
  <c r="M23" i="96" s="1"/>
  <c r="N23" i="96" s="1"/>
  <c r="G22" i="96"/>
  <c r="G35" i="96"/>
  <c r="I36" i="96"/>
  <c r="M36" i="96" s="1"/>
  <c r="N36" i="96" s="1"/>
  <c r="F113" i="96"/>
  <c r="F140" i="96"/>
  <c r="J175" i="96"/>
  <c r="L180" i="96"/>
  <c r="M180" i="96" s="1"/>
  <c r="N180" i="96" s="1"/>
  <c r="L187" i="96"/>
  <c r="J186" i="96"/>
  <c r="I243" i="96"/>
  <c r="G242" i="96"/>
  <c r="L159" i="96"/>
  <c r="I167" i="96"/>
  <c r="G166" i="96"/>
  <c r="I202" i="96"/>
  <c r="G201" i="96"/>
  <c r="G257" i="96"/>
  <c r="K34" i="96"/>
  <c r="K33" i="96" s="1"/>
  <c r="K32" i="96" s="1"/>
  <c r="M52" i="96"/>
  <c r="N52" i="96" s="1"/>
  <c r="M60" i="96"/>
  <c r="N60" i="96" s="1"/>
  <c r="M68" i="96"/>
  <c r="N68" i="96" s="1"/>
  <c r="M79" i="96"/>
  <c r="N79" i="96" s="1"/>
  <c r="M81" i="96"/>
  <c r="N81" i="96" s="1"/>
  <c r="N84" i="96"/>
  <c r="L116" i="96"/>
  <c r="J125" i="96"/>
  <c r="K139" i="96"/>
  <c r="M143" i="96"/>
  <c r="N143" i="96" s="1"/>
  <c r="F148" i="96"/>
  <c r="N153" i="96"/>
  <c r="L176" i="96"/>
  <c r="M176" i="96" s="1"/>
  <c r="N176" i="96" s="1"/>
  <c r="N210" i="96"/>
  <c r="F339" i="96"/>
  <c r="I372" i="96"/>
  <c r="G371" i="96"/>
  <c r="F35" i="96"/>
  <c r="G76" i="96"/>
  <c r="I76" i="96" s="1"/>
  <c r="M76" i="96" s="1"/>
  <c r="N76" i="96" s="1"/>
  <c r="L115" i="96"/>
  <c r="L126" i="96"/>
  <c r="F131" i="96"/>
  <c r="I132" i="96"/>
  <c r="L142" i="96"/>
  <c r="H149" i="96"/>
  <c r="H148" i="96" s="1"/>
  <c r="H147" i="96" s="1"/>
  <c r="H139" i="96" s="1"/>
  <c r="L149" i="96"/>
  <c r="I168" i="96"/>
  <c r="M168" i="96" s="1"/>
  <c r="N168" i="96" s="1"/>
  <c r="L169" i="96"/>
  <c r="M169" i="96" s="1"/>
  <c r="N169" i="96" s="1"/>
  <c r="L181" i="96"/>
  <c r="M181" i="96" s="1"/>
  <c r="N181" i="96" s="1"/>
  <c r="I187" i="96"/>
  <c r="M187" i="96" s="1"/>
  <c r="N187" i="96" s="1"/>
  <c r="L188" i="96"/>
  <c r="M188" i="96" s="1"/>
  <c r="N188" i="96" s="1"/>
  <c r="I203" i="96"/>
  <c r="L204" i="96"/>
  <c r="M204" i="96" s="1"/>
  <c r="N204" i="96" s="1"/>
  <c r="J208" i="96"/>
  <c r="F209" i="96"/>
  <c r="G212" i="96"/>
  <c r="M215" i="96"/>
  <c r="N215" i="96" s="1"/>
  <c r="F221" i="96"/>
  <c r="I223" i="96"/>
  <c r="M223" i="96" s="1"/>
  <c r="N223" i="96" s="1"/>
  <c r="I227" i="96"/>
  <c r="M227" i="96" s="1"/>
  <c r="N227" i="96" s="1"/>
  <c r="I234" i="96"/>
  <c r="J241" i="96"/>
  <c r="I244" i="96"/>
  <c r="I251" i="96"/>
  <c r="F258" i="96"/>
  <c r="H258" i="96"/>
  <c r="H257" i="96" s="1"/>
  <c r="H256" i="96" s="1"/>
  <c r="H247" i="96" s="1"/>
  <c r="K263" i="96"/>
  <c r="K262" i="96" s="1"/>
  <c r="K258" i="96" s="1"/>
  <c r="M265" i="96"/>
  <c r="N265" i="96" s="1"/>
  <c r="M268" i="96"/>
  <c r="N268" i="96" s="1"/>
  <c r="F271" i="96"/>
  <c r="F291" i="96"/>
  <c r="H301" i="96"/>
  <c r="H300" i="96" s="1"/>
  <c r="H299" i="96" s="1"/>
  <c r="I305" i="96"/>
  <c r="M305" i="96" s="1"/>
  <c r="N305" i="96" s="1"/>
  <c r="M322" i="96"/>
  <c r="N322" i="96" s="1"/>
  <c r="M347" i="96"/>
  <c r="N355" i="96"/>
  <c r="I381" i="96"/>
  <c r="M381" i="96" s="1"/>
  <c r="M410" i="96"/>
  <c r="G249" i="96"/>
  <c r="I250" i="96"/>
  <c r="F249" i="96"/>
  <c r="I280" i="96"/>
  <c r="I302" i="96"/>
  <c r="G301" i="96"/>
  <c r="L309" i="96"/>
  <c r="J301" i="96"/>
  <c r="I315" i="96"/>
  <c r="G314" i="96"/>
  <c r="L334" i="96"/>
  <c r="J333" i="96"/>
  <c r="L340" i="96"/>
  <c r="J339" i="96"/>
  <c r="I377" i="96"/>
  <c r="G376" i="96"/>
  <c r="I117" i="96"/>
  <c r="M117" i="96" s="1"/>
  <c r="N117" i="96" s="1"/>
  <c r="L132" i="96"/>
  <c r="H156" i="96"/>
  <c r="I156" i="96" s="1"/>
  <c r="M156" i="96" s="1"/>
  <c r="N156" i="96" s="1"/>
  <c r="I160" i="96"/>
  <c r="M160" i="96" s="1"/>
  <c r="N160" i="96" s="1"/>
  <c r="I177" i="96"/>
  <c r="M177" i="96" s="1"/>
  <c r="N177" i="96" s="1"/>
  <c r="I195" i="96"/>
  <c r="M195" i="96" s="1"/>
  <c r="N195" i="96" s="1"/>
  <c r="K212" i="96"/>
  <c r="K208" i="96" s="1"/>
  <c r="K207" i="96" s="1"/>
  <c r="K206" i="96" s="1"/>
  <c r="M213" i="96"/>
  <c r="N213" i="96" s="1"/>
  <c r="F216" i="96"/>
  <c r="N216" i="96" s="1"/>
  <c r="I235" i="96"/>
  <c r="K242" i="96"/>
  <c r="K241" i="96" s="1"/>
  <c r="K240" i="96" s="1"/>
  <c r="K239" i="96" s="1"/>
  <c r="L259" i="96"/>
  <c r="M259" i="96" s="1"/>
  <c r="N259" i="96" s="1"/>
  <c r="L260" i="96"/>
  <c r="M260" i="96" s="1"/>
  <c r="N260" i="96" s="1"/>
  <c r="L261" i="96"/>
  <c r="M261" i="96" s="1"/>
  <c r="N261" i="96" s="1"/>
  <c r="I263" i="96"/>
  <c r="I266" i="96"/>
  <c r="M266" i="96" s="1"/>
  <c r="N266" i="96" s="1"/>
  <c r="F280" i="96"/>
  <c r="M319" i="96"/>
  <c r="N364" i="96"/>
  <c r="J257" i="96"/>
  <c r="F352" i="96"/>
  <c r="L360" i="96"/>
  <c r="M360" i="96" s="1"/>
  <c r="L372" i="96"/>
  <c r="J371" i="96"/>
  <c r="F377" i="96"/>
  <c r="L262" i="96"/>
  <c r="N273" i="96"/>
  <c r="N316" i="96"/>
  <c r="J250" i="96"/>
  <c r="L251" i="96"/>
  <c r="L281" i="96"/>
  <c r="L319" i="96"/>
  <c r="J314" i="96"/>
  <c r="I334" i="96"/>
  <c r="M334" i="96" s="1"/>
  <c r="G333" i="96"/>
  <c r="F345" i="96"/>
  <c r="I354" i="96"/>
  <c r="M354" i="96" s="1"/>
  <c r="N354" i="96" s="1"/>
  <c r="G353" i="96"/>
  <c r="K351" i="96"/>
  <c r="K350" i="96"/>
  <c r="L378" i="96"/>
  <c r="J377" i="96"/>
  <c r="F83" i="96"/>
  <c r="N83" i="96" s="1"/>
  <c r="M214" i="96"/>
  <c r="N214" i="96" s="1"/>
  <c r="G221" i="96"/>
  <c r="I221" i="96" s="1"/>
  <c r="I224" i="96"/>
  <c r="M224" i="96" s="1"/>
  <c r="N224" i="96" s="1"/>
  <c r="L224" i="96"/>
  <c r="L226" i="96"/>
  <c r="M226" i="96" s="1"/>
  <c r="N226" i="96" s="1"/>
  <c r="F241" i="96"/>
  <c r="L244" i="96"/>
  <c r="I262" i="96"/>
  <c r="I291" i="96"/>
  <c r="M291" i="96" s="1"/>
  <c r="L302" i="96"/>
  <c r="M309" i="96"/>
  <c r="M311" i="96"/>
  <c r="N311" i="96" s="1"/>
  <c r="L315" i="96"/>
  <c r="K377" i="96"/>
  <c r="K376" i="96" s="1"/>
  <c r="K375" i="96" s="1"/>
  <c r="N381" i="96"/>
  <c r="L387" i="96"/>
  <c r="M387" i="96" s="1"/>
  <c r="M407" i="96"/>
  <c r="F309" i="96"/>
  <c r="I310" i="96"/>
  <c r="F319" i="96"/>
  <c r="I320" i="96"/>
  <c r="L323" i="96"/>
  <c r="M323" i="96" s="1"/>
  <c r="N323" i="96" s="1"/>
  <c r="F334" i="96"/>
  <c r="I335" i="96"/>
  <c r="L341" i="96"/>
  <c r="F360" i="96"/>
  <c r="I361" i="96"/>
  <c r="F372" i="96"/>
  <c r="I373" i="96"/>
  <c r="M373" i="96" s="1"/>
  <c r="N373" i="96" s="1"/>
  <c r="I378" i="96"/>
  <c r="M378" i="96" s="1"/>
  <c r="N378" i="96" s="1"/>
  <c r="L379" i="96"/>
  <c r="I394" i="96"/>
  <c r="M394" i="96" s="1"/>
  <c r="I303" i="96"/>
  <c r="M303" i="96" s="1"/>
  <c r="N303" i="96" s="1"/>
  <c r="L310" i="96"/>
  <c r="I316" i="96"/>
  <c r="M316" i="96" s="1"/>
  <c r="L320" i="96"/>
  <c r="L335" i="96"/>
  <c r="N347" i="96"/>
  <c r="I382" i="96"/>
  <c r="M382" i="96" s="1"/>
  <c r="N382" i="96" s="1"/>
  <c r="G340" i="96"/>
  <c r="G345" i="96"/>
  <c r="J346" i="96"/>
  <c r="M370" i="94"/>
  <c r="N370" i="94" s="1"/>
  <c r="L315" i="94"/>
  <c r="J314" i="94"/>
  <c r="L314" i="94" s="1"/>
  <c r="M316" i="94"/>
  <c r="N316" i="94" s="1"/>
  <c r="M313" i="94"/>
  <c r="N313" i="94" s="1"/>
  <c r="L311" i="94"/>
  <c r="L308" i="94"/>
  <c r="M308" i="94" s="1"/>
  <c r="N308" i="94" s="1"/>
  <c r="J307" i="94"/>
  <c r="L307" i="94" s="1"/>
  <c r="M307" i="94" s="1"/>
  <c r="N307" i="94" s="1"/>
  <c r="G267" i="94"/>
  <c r="G263" i="94" s="1"/>
  <c r="G262" i="94" s="1"/>
  <c r="L268" i="94"/>
  <c r="M271" i="94"/>
  <c r="N271" i="94" s="1"/>
  <c r="M273" i="94"/>
  <c r="N273" i="94" s="1"/>
  <c r="K263" i="94"/>
  <c r="K262" i="94" s="1"/>
  <c r="K261" i="94" s="1"/>
  <c r="L265" i="94"/>
  <c r="J264" i="94"/>
  <c r="L264" i="94" s="1"/>
  <c r="L257" i="94"/>
  <c r="M259" i="94"/>
  <c r="N259" i="94" s="1"/>
  <c r="H164" i="94"/>
  <c r="H153" i="94" s="1"/>
  <c r="H152" i="94" s="1"/>
  <c r="H144" i="94" s="1"/>
  <c r="M125" i="94"/>
  <c r="N125" i="94" s="1"/>
  <c r="G106" i="94"/>
  <c r="I106" i="94" s="1"/>
  <c r="I104" i="94"/>
  <c r="H88" i="94"/>
  <c r="I100" i="94"/>
  <c r="I89" i="94"/>
  <c r="G88" i="94"/>
  <c r="I71" i="94"/>
  <c r="M71" i="94" s="1"/>
  <c r="N71" i="94" s="1"/>
  <c r="I67" i="94"/>
  <c r="M67" i="94" s="1"/>
  <c r="N67" i="94" s="1"/>
  <c r="I65" i="94"/>
  <c r="M65" i="94" s="1"/>
  <c r="N65" i="94" s="1"/>
  <c r="I63" i="94"/>
  <c r="M63" i="94" s="1"/>
  <c r="N63" i="94" s="1"/>
  <c r="G56" i="94"/>
  <c r="F119" i="94"/>
  <c r="I131" i="94"/>
  <c r="I147" i="94"/>
  <c r="G146" i="94"/>
  <c r="F206" i="94"/>
  <c r="I214" i="94"/>
  <c r="K130" i="94"/>
  <c r="K129" i="94" s="1"/>
  <c r="K128" i="94" s="1"/>
  <c r="K127" i="94" s="1"/>
  <c r="F39" i="94"/>
  <c r="K47" i="94"/>
  <c r="L47" i="94" s="1"/>
  <c r="L48" i="94"/>
  <c r="F171" i="94"/>
  <c r="G180" i="94"/>
  <c r="I185" i="94"/>
  <c r="L40" i="94"/>
  <c r="J39" i="94"/>
  <c r="I59" i="94"/>
  <c r="H56" i="94"/>
  <c r="L122" i="94"/>
  <c r="K121" i="94"/>
  <c r="K120" i="94" s="1"/>
  <c r="K119" i="94" s="1"/>
  <c r="I171" i="94"/>
  <c r="G170" i="94"/>
  <c r="I170" i="94" s="1"/>
  <c r="L207" i="94"/>
  <c r="J206" i="94"/>
  <c r="F213" i="94"/>
  <c r="F227" i="94"/>
  <c r="I181" i="94"/>
  <c r="F145" i="94"/>
  <c r="L172" i="94"/>
  <c r="J171" i="94"/>
  <c r="L185" i="94"/>
  <c r="G191" i="94"/>
  <c r="I199" i="94"/>
  <c r="L217" i="94"/>
  <c r="K26" i="94"/>
  <c r="K25" i="94" s="1"/>
  <c r="K24" i="94" s="1"/>
  <c r="J191" i="94"/>
  <c r="I249" i="94"/>
  <c r="H248" i="94"/>
  <c r="J26" i="94"/>
  <c r="I35" i="94"/>
  <c r="L41" i="94"/>
  <c r="I48" i="94"/>
  <c r="L49" i="94"/>
  <c r="M49" i="94" s="1"/>
  <c r="N49" i="94" s="1"/>
  <c r="L59" i="94"/>
  <c r="I60" i="94"/>
  <c r="M60" i="94" s="1"/>
  <c r="N60" i="94" s="1"/>
  <c r="I64" i="94"/>
  <c r="M64" i="94" s="1"/>
  <c r="N64" i="94" s="1"/>
  <c r="I68" i="94"/>
  <c r="M68" i="94" s="1"/>
  <c r="N68" i="94" s="1"/>
  <c r="I72" i="94"/>
  <c r="M72" i="94" s="1"/>
  <c r="N72" i="94" s="1"/>
  <c r="L137" i="94"/>
  <c r="G154" i="94"/>
  <c r="F164" i="94"/>
  <c r="I165" i="94"/>
  <c r="I172" i="94"/>
  <c r="L173" i="94"/>
  <c r="F185" i="94"/>
  <c r="I186" i="94"/>
  <c r="L192" i="94"/>
  <c r="F199" i="94"/>
  <c r="I200" i="94"/>
  <c r="L208" i="94"/>
  <c r="L218" i="94"/>
  <c r="M218" i="94" s="1"/>
  <c r="N218" i="94" s="1"/>
  <c r="L222" i="94"/>
  <c r="L232" i="94"/>
  <c r="J239" i="94"/>
  <c r="G240" i="94"/>
  <c r="F245" i="94"/>
  <c r="J253" i="94"/>
  <c r="L165" i="94"/>
  <c r="L186" i="94"/>
  <c r="L200" i="94"/>
  <c r="I215" i="94"/>
  <c r="M215" i="94" s="1"/>
  <c r="N215" i="94" s="1"/>
  <c r="K240" i="94"/>
  <c r="K239" i="94" s="1"/>
  <c r="K237" i="94" s="1"/>
  <c r="K236" i="94" s="1"/>
  <c r="G40" i="94"/>
  <c r="J106" i="94"/>
  <c r="L106" i="94" s="1"/>
  <c r="J120" i="94"/>
  <c r="G136" i="94"/>
  <c r="I136" i="94" s="1"/>
  <c r="M136" i="94" s="1"/>
  <c r="N136" i="94" s="1"/>
  <c r="J153" i="94"/>
  <c r="G245" i="94"/>
  <c r="F88" i="94"/>
  <c r="I222" i="94"/>
  <c r="L228" i="94"/>
  <c r="I232" i="94"/>
  <c r="F239" i="94"/>
  <c r="G256" i="94"/>
  <c r="K256" i="94"/>
  <c r="H264" i="94"/>
  <c r="F267" i="94"/>
  <c r="J267" i="94"/>
  <c r="F276" i="94"/>
  <c r="F286" i="94"/>
  <c r="J286" i="94"/>
  <c r="F296" i="94"/>
  <c r="J296" i="94"/>
  <c r="L296" i="94" s="1"/>
  <c r="F306" i="94"/>
  <c r="G310" i="94"/>
  <c r="K310" i="94"/>
  <c r="F320" i="94"/>
  <c r="J320" i="94"/>
  <c r="H327" i="94"/>
  <c r="G338" i="94"/>
  <c r="F339" i="94"/>
  <c r="J339" i="94"/>
  <c r="G343" i="94"/>
  <c r="F344" i="94"/>
  <c r="J344" i="94"/>
  <c r="G348" i="94"/>
  <c r="F349" i="94"/>
  <c r="J349" i="94"/>
  <c r="H351" i="94"/>
  <c r="F356" i="94"/>
  <c r="G359" i="94"/>
  <c r="K359" i="94"/>
  <c r="F365" i="94"/>
  <c r="F364" i="94" s="1"/>
  <c r="J365" i="94"/>
  <c r="L365" i="94" s="1"/>
  <c r="H368" i="94"/>
  <c r="H364" i="94" s="1"/>
  <c r="H363" i="94" s="1"/>
  <c r="H362" i="94" s="1"/>
  <c r="F377" i="94"/>
  <c r="J377" i="94"/>
  <c r="F382" i="94"/>
  <c r="G386" i="94"/>
  <c r="G368" i="94"/>
  <c r="K368" i="94"/>
  <c r="K364" i="94" s="1"/>
  <c r="K363" i="94" s="1"/>
  <c r="K362" i="94" s="1"/>
  <c r="J386" i="94"/>
  <c r="L386" i="94" s="1"/>
  <c r="M407" i="93"/>
  <c r="I409" i="93"/>
  <c r="M409" i="93" s="1"/>
  <c r="M410" i="93"/>
  <c r="M406" i="93"/>
  <c r="M408" i="93"/>
  <c r="J32" i="93"/>
  <c r="I35" i="93"/>
  <c r="M35" i="93" s="1"/>
  <c r="N35" i="93" s="1"/>
  <c r="G34" i="93"/>
  <c r="I115" i="93"/>
  <c r="G114" i="93"/>
  <c r="I141" i="93"/>
  <c r="G140" i="93"/>
  <c r="F115" i="93"/>
  <c r="L116" i="93"/>
  <c r="J115" i="93"/>
  <c r="F141" i="93"/>
  <c r="L142" i="93"/>
  <c r="J141" i="93"/>
  <c r="I159" i="93"/>
  <c r="M159" i="93" s="1"/>
  <c r="H148" i="93"/>
  <c r="H147" i="93" s="1"/>
  <c r="H139" i="93" s="1"/>
  <c r="H138" i="93" s="1"/>
  <c r="I168" i="93"/>
  <c r="G167" i="93"/>
  <c r="M30" i="93"/>
  <c r="N30" i="93" s="1"/>
  <c r="M43" i="93"/>
  <c r="N43" i="93" s="1"/>
  <c r="N54" i="93"/>
  <c r="M42" i="93"/>
  <c r="N42" i="93" s="1"/>
  <c r="N58" i="93"/>
  <c r="M72" i="93"/>
  <c r="N72" i="93" s="1"/>
  <c r="M150" i="93"/>
  <c r="M23" i="93"/>
  <c r="N23" i="93" s="1"/>
  <c r="I29" i="93"/>
  <c r="M29" i="93" s="1"/>
  <c r="K34" i="93"/>
  <c r="K33" i="93" s="1"/>
  <c r="K32" i="93" s="1"/>
  <c r="K18" i="93" s="1"/>
  <c r="N62" i="93"/>
  <c r="M74" i="93"/>
  <c r="N74" i="93" s="1"/>
  <c r="M77" i="93"/>
  <c r="N77" i="93" s="1"/>
  <c r="M84" i="93"/>
  <c r="N84" i="93" s="1"/>
  <c r="M157" i="93"/>
  <c r="N157" i="93" s="1"/>
  <c r="N162" i="93"/>
  <c r="M170" i="93"/>
  <c r="N170" i="93" s="1"/>
  <c r="L176" i="93"/>
  <c r="M176" i="93" s="1"/>
  <c r="J175" i="93"/>
  <c r="I52" i="93"/>
  <c r="M52" i="93" s="1"/>
  <c r="N52" i="93" s="1"/>
  <c r="K50" i="93"/>
  <c r="K95" i="93"/>
  <c r="L95" i="93" s="1"/>
  <c r="M95" i="93" s="1"/>
  <c r="N95" i="93" s="1"/>
  <c r="K47" i="93"/>
  <c r="K113" i="93"/>
  <c r="K99" i="93" s="1"/>
  <c r="L99" i="93" s="1"/>
  <c r="M99" i="93" s="1"/>
  <c r="N99" i="93" s="1"/>
  <c r="L187" i="93"/>
  <c r="J186" i="93"/>
  <c r="L222" i="93"/>
  <c r="J221" i="93"/>
  <c r="L221" i="93" s="1"/>
  <c r="N29" i="93"/>
  <c r="M143" i="93"/>
  <c r="N143" i="93" s="1"/>
  <c r="L126" i="93"/>
  <c r="J125" i="93"/>
  <c r="L131" i="93"/>
  <c r="K125" i="93"/>
  <c r="K124" i="93" s="1"/>
  <c r="K123" i="93" s="1"/>
  <c r="K122" i="93" s="1"/>
  <c r="G147" i="93"/>
  <c r="N159" i="93"/>
  <c r="L156" i="93"/>
  <c r="I187" i="93"/>
  <c r="M187" i="93" s="1"/>
  <c r="G186" i="93"/>
  <c r="J198" i="93"/>
  <c r="F201" i="93"/>
  <c r="F208" i="93"/>
  <c r="L242" i="93"/>
  <c r="J241" i="93"/>
  <c r="M156" i="93"/>
  <c r="K175" i="93"/>
  <c r="K174" i="93" s="1"/>
  <c r="K173" i="93" s="1"/>
  <c r="M181" i="93"/>
  <c r="N181" i="93" s="1"/>
  <c r="M195" i="93"/>
  <c r="N195" i="93" s="1"/>
  <c r="M212" i="93"/>
  <c r="N212" i="93" s="1"/>
  <c r="N227" i="93"/>
  <c r="F250" i="93"/>
  <c r="J301" i="93"/>
  <c r="L305" i="93"/>
  <c r="N333" i="93"/>
  <c r="F332" i="93"/>
  <c r="F353" i="93"/>
  <c r="J359" i="93"/>
  <c r="L363" i="93"/>
  <c r="L381" i="93"/>
  <c r="M381" i="93" s="1"/>
  <c r="N381" i="93" s="1"/>
  <c r="F33" i="93"/>
  <c r="H56" i="93"/>
  <c r="I56" i="93" s="1"/>
  <c r="M56" i="93" s="1"/>
  <c r="N56" i="93" s="1"/>
  <c r="H60" i="93"/>
  <c r="I60" i="93" s="1"/>
  <c r="M60" i="93" s="1"/>
  <c r="N60" i="93" s="1"/>
  <c r="F22" i="93"/>
  <c r="J22" i="93"/>
  <c r="L34" i="93"/>
  <c r="G51" i="93"/>
  <c r="I53" i="93"/>
  <c r="M53" i="93" s="1"/>
  <c r="N53" i="93" s="1"/>
  <c r="I65" i="93"/>
  <c r="M65" i="93" s="1"/>
  <c r="N65" i="93" s="1"/>
  <c r="H81" i="93"/>
  <c r="H76" i="93" s="1"/>
  <c r="G83" i="93"/>
  <c r="I83" i="93" s="1"/>
  <c r="M83" i="93" s="1"/>
  <c r="N83" i="93" s="1"/>
  <c r="F101" i="93"/>
  <c r="J101" i="93"/>
  <c r="L101" i="93" s="1"/>
  <c r="I102" i="93"/>
  <c r="M102" i="93" s="1"/>
  <c r="N102" i="93" s="1"/>
  <c r="I116" i="93"/>
  <c r="L117" i="93"/>
  <c r="M117" i="93" s="1"/>
  <c r="N117" i="93" s="1"/>
  <c r="I126" i="93"/>
  <c r="L127" i="93"/>
  <c r="G131" i="93"/>
  <c r="I131" i="93" s="1"/>
  <c r="M131" i="93" s="1"/>
  <c r="N131" i="93" s="1"/>
  <c r="I142" i="93"/>
  <c r="M142" i="93" s="1"/>
  <c r="N142" i="93" s="1"/>
  <c r="L143" i="93"/>
  <c r="J148" i="93"/>
  <c r="I149" i="93"/>
  <c r="F156" i="93"/>
  <c r="F168" i="93"/>
  <c r="J168" i="93"/>
  <c r="I169" i="93"/>
  <c r="M169" i="93" s="1"/>
  <c r="N169" i="93" s="1"/>
  <c r="G175" i="93"/>
  <c r="F176" i="93"/>
  <c r="I177" i="93"/>
  <c r="L180" i="93"/>
  <c r="M180" i="93" s="1"/>
  <c r="N180" i="93" s="1"/>
  <c r="F187" i="93"/>
  <c r="I188" i="93"/>
  <c r="F198" i="93"/>
  <c r="G203" i="93"/>
  <c r="L213" i="93"/>
  <c r="G226" i="93"/>
  <c r="L226" i="93"/>
  <c r="I281" i="93"/>
  <c r="M292" i="93"/>
  <c r="N292" i="93" s="1"/>
  <c r="L302" i="93"/>
  <c r="I315" i="93"/>
  <c r="M322" i="93"/>
  <c r="N335" i="93"/>
  <c r="L340" i="93"/>
  <c r="I360" i="93"/>
  <c r="M360" i="93" s="1"/>
  <c r="H359" i="93"/>
  <c r="H358" i="93" s="1"/>
  <c r="H357" i="93" s="1"/>
  <c r="H350" i="93" s="1"/>
  <c r="I372" i="93"/>
  <c r="M391" i="93"/>
  <c r="J251" i="93"/>
  <c r="L252" i="93"/>
  <c r="M252" i="93" s="1"/>
  <c r="N252" i="93" s="1"/>
  <c r="I259" i="93"/>
  <c r="G258" i="93"/>
  <c r="L270" i="93"/>
  <c r="J269" i="93"/>
  <c r="L269" i="93" s="1"/>
  <c r="I272" i="93"/>
  <c r="G271" i="93"/>
  <c r="F279" i="93"/>
  <c r="I319" i="93"/>
  <c r="G314" i="93"/>
  <c r="I346" i="93"/>
  <c r="M346" i="93" s="1"/>
  <c r="G345" i="93"/>
  <c r="K350" i="93"/>
  <c r="K351" i="93"/>
  <c r="L354" i="93"/>
  <c r="J353" i="93"/>
  <c r="F370" i="93"/>
  <c r="I378" i="93"/>
  <c r="G377" i="93"/>
  <c r="I36" i="93"/>
  <c r="M36" i="93" s="1"/>
  <c r="N36" i="93" s="1"/>
  <c r="F76" i="93"/>
  <c r="F175" i="93"/>
  <c r="L177" i="93"/>
  <c r="L188" i="93"/>
  <c r="K203" i="93"/>
  <c r="K202" i="93" s="1"/>
  <c r="K201" i="93" s="1"/>
  <c r="K199" i="93" s="1"/>
  <c r="K198" i="93" s="1"/>
  <c r="M204" i="93"/>
  <c r="N204" i="93" s="1"/>
  <c r="J208" i="93"/>
  <c r="I223" i="93"/>
  <c r="M223" i="93" s="1"/>
  <c r="N223" i="93" s="1"/>
  <c r="F226" i="93"/>
  <c r="J235" i="93"/>
  <c r="H301" i="93"/>
  <c r="H300" i="93" s="1"/>
  <c r="H299" i="93" s="1"/>
  <c r="H298" i="93" s="1"/>
  <c r="N316" i="93"/>
  <c r="N360" i="93"/>
  <c r="N361" i="93"/>
  <c r="N373" i="93"/>
  <c r="F269" i="93"/>
  <c r="I302" i="93"/>
  <c r="G301" i="93"/>
  <c r="I332" i="93"/>
  <c r="G331" i="93"/>
  <c r="I331" i="93" s="1"/>
  <c r="L333" i="93"/>
  <c r="J332" i="93"/>
  <c r="L338" i="93"/>
  <c r="J337" i="93"/>
  <c r="L337" i="93" s="1"/>
  <c r="I340" i="93"/>
  <c r="G339" i="93"/>
  <c r="G359" i="93"/>
  <c r="I363" i="93"/>
  <c r="N150" i="93"/>
  <c r="M305" i="93"/>
  <c r="N305" i="93" s="1"/>
  <c r="G243" i="93"/>
  <c r="I244" i="93"/>
  <c r="M244" i="93" s="1"/>
  <c r="N244" i="93" s="1"/>
  <c r="G250" i="93"/>
  <c r="I251" i="93"/>
  <c r="L259" i="93"/>
  <c r="J258" i="93"/>
  <c r="I263" i="93"/>
  <c r="M263" i="93" s="1"/>
  <c r="N263" i="93" s="1"/>
  <c r="H262" i="93"/>
  <c r="I262" i="93" s="1"/>
  <c r="M262" i="93" s="1"/>
  <c r="N262" i="93" s="1"/>
  <c r="L280" i="93"/>
  <c r="J279" i="93"/>
  <c r="F301" i="93"/>
  <c r="L310" i="93"/>
  <c r="K309" i="93"/>
  <c r="K301" i="93" s="1"/>
  <c r="K300" i="93" s="1"/>
  <c r="K299" i="93" s="1"/>
  <c r="K298" i="93" s="1"/>
  <c r="F337" i="93"/>
  <c r="L346" i="93"/>
  <c r="J345" i="93"/>
  <c r="I353" i="93"/>
  <c r="G352" i="93"/>
  <c r="I370" i="93"/>
  <c r="G369" i="93"/>
  <c r="I369" i="93" s="1"/>
  <c r="L371" i="93"/>
  <c r="J370" i="93"/>
  <c r="F377" i="93"/>
  <c r="G22" i="93"/>
  <c r="M205" i="93"/>
  <c r="N205" i="93" s="1"/>
  <c r="I209" i="93"/>
  <c r="M209" i="93" s="1"/>
  <c r="N209" i="93" s="1"/>
  <c r="L209" i="93"/>
  <c r="I213" i="93"/>
  <c r="I216" i="93"/>
  <c r="M216" i="93" s="1"/>
  <c r="N216" i="93" s="1"/>
  <c r="G234" i="93"/>
  <c r="F235" i="93"/>
  <c r="L272" i="93"/>
  <c r="H280" i="93"/>
  <c r="H279" i="93" s="1"/>
  <c r="H278" i="93" s="1"/>
  <c r="N291" i="93"/>
  <c r="I309" i="93"/>
  <c r="J314" i="93"/>
  <c r="L319" i="93"/>
  <c r="I334" i="93"/>
  <c r="N341" i="93"/>
  <c r="M366" i="93"/>
  <c r="N366" i="93" s="1"/>
  <c r="F243" i="93"/>
  <c r="F259" i="93"/>
  <c r="I260" i="93"/>
  <c r="L271" i="93"/>
  <c r="L281" i="93"/>
  <c r="L306" i="93"/>
  <c r="M306" i="93" s="1"/>
  <c r="N306" i="93" s="1"/>
  <c r="L315" i="93"/>
  <c r="F322" i="93"/>
  <c r="N322" i="93" s="1"/>
  <c r="I323" i="93"/>
  <c r="I333" i="93"/>
  <c r="M333" i="93" s="1"/>
  <c r="L334" i="93"/>
  <c r="L339" i="93"/>
  <c r="F346" i="93"/>
  <c r="I347" i="93"/>
  <c r="I354" i="93"/>
  <c r="M354" i="93" s="1"/>
  <c r="N354" i="93" s="1"/>
  <c r="L355" i="93"/>
  <c r="M355" i="93" s="1"/>
  <c r="N355" i="93" s="1"/>
  <c r="F363" i="93"/>
  <c r="I364" i="93"/>
  <c r="I371" i="93"/>
  <c r="L372" i="93"/>
  <c r="L382" i="93"/>
  <c r="M382" i="93" s="1"/>
  <c r="N382" i="93" s="1"/>
  <c r="L260" i="93"/>
  <c r="I266" i="93"/>
  <c r="M266" i="93" s="1"/>
  <c r="N266" i="93" s="1"/>
  <c r="I273" i="93"/>
  <c r="M273" i="93" s="1"/>
  <c r="N273" i="93" s="1"/>
  <c r="I303" i="93"/>
  <c r="M303" i="93" s="1"/>
  <c r="N303" i="93" s="1"/>
  <c r="I310" i="93"/>
  <c r="M310" i="93" s="1"/>
  <c r="N310" i="93" s="1"/>
  <c r="L311" i="93"/>
  <c r="M311" i="93" s="1"/>
  <c r="N311" i="93" s="1"/>
  <c r="I320" i="93"/>
  <c r="M320" i="93" s="1"/>
  <c r="N320" i="93" s="1"/>
  <c r="L323" i="93"/>
  <c r="I341" i="93"/>
  <c r="M341" i="93" s="1"/>
  <c r="L347" i="93"/>
  <c r="L364" i="93"/>
  <c r="I379" i="93"/>
  <c r="M379" i="93" s="1"/>
  <c r="N379" i="93" s="1"/>
  <c r="H387" i="93"/>
  <c r="I387" i="93" s="1"/>
  <c r="M387" i="93" s="1"/>
  <c r="M241" i="94" l="1"/>
  <c r="N241" i="94" s="1"/>
  <c r="J276" i="94"/>
  <c r="J275" i="94" s="1"/>
  <c r="M137" i="94"/>
  <c r="N137" i="94" s="1"/>
  <c r="M360" i="94"/>
  <c r="N360" i="94" s="1"/>
  <c r="M277" i="94"/>
  <c r="N277" i="94" s="1"/>
  <c r="M81" i="94"/>
  <c r="N81" i="94" s="1"/>
  <c r="M231" i="94"/>
  <c r="N231" i="94" s="1"/>
  <c r="I228" i="94"/>
  <c r="M228" i="94" s="1"/>
  <c r="N228" i="94" s="1"/>
  <c r="G285" i="94"/>
  <c r="M352" i="94"/>
  <c r="N352" i="94" s="1"/>
  <c r="M167" i="94"/>
  <c r="N167" i="94" s="1"/>
  <c r="M278" i="94"/>
  <c r="N278" i="94" s="1"/>
  <c r="M346" i="94"/>
  <c r="N346" i="94" s="1"/>
  <c r="M321" i="94"/>
  <c r="N321" i="94" s="1"/>
  <c r="M147" i="94"/>
  <c r="N147" i="94" s="1"/>
  <c r="M209" i="94"/>
  <c r="N209" i="94" s="1"/>
  <c r="H55" i="94"/>
  <c r="H54" i="94" s="1"/>
  <c r="H53" i="94" s="1"/>
  <c r="H52" i="94" s="1"/>
  <c r="H211" i="94"/>
  <c r="H143" i="94" s="1"/>
  <c r="J213" i="94"/>
  <c r="J212" i="94" s="1"/>
  <c r="G204" i="94"/>
  <c r="I204" i="94" s="1"/>
  <c r="M371" i="94"/>
  <c r="N371" i="94" s="1"/>
  <c r="H23" i="94"/>
  <c r="M193" i="94"/>
  <c r="N193" i="94" s="1"/>
  <c r="M172" i="94"/>
  <c r="N172" i="94" s="1"/>
  <c r="M89" i="94"/>
  <c r="N89" i="94" s="1"/>
  <c r="G376" i="94"/>
  <c r="M35" i="94"/>
  <c r="N35" i="94" s="1"/>
  <c r="M122" i="94"/>
  <c r="N122" i="94" s="1"/>
  <c r="M182" i="94"/>
  <c r="N182" i="94" s="1"/>
  <c r="M181" i="94"/>
  <c r="N181" i="94" s="1"/>
  <c r="M131" i="94"/>
  <c r="N131" i="94" s="1"/>
  <c r="J180" i="94"/>
  <c r="M47" i="94"/>
  <c r="N47" i="94" s="1"/>
  <c r="M314" i="94"/>
  <c r="N314" i="94" s="1"/>
  <c r="M158" i="94"/>
  <c r="N158" i="94" s="1"/>
  <c r="M369" i="94"/>
  <c r="N369" i="94" s="1"/>
  <c r="M174" i="94"/>
  <c r="N174" i="94" s="1"/>
  <c r="M34" i="94"/>
  <c r="N34" i="94" s="1"/>
  <c r="M265" i="94"/>
  <c r="N265" i="94" s="1"/>
  <c r="H355" i="94"/>
  <c r="M378" i="94"/>
  <c r="N378" i="94" s="1"/>
  <c r="M387" i="94"/>
  <c r="N387" i="94" s="1"/>
  <c r="M107" i="94"/>
  <c r="N107" i="94" s="1"/>
  <c r="I207" i="94"/>
  <c r="M173" i="94"/>
  <c r="N173" i="94" s="1"/>
  <c r="M217" i="94"/>
  <c r="N217" i="94" s="1"/>
  <c r="M315" i="94"/>
  <c r="N315" i="94" s="1"/>
  <c r="J146" i="94"/>
  <c r="J145" i="94" s="1"/>
  <c r="G213" i="94"/>
  <c r="I213" i="94" s="1"/>
  <c r="M100" i="94"/>
  <c r="N100" i="94" s="1"/>
  <c r="L351" i="94"/>
  <c r="L161" i="94"/>
  <c r="M328" i="94"/>
  <c r="N328" i="94" s="1"/>
  <c r="M28" i="94"/>
  <c r="N28" i="94" s="1"/>
  <c r="M249" i="94"/>
  <c r="N249" i="94" s="1"/>
  <c r="M41" i="94"/>
  <c r="N41" i="94" s="1"/>
  <c r="G26" i="94"/>
  <c r="I26" i="94" s="1"/>
  <c r="G120" i="94"/>
  <c r="G119" i="94" s="1"/>
  <c r="K319" i="94"/>
  <c r="K318" i="94" s="1"/>
  <c r="K317" i="94" s="1"/>
  <c r="I267" i="94"/>
  <c r="M296" i="94"/>
  <c r="N296" i="94" s="1"/>
  <c r="M106" i="94"/>
  <c r="N106" i="94" s="1"/>
  <c r="M325" i="94"/>
  <c r="N325" i="94" s="1"/>
  <c r="M365" i="94"/>
  <c r="N365" i="94" s="1"/>
  <c r="G319" i="94"/>
  <c r="G275" i="94"/>
  <c r="G274" i="94" s="1"/>
  <c r="I274" i="94" s="1"/>
  <c r="M384" i="94"/>
  <c r="N384" i="94" s="1"/>
  <c r="K153" i="94"/>
  <c r="K152" i="94" s="1"/>
  <c r="K144" i="94" s="1"/>
  <c r="K143" i="94" s="1"/>
  <c r="M221" i="94"/>
  <c r="N221" i="94" s="1"/>
  <c r="F153" i="94"/>
  <c r="M161" i="94"/>
  <c r="N161" i="94" s="1"/>
  <c r="J130" i="94"/>
  <c r="J129" i="94" s="1"/>
  <c r="L350" i="94"/>
  <c r="M27" i="94"/>
  <c r="N27" i="94" s="1"/>
  <c r="J306" i="94"/>
  <c r="J305" i="94" s="1"/>
  <c r="I208" i="94"/>
  <c r="M208" i="94" s="1"/>
  <c r="N208" i="94" s="1"/>
  <c r="M311" i="94"/>
  <c r="N311" i="94" s="1"/>
  <c r="M199" i="94"/>
  <c r="N199" i="94" s="1"/>
  <c r="K55" i="94"/>
  <c r="L55" i="94" s="1"/>
  <c r="M324" i="94"/>
  <c r="N324" i="94" s="1"/>
  <c r="I222" i="96"/>
  <c r="M222" i="96" s="1"/>
  <c r="N222" i="96" s="1"/>
  <c r="M366" i="94"/>
  <c r="N366" i="94" s="1"/>
  <c r="M371" i="93"/>
  <c r="N371" i="93" s="1"/>
  <c r="I208" i="93"/>
  <c r="N156" i="93"/>
  <c r="M101" i="93"/>
  <c r="G130" i="94"/>
  <c r="I130" i="94" s="1"/>
  <c r="I164" i="94"/>
  <c r="M164" i="94" s="1"/>
  <c r="N164" i="94" s="1"/>
  <c r="M361" i="96"/>
  <c r="N361" i="96" s="1"/>
  <c r="J359" i="96"/>
  <c r="I174" i="96"/>
  <c r="M101" i="96"/>
  <c r="N101" i="96" s="1"/>
  <c r="I51" i="96"/>
  <c r="L248" i="94"/>
  <c r="J247" i="94"/>
  <c r="G280" i="93"/>
  <c r="I142" i="96"/>
  <c r="M142" i="96" s="1"/>
  <c r="N142" i="96" s="1"/>
  <c r="G141" i="96"/>
  <c r="M149" i="93"/>
  <c r="N149" i="93" s="1"/>
  <c r="I147" i="93"/>
  <c r="G271" i="96"/>
  <c r="I272" i="96"/>
  <c r="M272" i="96" s="1"/>
  <c r="N272" i="96" s="1"/>
  <c r="M229" i="94"/>
  <c r="N229" i="94" s="1"/>
  <c r="H258" i="93"/>
  <c r="H257" i="93" s="1"/>
  <c r="H256" i="93" s="1"/>
  <c r="H247" i="93" s="1"/>
  <c r="J377" i="93"/>
  <c r="L56" i="94"/>
  <c r="M59" i="94"/>
  <c r="N59" i="94" s="1"/>
  <c r="I192" i="94"/>
  <c r="M192" i="94" s="1"/>
  <c r="N192" i="94" s="1"/>
  <c r="M257" i="94"/>
  <c r="N257" i="94" s="1"/>
  <c r="M268" i="94"/>
  <c r="N268" i="94" s="1"/>
  <c r="J353" i="96"/>
  <c r="G359" i="96"/>
  <c r="M262" i="96"/>
  <c r="N262" i="96" s="1"/>
  <c r="M203" i="96"/>
  <c r="N203" i="96" s="1"/>
  <c r="M194" i="96"/>
  <c r="N194" i="96" s="1"/>
  <c r="M340" i="94"/>
  <c r="N340" i="94" s="1"/>
  <c r="L227" i="94"/>
  <c r="J226" i="94"/>
  <c r="L226" i="94" s="1"/>
  <c r="L35" i="96"/>
  <c r="J34" i="96"/>
  <c r="J33" i="96" s="1"/>
  <c r="L22" i="96"/>
  <c r="J21" i="96"/>
  <c r="M221" i="96"/>
  <c r="M126" i="93"/>
  <c r="N126" i="93" s="1"/>
  <c r="L121" i="94"/>
  <c r="M121" i="94" s="1"/>
  <c r="N121" i="94" s="1"/>
  <c r="H298" i="96"/>
  <c r="M188" i="93"/>
  <c r="N188" i="93" s="1"/>
  <c r="M222" i="94"/>
  <c r="N222" i="94" s="1"/>
  <c r="I88" i="94"/>
  <c r="M88" i="94" s="1"/>
  <c r="N88" i="94" s="1"/>
  <c r="M341" i="96"/>
  <c r="N341" i="96" s="1"/>
  <c r="I281" i="96"/>
  <c r="I149" i="96"/>
  <c r="M345" i="94"/>
  <c r="N345" i="94" s="1"/>
  <c r="M127" i="96"/>
  <c r="N127" i="96" s="1"/>
  <c r="M287" i="94"/>
  <c r="N287" i="94" s="1"/>
  <c r="I227" i="94"/>
  <c r="H138" i="96"/>
  <c r="M243" i="96"/>
  <c r="N243" i="96" s="1"/>
  <c r="L235" i="96"/>
  <c r="M235" i="96" s="1"/>
  <c r="N235" i="96" s="1"/>
  <c r="J234" i="96"/>
  <c r="L272" i="96"/>
  <c r="J271" i="96"/>
  <c r="K39" i="94"/>
  <c r="K38" i="94" s="1"/>
  <c r="K37" i="94" s="1"/>
  <c r="K23" i="94" s="1"/>
  <c r="K257" i="96"/>
  <c r="K256" i="96" s="1"/>
  <c r="K247" i="96" s="1"/>
  <c r="L258" i="96"/>
  <c r="H17" i="96"/>
  <c r="F314" i="96"/>
  <c r="N319" i="96"/>
  <c r="F240" i="96"/>
  <c r="F239" i="96"/>
  <c r="F344" i="96"/>
  <c r="J249" i="96"/>
  <c r="L250" i="96"/>
  <c r="L371" i="96"/>
  <c r="J370" i="96"/>
  <c r="F270" i="96"/>
  <c r="I212" i="96"/>
  <c r="G208" i="96"/>
  <c r="F125" i="96"/>
  <c r="N131" i="96"/>
  <c r="F338" i="96"/>
  <c r="J32" i="96"/>
  <c r="L33" i="96"/>
  <c r="J174" i="96"/>
  <c r="L175" i="96"/>
  <c r="M175" i="96" s="1"/>
  <c r="L202" i="96"/>
  <c r="M202" i="96" s="1"/>
  <c r="N202" i="96" s="1"/>
  <c r="J201" i="96"/>
  <c r="F174" i="96"/>
  <c r="N175" i="96"/>
  <c r="L51" i="96"/>
  <c r="M51" i="96" s="1"/>
  <c r="N51" i="96" s="1"/>
  <c r="K50" i="96"/>
  <c r="M335" i="96"/>
  <c r="N335" i="96" s="1"/>
  <c r="M315" i="96"/>
  <c r="N315" i="96" s="1"/>
  <c r="M302" i="96"/>
  <c r="N302" i="96" s="1"/>
  <c r="L263" i="96"/>
  <c r="M263" i="96" s="1"/>
  <c r="N263" i="96" s="1"/>
  <c r="M244" i="96"/>
  <c r="N244" i="96" s="1"/>
  <c r="G50" i="96"/>
  <c r="M159" i="96"/>
  <c r="N159" i="96" s="1"/>
  <c r="G344" i="96"/>
  <c r="I345" i="96"/>
  <c r="F371" i="96"/>
  <c r="J313" i="96"/>
  <c r="L314" i="96"/>
  <c r="L339" i="96"/>
  <c r="J338" i="96"/>
  <c r="I314" i="96"/>
  <c r="G313" i="96"/>
  <c r="I301" i="96"/>
  <c r="M301" i="96" s="1"/>
  <c r="G300" i="96"/>
  <c r="F248" i="96"/>
  <c r="F147" i="96"/>
  <c r="I201" i="96"/>
  <c r="G199" i="96"/>
  <c r="G241" i="96"/>
  <c r="I242" i="96"/>
  <c r="G21" i="96"/>
  <c r="I22" i="96"/>
  <c r="M22" i="96" s="1"/>
  <c r="N22" i="96" s="1"/>
  <c r="I185" i="96"/>
  <c r="G184" i="96"/>
  <c r="I184" i="96" s="1"/>
  <c r="G147" i="96"/>
  <c r="I148" i="96"/>
  <c r="M148" i="96" s="1"/>
  <c r="N148" i="96" s="1"/>
  <c r="M320" i="96"/>
  <c r="N320" i="96" s="1"/>
  <c r="M281" i="96"/>
  <c r="N281" i="96" s="1"/>
  <c r="M251" i="96"/>
  <c r="N251" i="96" s="1"/>
  <c r="M132" i="96"/>
  <c r="N132" i="96" s="1"/>
  <c r="M372" i="96"/>
  <c r="N372" i="96" s="1"/>
  <c r="L34" i="96"/>
  <c r="L242" i="96"/>
  <c r="M116" i="96"/>
  <c r="N116" i="96" s="1"/>
  <c r="J345" i="96"/>
  <c r="L346" i="96"/>
  <c r="M346" i="96" s="1"/>
  <c r="N346" i="96" s="1"/>
  <c r="I359" i="96"/>
  <c r="G358" i="96"/>
  <c r="F301" i="96"/>
  <c r="N309" i="96"/>
  <c r="J279" i="96"/>
  <c r="L280" i="96"/>
  <c r="M280" i="96" s="1"/>
  <c r="N280" i="96" s="1"/>
  <c r="F376" i="96"/>
  <c r="L359" i="96"/>
  <c r="J358" i="96"/>
  <c r="F279" i="96"/>
  <c r="G278" i="96"/>
  <c r="I278" i="96" s="1"/>
  <c r="I279" i="96"/>
  <c r="G248" i="96"/>
  <c r="I249" i="96"/>
  <c r="F257" i="96"/>
  <c r="L241" i="96"/>
  <c r="J240" i="96"/>
  <c r="L208" i="96"/>
  <c r="J207" i="96"/>
  <c r="I371" i="96"/>
  <c r="M371" i="96" s="1"/>
  <c r="G370" i="96"/>
  <c r="L125" i="96"/>
  <c r="J124" i="96"/>
  <c r="G34" i="96"/>
  <c r="I35" i="96"/>
  <c r="M35" i="96" s="1"/>
  <c r="F185" i="96"/>
  <c r="L167" i="96"/>
  <c r="M167" i="96" s="1"/>
  <c r="N167" i="96" s="1"/>
  <c r="J166" i="96"/>
  <c r="I115" i="96"/>
  <c r="M115" i="96" s="1"/>
  <c r="N115" i="96" s="1"/>
  <c r="G114" i="96"/>
  <c r="G124" i="96"/>
  <c r="I125" i="96"/>
  <c r="M125" i="96" s="1"/>
  <c r="N291" i="96"/>
  <c r="I258" i="96"/>
  <c r="M149" i="96"/>
  <c r="N149" i="96" s="1"/>
  <c r="M126" i="96"/>
  <c r="N126" i="96" s="1"/>
  <c r="J352" i="96"/>
  <c r="L353" i="96"/>
  <c r="G339" i="96"/>
  <c r="I340" i="96"/>
  <c r="M340" i="96" s="1"/>
  <c r="N340" i="96" s="1"/>
  <c r="F359" i="96"/>
  <c r="N360" i="96"/>
  <c r="F333" i="96"/>
  <c r="N334" i="96"/>
  <c r="L377" i="96"/>
  <c r="M377" i="96" s="1"/>
  <c r="N377" i="96" s="1"/>
  <c r="J376" i="96"/>
  <c r="I353" i="96"/>
  <c r="G352" i="96"/>
  <c r="I333" i="96"/>
  <c r="G332" i="96"/>
  <c r="F351" i="96"/>
  <c r="J256" i="96"/>
  <c r="L256" i="96" s="1"/>
  <c r="L257" i="96"/>
  <c r="I376" i="96"/>
  <c r="G375" i="96"/>
  <c r="I375" i="96" s="1"/>
  <c r="L333" i="96"/>
  <c r="J332" i="96"/>
  <c r="J300" i="96"/>
  <c r="L301" i="96"/>
  <c r="F208" i="96"/>
  <c r="N209" i="96"/>
  <c r="N35" i="96"/>
  <c r="F34" i="96"/>
  <c r="G256" i="96"/>
  <c r="I256" i="96" s="1"/>
  <c r="M256" i="96" s="1"/>
  <c r="I257" i="96"/>
  <c r="M257" i="96" s="1"/>
  <c r="I166" i="96"/>
  <c r="G165" i="96"/>
  <c r="I165" i="96" s="1"/>
  <c r="L186" i="96"/>
  <c r="M186" i="96" s="1"/>
  <c r="N186" i="96" s="1"/>
  <c r="J185" i="96"/>
  <c r="F139" i="96"/>
  <c r="F50" i="96"/>
  <c r="F201" i="96"/>
  <c r="F166" i="96"/>
  <c r="L140" i="96"/>
  <c r="J139" i="96"/>
  <c r="M310" i="96"/>
  <c r="N310" i="96" s="1"/>
  <c r="M250" i="96"/>
  <c r="N250" i="96" s="1"/>
  <c r="N221" i="96"/>
  <c r="K138" i="96"/>
  <c r="L212" i="96"/>
  <c r="K18" i="96"/>
  <c r="K17" i="96" s="1"/>
  <c r="K386" i="96" s="1"/>
  <c r="K405" i="96" s="1"/>
  <c r="G55" i="94"/>
  <c r="G54" i="94" s="1"/>
  <c r="G53" i="94" s="1"/>
  <c r="G52" i="94" s="1"/>
  <c r="I56" i="94"/>
  <c r="M48" i="94"/>
  <c r="N48" i="94" s="1"/>
  <c r="I359" i="94"/>
  <c r="G358" i="94"/>
  <c r="L349" i="94"/>
  <c r="J348" i="94"/>
  <c r="L348" i="94" s="1"/>
  <c r="I338" i="94"/>
  <c r="G337" i="94"/>
  <c r="F285" i="94"/>
  <c r="J119" i="94"/>
  <c r="L120" i="94"/>
  <c r="L359" i="94"/>
  <c r="K358" i="94"/>
  <c r="I351" i="94"/>
  <c r="H350" i="94"/>
  <c r="L344" i="94"/>
  <c r="M344" i="94" s="1"/>
  <c r="J343" i="94"/>
  <c r="F338" i="94"/>
  <c r="F319" i="94"/>
  <c r="F275" i="94"/>
  <c r="I264" i="94"/>
  <c r="M264" i="94" s="1"/>
  <c r="N264" i="94" s="1"/>
  <c r="H263" i="94"/>
  <c r="L239" i="94"/>
  <c r="J237" i="94"/>
  <c r="I154" i="94"/>
  <c r="M154" i="94" s="1"/>
  <c r="N154" i="94" s="1"/>
  <c r="G153" i="94"/>
  <c r="L206" i="94"/>
  <c r="M206" i="94" s="1"/>
  <c r="N206" i="94" s="1"/>
  <c r="J204" i="94"/>
  <c r="F363" i="94"/>
  <c r="I376" i="94"/>
  <c r="G375" i="94"/>
  <c r="L339" i="94"/>
  <c r="M339" i="94" s="1"/>
  <c r="N339" i="94" s="1"/>
  <c r="J338" i="94"/>
  <c r="L320" i="94"/>
  <c r="M320" i="94" s="1"/>
  <c r="N320" i="94" s="1"/>
  <c r="J319" i="94"/>
  <c r="G306" i="94"/>
  <c r="I310" i="94"/>
  <c r="L276" i="94"/>
  <c r="M276" i="94" s="1"/>
  <c r="N276" i="94" s="1"/>
  <c r="F263" i="94"/>
  <c r="G244" i="94"/>
  <c r="G261" i="94"/>
  <c r="G239" i="94"/>
  <c r="I240" i="94"/>
  <c r="F180" i="94"/>
  <c r="L191" i="94"/>
  <c r="J190" i="94"/>
  <c r="G190" i="94"/>
  <c r="I191" i="94"/>
  <c r="F118" i="94"/>
  <c r="L368" i="94"/>
  <c r="L240" i="94"/>
  <c r="J382" i="94"/>
  <c r="M232" i="94"/>
  <c r="N232" i="94" s="1"/>
  <c r="M200" i="94"/>
  <c r="N200" i="94" s="1"/>
  <c r="F55" i="94"/>
  <c r="I368" i="94"/>
  <c r="G364" i="94"/>
  <c r="G382" i="94"/>
  <c r="I386" i="94"/>
  <c r="M386" i="94" s="1"/>
  <c r="N386" i="94" s="1"/>
  <c r="F376" i="94"/>
  <c r="F348" i="94"/>
  <c r="I343" i="94"/>
  <c r="G342" i="94"/>
  <c r="I342" i="94" s="1"/>
  <c r="I327" i="94"/>
  <c r="M327" i="94" s="1"/>
  <c r="N327" i="94" s="1"/>
  <c r="H319" i="94"/>
  <c r="H318" i="94" s="1"/>
  <c r="H317" i="94" s="1"/>
  <c r="L310" i="94"/>
  <c r="K306" i="94"/>
  <c r="K305" i="94" s="1"/>
  <c r="K304" i="94" s="1"/>
  <c r="I285" i="94"/>
  <c r="G284" i="94"/>
  <c r="J263" i="94"/>
  <c r="L267" i="94"/>
  <c r="I256" i="94"/>
  <c r="G255" i="94"/>
  <c r="H247" i="94"/>
  <c r="I248" i="94"/>
  <c r="L171" i="94"/>
  <c r="M171" i="94" s="1"/>
  <c r="N171" i="94" s="1"/>
  <c r="J170" i="94"/>
  <c r="L170" i="94" s="1"/>
  <c r="M170" i="94" s="1"/>
  <c r="F212" i="94"/>
  <c r="G203" i="94"/>
  <c r="I203" i="94" s="1"/>
  <c r="K118" i="94"/>
  <c r="K104" i="94" s="1"/>
  <c r="L104" i="94" s="1"/>
  <c r="M104" i="94" s="1"/>
  <c r="N104" i="94" s="1"/>
  <c r="K52" i="94"/>
  <c r="J38" i="94"/>
  <c r="F152" i="94"/>
  <c r="F144" i="94" s="1"/>
  <c r="F170" i="94"/>
  <c r="F129" i="94"/>
  <c r="M207" i="94"/>
  <c r="N207" i="94" s="1"/>
  <c r="M186" i="94"/>
  <c r="N186" i="94" s="1"/>
  <c r="M165" i="94"/>
  <c r="N165" i="94" s="1"/>
  <c r="L377" i="94"/>
  <c r="M377" i="94" s="1"/>
  <c r="N377" i="94" s="1"/>
  <c r="J376" i="94"/>
  <c r="L146" i="94"/>
  <c r="G39" i="94"/>
  <c r="I40" i="94"/>
  <c r="M40" i="94" s="1"/>
  <c r="N40" i="94" s="1"/>
  <c r="F25" i="94"/>
  <c r="L213" i="94"/>
  <c r="L180" i="94"/>
  <c r="J179" i="94"/>
  <c r="F226" i="94"/>
  <c r="G179" i="94"/>
  <c r="I180" i="94"/>
  <c r="M214" i="94"/>
  <c r="N214" i="94" s="1"/>
  <c r="F343" i="94"/>
  <c r="N344" i="94"/>
  <c r="F305" i="94"/>
  <c r="L256" i="94"/>
  <c r="K255" i="94"/>
  <c r="F381" i="94"/>
  <c r="L286" i="94"/>
  <c r="M286" i="94" s="1"/>
  <c r="N286" i="94" s="1"/>
  <c r="J285" i="94"/>
  <c r="J152" i="94"/>
  <c r="L26" i="94"/>
  <c r="J25" i="94"/>
  <c r="F38" i="94"/>
  <c r="G212" i="94"/>
  <c r="I146" i="94"/>
  <c r="G145" i="94"/>
  <c r="J364" i="94"/>
  <c r="F191" i="94"/>
  <c r="M185" i="94"/>
  <c r="N185" i="94" s="1"/>
  <c r="F242" i="93"/>
  <c r="I22" i="93"/>
  <c r="G21" i="93"/>
  <c r="G242" i="93"/>
  <c r="I243" i="93"/>
  <c r="M243" i="93" s="1"/>
  <c r="N243" i="93" s="1"/>
  <c r="I175" i="93"/>
  <c r="G174" i="93"/>
  <c r="F359" i="93"/>
  <c r="F345" i="93"/>
  <c r="N346" i="93"/>
  <c r="F258" i="93"/>
  <c r="F234" i="93"/>
  <c r="L370" i="93"/>
  <c r="M370" i="93" s="1"/>
  <c r="N370" i="93" s="1"/>
  <c r="J369" i="93"/>
  <c r="L369" i="93" s="1"/>
  <c r="M369" i="93" s="1"/>
  <c r="I352" i="93"/>
  <c r="G351" i="93"/>
  <c r="F300" i="93"/>
  <c r="L258" i="93"/>
  <c r="J257" i="93"/>
  <c r="L208" i="93"/>
  <c r="J207" i="93"/>
  <c r="I377" i="93"/>
  <c r="G376" i="93"/>
  <c r="L353" i="93"/>
  <c r="J352" i="93"/>
  <c r="I345" i="93"/>
  <c r="G344" i="93"/>
  <c r="F278" i="93"/>
  <c r="I226" i="93"/>
  <c r="M226" i="93" s="1"/>
  <c r="G222" i="93"/>
  <c r="F167" i="93"/>
  <c r="J376" i="93"/>
  <c r="L377" i="93"/>
  <c r="J300" i="93"/>
  <c r="L301" i="93"/>
  <c r="J240" i="93"/>
  <c r="L241" i="93"/>
  <c r="I186" i="93"/>
  <c r="G185" i="93"/>
  <c r="L186" i="93"/>
  <c r="J185" i="93"/>
  <c r="L175" i="93"/>
  <c r="J174" i="93"/>
  <c r="I167" i="93"/>
  <c r="G166" i="93"/>
  <c r="L141" i="93"/>
  <c r="M141" i="93" s="1"/>
  <c r="N141" i="93" s="1"/>
  <c r="J140" i="93"/>
  <c r="L115" i="93"/>
  <c r="J114" i="93"/>
  <c r="I140" i="93"/>
  <c r="G139" i="93"/>
  <c r="I34" i="93"/>
  <c r="M34" i="93" s="1"/>
  <c r="N34" i="93" s="1"/>
  <c r="G33" i="93"/>
  <c r="G249" i="93"/>
  <c r="I250" i="93"/>
  <c r="L168" i="93"/>
  <c r="J167" i="93"/>
  <c r="L148" i="93"/>
  <c r="J147" i="93"/>
  <c r="L147" i="93" s="1"/>
  <c r="M147" i="93" s="1"/>
  <c r="G50" i="93"/>
  <c r="F352" i="93"/>
  <c r="F207" i="93"/>
  <c r="M309" i="93"/>
  <c r="N309" i="93" s="1"/>
  <c r="M353" i="93"/>
  <c r="N353" i="93" s="1"/>
  <c r="L309" i="93"/>
  <c r="M378" i="93"/>
  <c r="N378" i="93" s="1"/>
  <c r="M372" i="93"/>
  <c r="N372" i="93" s="1"/>
  <c r="M323" i="93"/>
  <c r="N323" i="93" s="1"/>
  <c r="M213" i="93"/>
  <c r="N213" i="93" s="1"/>
  <c r="M363" i="93"/>
  <c r="N363" i="93" s="1"/>
  <c r="F314" i="93"/>
  <c r="N176" i="93"/>
  <c r="F148" i="93"/>
  <c r="M364" i="93"/>
  <c r="N364" i="93" s="1"/>
  <c r="M347" i="93"/>
  <c r="N347" i="93" s="1"/>
  <c r="M260" i="93"/>
  <c r="N260" i="93" s="1"/>
  <c r="M334" i="93"/>
  <c r="N334" i="93" s="1"/>
  <c r="M340" i="93"/>
  <c r="N340" i="93" s="1"/>
  <c r="M302" i="93"/>
  <c r="N302" i="93" s="1"/>
  <c r="M319" i="93"/>
  <c r="N319" i="93" s="1"/>
  <c r="M272" i="93"/>
  <c r="N272" i="93" s="1"/>
  <c r="M259" i="93"/>
  <c r="N259" i="93" s="1"/>
  <c r="M281" i="93"/>
  <c r="N281" i="93" s="1"/>
  <c r="M208" i="93"/>
  <c r="N208" i="93" s="1"/>
  <c r="M177" i="93"/>
  <c r="N177" i="93" s="1"/>
  <c r="M116" i="93"/>
  <c r="N116" i="93" s="1"/>
  <c r="I81" i="93"/>
  <c r="M81" i="93" s="1"/>
  <c r="N81" i="93" s="1"/>
  <c r="L199" i="93"/>
  <c r="I148" i="93"/>
  <c r="G125" i="93"/>
  <c r="H51" i="93"/>
  <c r="H50" i="93" s="1"/>
  <c r="H49" i="93" s="1"/>
  <c r="H48" i="93" s="1"/>
  <c r="H47" i="93" s="1"/>
  <c r="H17" i="93" s="1"/>
  <c r="M115" i="93"/>
  <c r="L33" i="93"/>
  <c r="L345" i="93"/>
  <c r="J344" i="93"/>
  <c r="L279" i="93"/>
  <c r="J278" i="93"/>
  <c r="L278" i="93" s="1"/>
  <c r="I339" i="93"/>
  <c r="M339" i="93" s="1"/>
  <c r="N339" i="93" s="1"/>
  <c r="G338" i="93"/>
  <c r="L332" i="93"/>
  <c r="M332" i="93" s="1"/>
  <c r="N332" i="93" s="1"/>
  <c r="J331" i="93"/>
  <c r="L331" i="93" s="1"/>
  <c r="M331" i="93" s="1"/>
  <c r="I301" i="93"/>
  <c r="G300" i="93"/>
  <c r="N226" i="93"/>
  <c r="F222" i="93"/>
  <c r="N76" i="93"/>
  <c r="F50" i="93"/>
  <c r="F369" i="93"/>
  <c r="G313" i="93"/>
  <c r="I314" i="93"/>
  <c r="I271" i="93"/>
  <c r="M271" i="93" s="1"/>
  <c r="N271" i="93" s="1"/>
  <c r="G270" i="93"/>
  <c r="I258" i="93"/>
  <c r="M258" i="93" s="1"/>
  <c r="G257" i="93"/>
  <c r="F21" i="93"/>
  <c r="F32" i="93"/>
  <c r="L359" i="93"/>
  <c r="J358" i="93"/>
  <c r="L125" i="93"/>
  <c r="J124" i="93"/>
  <c r="F140" i="93"/>
  <c r="F114" i="93"/>
  <c r="N115" i="93"/>
  <c r="I114" i="93"/>
  <c r="G113" i="93"/>
  <c r="I113" i="93" s="1"/>
  <c r="M315" i="93"/>
  <c r="N315" i="93" s="1"/>
  <c r="L201" i="93"/>
  <c r="N101" i="93"/>
  <c r="L198" i="93"/>
  <c r="K184" i="93"/>
  <c r="K138" i="93" s="1"/>
  <c r="K17" i="93" s="1"/>
  <c r="K386" i="93" s="1"/>
  <c r="K405" i="93" s="1"/>
  <c r="L32" i="93"/>
  <c r="G358" i="93"/>
  <c r="I359" i="93"/>
  <c r="M359" i="93" s="1"/>
  <c r="J234" i="93"/>
  <c r="L235" i="93"/>
  <c r="M235" i="93" s="1"/>
  <c r="N235" i="93" s="1"/>
  <c r="F174" i="93"/>
  <c r="L251" i="93"/>
  <c r="M251" i="93" s="1"/>
  <c r="N251" i="93" s="1"/>
  <c r="J250" i="93"/>
  <c r="I203" i="93"/>
  <c r="G202" i="93"/>
  <c r="F186" i="93"/>
  <c r="N187" i="93"/>
  <c r="F124" i="93"/>
  <c r="J21" i="93"/>
  <c r="L22" i="93"/>
  <c r="F331" i="93"/>
  <c r="F249" i="93"/>
  <c r="K49" i="93"/>
  <c r="L50" i="93"/>
  <c r="L202" i="93"/>
  <c r="L203" i="93"/>
  <c r="M168" i="93"/>
  <c r="N168" i="93" s="1"/>
  <c r="F376" i="93"/>
  <c r="L314" i="93"/>
  <c r="J313" i="93"/>
  <c r="G232" i="93"/>
  <c r="I234" i="93"/>
  <c r="I319" i="94" l="1"/>
  <c r="I275" i="94"/>
  <c r="K54" i="94"/>
  <c r="K53" i="94" s="1"/>
  <c r="L53" i="94" s="1"/>
  <c r="L39" i="94"/>
  <c r="M267" i="94"/>
  <c r="N267" i="94" s="1"/>
  <c r="L130" i="94"/>
  <c r="I52" i="94"/>
  <c r="M130" i="94"/>
  <c r="N130" i="94" s="1"/>
  <c r="G129" i="94"/>
  <c r="I129" i="94" s="1"/>
  <c r="I120" i="94"/>
  <c r="M120" i="94" s="1"/>
  <c r="N120" i="94" s="1"/>
  <c r="M351" i="94"/>
  <c r="N351" i="94" s="1"/>
  <c r="G25" i="94"/>
  <c r="I25" i="94" s="1"/>
  <c r="L153" i="94"/>
  <c r="M56" i="94"/>
  <c r="N56" i="94" s="1"/>
  <c r="G318" i="94"/>
  <c r="G317" i="94" s="1"/>
  <c r="I317" i="94" s="1"/>
  <c r="L152" i="94"/>
  <c r="M248" i="94"/>
  <c r="N248" i="94" s="1"/>
  <c r="K303" i="94"/>
  <c r="J20" i="96"/>
  <c r="L21" i="96"/>
  <c r="I271" i="96"/>
  <c r="G270" i="96"/>
  <c r="G279" i="93"/>
  <c r="I280" i="93"/>
  <c r="M280" i="93" s="1"/>
  <c r="N280" i="93" s="1"/>
  <c r="M314" i="93"/>
  <c r="I54" i="94"/>
  <c r="L247" i="94"/>
  <c r="J246" i="94"/>
  <c r="J232" i="96"/>
  <c r="L234" i="96"/>
  <c r="M234" i="96" s="1"/>
  <c r="N234" i="96" s="1"/>
  <c r="M368" i="94"/>
  <c r="N368" i="94" s="1"/>
  <c r="I53" i="94"/>
  <c r="I55" i="94"/>
  <c r="M55" i="94" s="1"/>
  <c r="N55" i="94" s="1"/>
  <c r="J270" i="96"/>
  <c r="L271" i="96"/>
  <c r="M227" i="94"/>
  <c r="N227" i="94" s="1"/>
  <c r="M186" i="93"/>
  <c r="G140" i="96"/>
  <c r="I140" i="96" s="1"/>
  <c r="M140" i="96" s="1"/>
  <c r="N140" i="96" s="1"/>
  <c r="I141" i="96"/>
  <c r="M141" i="96" s="1"/>
  <c r="N141" i="96" s="1"/>
  <c r="M180" i="94"/>
  <c r="N180" i="94" s="1"/>
  <c r="M213" i="94"/>
  <c r="N213" i="94" s="1"/>
  <c r="M26" i="94"/>
  <c r="N26" i="94" s="1"/>
  <c r="F165" i="96"/>
  <c r="F49" i="96"/>
  <c r="L185" i="96"/>
  <c r="M185" i="96" s="1"/>
  <c r="N185" i="96" s="1"/>
  <c r="J184" i="96"/>
  <c r="L184" i="96" s="1"/>
  <c r="M184" i="96" s="1"/>
  <c r="F33" i="96"/>
  <c r="G351" i="96"/>
  <c r="I352" i="96"/>
  <c r="I124" i="96"/>
  <c r="G123" i="96"/>
  <c r="I34" i="96"/>
  <c r="M34" i="96" s="1"/>
  <c r="N34" i="96" s="1"/>
  <c r="G33" i="96"/>
  <c r="I248" i="96"/>
  <c r="F375" i="96"/>
  <c r="F300" i="96"/>
  <c r="N301" i="96"/>
  <c r="L345" i="96"/>
  <c r="J344" i="96"/>
  <c r="I147" i="96"/>
  <c r="M147" i="96" s="1"/>
  <c r="G139" i="96"/>
  <c r="I21" i="96"/>
  <c r="M21" i="96" s="1"/>
  <c r="N21" i="96" s="1"/>
  <c r="G20" i="96"/>
  <c r="F370" i="96"/>
  <c r="N371" i="96"/>
  <c r="G49" i="96"/>
  <c r="I50" i="96"/>
  <c r="F173" i="96"/>
  <c r="N173" i="96" s="1"/>
  <c r="L174" i="96"/>
  <c r="M174" i="96" s="1"/>
  <c r="N174" i="96" s="1"/>
  <c r="J173" i="96"/>
  <c r="L173" i="96" s="1"/>
  <c r="M173" i="96" s="1"/>
  <c r="F337" i="96"/>
  <c r="M258" i="96"/>
  <c r="N258" i="96" s="1"/>
  <c r="M314" i="96"/>
  <c r="N314" i="96" s="1"/>
  <c r="M212" i="96"/>
  <c r="N212" i="96" s="1"/>
  <c r="F207" i="96"/>
  <c r="F358" i="96"/>
  <c r="L352" i="96"/>
  <c r="J351" i="96"/>
  <c r="L166" i="96"/>
  <c r="J165" i="96"/>
  <c r="L165" i="96" s="1"/>
  <c r="M165" i="96" s="1"/>
  <c r="I370" i="96"/>
  <c r="G369" i="96"/>
  <c r="I369" i="96" s="1"/>
  <c r="L240" i="96"/>
  <c r="J239" i="96"/>
  <c r="L239" i="96" s="1"/>
  <c r="F278" i="96"/>
  <c r="I199" i="96"/>
  <c r="G198" i="96"/>
  <c r="I198" i="96" s="1"/>
  <c r="G312" i="96"/>
  <c r="I312" i="96" s="1"/>
  <c r="I313" i="96"/>
  <c r="M313" i="96" s="1"/>
  <c r="I208" i="96"/>
  <c r="M208" i="96" s="1"/>
  <c r="N208" i="96" s="1"/>
  <c r="G207" i="96"/>
  <c r="J369" i="96"/>
  <c r="L369" i="96" s="1"/>
  <c r="L370" i="96"/>
  <c r="F343" i="96"/>
  <c r="M333" i="96"/>
  <c r="N333" i="96" s="1"/>
  <c r="L139" i="96"/>
  <c r="J331" i="96"/>
  <c r="L331" i="96" s="1"/>
  <c r="L332" i="96"/>
  <c r="I332" i="96"/>
  <c r="G331" i="96"/>
  <c r="I331" i="96" s="1"/>
  <c r="M331" i="96" s="1"/>
  <c r="L376" i="96"/>
  <c r="M376" i="96" s="1"/>
  <c r="N376" i="96" s="1"/>
  <c r="J375" i="96"/>
  <c r="L375" i="96" s="1"/>
  <c r="M375" i="96" s="1"/>
  <c r="F184" i="96"/>
  <c r="N257" i="96"/>
  <c r="F256" i="96"/>
  <c r="N256" i="96" s="1"/>
  <c r="L279" i="96"/>
  <c r="J278" i="96"/>
  <c r="L278" i="96" s="1"/>
  <c r="M278" i="96" s="1"/>
  <c r="I241" i="96"/>
  <c r="M241" i="96" s="1"/>
  <c r="N241" i="96" s="1"/>
  <c r="G240" i="96"/>
  <c r="L313" i="96"/>
  <c r="J312" i="96"/>
  <c r="L312" i="96" s="1"/>
  <c r="I344" i="96"/>
  <c r="G343" i="96"/>
  <c r="I343" i="96" s="1"/>
  <c r="L32" i="96"/>
  <c r="N125" i="96"/>
  <c r="F124" i="96"/>
  <c r="F269" i="96"/>
  <c r="L249" i="96"/>
  <c r="M249" i="96" s="1"/>
  <c r="N249" i="96" s="1"/>
  <c r="J248" i="96"/>
  <c r="H386" i="96"/>
  <c r="P22" i="96"/>
  <c r="M359" i="96"/>
  <c r="N359" i="96" s="1"/>
  <c r="L300" i="96"/>
  <c r="J299" i="96"/>
  <c r="F332" i="96"/>
  <c r="I339" i="96"/>
  <c r="M339" i="96" s="1"/>
  <c r="N339" i="96" s="1"/>
  <c r="G338" i="96"/>
  <c r="G113" i="96"/>
  <c r="I113" i="96" s="1"/>
  <c r="M113" i="96" s="1"/>
  <c r="N113" i="96" s="1"/>
  <c r="I114" i="96"/>
  <c r="M114" i="96" s="1"/>
  <c r="N114" i="96" s="1"/>
  <c r="L124" i="96"/>
  <c r="J122" i="96"/>
  <c r="L122" i="96" s="1"/>
  <c r="J123" i="96"/>
  <c r="L123" i="96" s="1"/>
  <c r="L207" i="96"/>
  <c r="J206" i="96"/>
  <c r="L206" i="96" s="1"/>
  <c r="J357" i="96"/>
  <c r="L357" i="96" s="1"/>
  <c r="L358" i="96"/>
  <c r="I358" i="96"/>
  <c r="G357" i="96"/>
  <c r="I357" i="96" s="1"/>
  <c r="M357" i="96" s="1"/>
  <c r="G299" i="96"/>
  <c r="I300" i="96"/>
  <c r="L338" i="96"/>
  <c r="J337" i="96"/>
  <c r="L337" i="96" s="1"/>
  <c r="L50" i="96"/>
  <c r="K49" i="96"/>
  <c r="L201" i="96"/>
  <c r="M201" i="96" s="1"/>
  <c r="N201" i="96" s="1"/>
  <c r="J199" i="96"/>
  <c r="F313" i="96"/>
  <c r="M166" i="96"/>
  <c r="N166" i="96" s="1"/>
  <c r="M353" i="96"/>
  <c r="N353" i="96" s="1"/>
  <c r="M279" i="96"/>
  <c r="N279" i="96" s="1"/>
  <c r="M242" i="96"/>
  <c r="N242" i="96" s="1"/>
  <c r="N147" i="96"/>
  <c r="M345" i="96"/>
  <c r="N345" i="96" s="1"/>
  <c r="M310" i="94"/>
  <c r="N310" i="94" s="1"/>
  <c r="M256" i="94"/>
  <c r="N256" i="94" s="1"/>
  <c r="N170" i="94"/>
  <c r="F380" i="94"/>
  <c r="I179" i="94"/>
  <c r="G178" i="94"/>
  <c r="I178" i="94" s="1"/>
  <c r="L212" i="94"/>
  <c r="J211" i="94"/>
  <c r="L211" i="94" s="1"/>
  <c r="I39" i="94"/>
  <c r="G38" i="94"/>
  <c r="G128" i="94"/>
  <c r="G118" i="94"/>
  <c r="I118" i="94" s="1"/>
  <c r="I119" i="94"/>
  <c r="L38" i="94"/>
  <c r="J37" i="94"/>
  <c r="L37" i="94" s="1"/>
  <c r="G254" i="94"/>
  <c r="I255" i="94"/>
  <c r="I284" i="94"/>
  <c r="G283" i="94"/>
  <c r="I283" i="94" s="1"/>
  <c r="I364" i="94"/>
  <c r="G363" i="94"/>
  <c r="L190" i="94"/>
  <c r="J189" i="94"/>
  <c r="L189" i="94" s="1"/>
  <c r="L338" i="94"/>
  <c r="M338" i="94" s="1"/>
  <c r="N338" i="94" s="1"/>
  <c r="J337" i="94"/>
  <c r="L204" i="94"/>
  <c r="M204" i="94" s="1"/>
  <c r="N204" i="94" s="1"/>
  <c r="J203" i="94"/>
  <c r="L203" i="94" s="1"/>
  <c r="M203" i="94" s="1"/>
  <c r="N203" i="94" s="1"/>
  <c r="L237" i="94"/>
  <c r="J236" i="94"/>
  <c r="L236" i="94" s="1"/>
  <c r="L343" i="94"/>
  <c r="M343" i="94" s="1"/>
  <c r="N343" i="94" s="1"/>
  <c r="J342" i="94"/>
  <c r="L342" i="94" s="1"/>
  <c r="M342" i="94" s="1"/>
  <c r="K357" i="94"/>
  <c r="L358" i="94"/>
  <c r="L364" i="94"/>
  <c r="J363" i="94"/>
  <c r="F37" i="94"/>
  <c r="F342" i="94"/>
  <c r="F24" i="94"/>
  <c r="L145" i="94"/>
  <c r="J144" i="94"/>
  <c r="F128" i="94"/>
  <c r="F211" i="94"/>
  <c r="H246" i="94"/>
  <c r="I247" i="94"/>
  <c r="L263" i="94"/>
  <c r="J262" i="94"/>
  <c r="I382" i="94"/>
  <c r="G381" i="94"/>
  <c r="L382" i="94"/>
  <c r="J381" i="94"/>
  <c r="I190" i="94"/>
  <c r="G189" i="94"/>
  <c r="I189" i="94" s="1"/>
  <c r="F179" i="94"/>
  <c r="F362" i="94"/>
  <c r="L129" i="94"/>
  <c r="J127" i="94"/>
  <c r="L127" i="94" s="1"/>
  <c r="J128" i="94"/>
  <c r="L128" i="94" s="1"/>
  <c r="F337" i="94"/>
  <c r="L119" i="94"/>
  <c r="J52" i="94"/>
  <c r="L52" i="94" s="1"/>
  <c r="M52" i="94" s="1"/>
  <c r="J118" i="94"/>
  <c r="L118" i="94" s="1"/>
  <c r="M240" i="94"/>
  <c r="N240" i="94" s="1"/>
  <c r="M146" i="94"/>
  <c r="N146" i="94" s="1"/>
  <c r="L306" i="94"/>
  <c r="M359" i="94"/>
  <c r="N359" i="94" s="1"/>
  <c r="F190" i="94"/>
  <c r="I145" i="94"/>
  <c r="L25" i="94"/>
  <c r="J24" i="94"/>
  <c r="L285" i="94"/>
  <c r="M285" i="94" s="1"/>
  <c r="N285" i="94" s="1"/>
  <c r="J284" i="94"/>
  <c r="K254" i="94"/>
  <c r="L255" i="94"/>
  <c r="L179" i="94"/>
  <c r="J178" i="94"/>
  <c r="L178" i="94" s="1"/>
  <c r="L376" i="94"/>
  <c r="M376" i="94" s="1"/>
  <c r="N376" i="94" s="1"/>
  <c r="J375" i="94"/>
  <c r="L275" i="94"/>
  <c r="M275" i="94" s="1"/>
  <c r="N275" i="94" s="1"/>
  <c r="J274" i="94"/>
  <c r="L274" i="94" s="1"/>
  <c r="M274" i="94" s="1"/>
  <c r="L319" i="94"/>
  <c r="J318" i="94"/>
  <c r="I153" i="94"/>
  <c r="G152" i="94"/>
  <c r="I152" i="94" s="1"/>
  <c r="H262" i="94"/>
  <c r="I263" i="94"/>
  <c r="L305" i="94"/>
  <c r="J304" i="94"/>
  <c r="H349" i="94"/>
  <c r="I350" i="94"/>
  <c r="M350" i="94" s="1"/>
  <c r="N350" i="94" s="1"/>
  <c r="I337" i="94"/>
  <c r="G336" i="94"/>
  <c r="I336" i="94" s="1"/>
  <c r="I358" i="94"/>
  <c r="G357" i="94"/>
  <c r="M191" i="94"/>
  <c r="N191" i="94" s="1"/>
  <c r="F304" i="94"/>
  <c r="F375" i="94"/>
  <c r="F54" i="94"/>
  <c r="L54" i="94"/>
  <c r="M54" i="94" s="1"/>
  <c r="I239" i="94"/>
  <c r="M239" i="94" s="1"/>
  <c r="N239" i="94" s="1"/>
  <c r="G237" i="94"/>
  <c r="G226" i="94"/>
  <c r="I226" i="94" s="1"/>
  <c r="M226" i="94" s="1"/>
  <c r="N226" i="94" s="1"/>
  <c r="F262" i="94"/>
  <c r="I306" i="94"/>
  <c r="G305" i="94"/>
  <c r="F274" i="94"/>
  <c r="F318" i="94"/>
  <c r="F284" i="94"/>
  <c r="I212" i="94"/>
  <c r="I375" i="94"/>
  <c r="G374" i="94"/>
  <c r="I374" i="94" s="1"/>
  <c r="L21" i="93"/>
  <c r="J20" i="93"/>
  <c r="F185" i="93"/>
  <c r="N186" i="93"/>
  <c r="J232" i="93"/>
  <c r="L234" i="93"/>
  <c r="M234" i="93" s="1"/>
  <c r="N234" i="93" s="1"/>
  <c r="L358" i="93"/>
  <c r="J357" i="93"/>
  <c r="L357" i="93" s="1"/>
  <c r="F20" i="93"/>
  <c r="G269" i="93"/>
  <c r="I269" i="93" s="1"/>
  <c r="M269" i="93" s="1"/>
  <c r="N269" i="93" s="1"/>
  <c r="I270" i="93"/>
  <c r="M270" i="93" s="1"/>
  <c r="N270" i="93" s="1"/>
  <c r="I139" i="93"/>
  <c r="J173" i="93"/>
  <c r="L173" i="93" s="1"/>
  <c r="L174" i="93"/>
  <c r="I185" i="93"/>
  <c r="L352" i="93"/>
  <c r="J351" i="93"/>
  <c r="L207" i="93"/>
  <c r="M207" i="93" s="1"/>
  <c r="J206" i="93"/>
  <c r="L206" i="93" s="1"/>
  <c r="L313" i="93"/>
  <c r="J312" i="93"/>
  <c r="L312" i="93" s="1"/>
  <c r="F248" i="93"/>
  <c r="J249" i="93"/>
  <c r="L250" i="93"/>
  <c r="M250" i="93" s="1"/>
  <c r="N250" i="93" s="1"/>
  <c r="F113" i="93"/>
  <c r="I313" i="93"/>
  <c r="M313" i="93" s="1"/>
  <c r="G312" i="93"/>
  <c r="I312" i="93" s="1"/>
  <c r="I125" i="93"/>
  <c r="M125" i="93" s="1"/>
  <c r="N125" i="93" s="1"/>
  <c r="G124" i="93"/>
  <c r="F147" i="93"/>
  <c r="N147" i="93" s="1"/>
  <c r="J239" i="93"/>
  <c r="L239" i="93" s="1"/>
  <c r="L240" i="93"/>
  <c r="L376" i="93"/>
  <c r="J375" i="93"/>
  <c r="L375" i="93" s="1"/>
  <c r="F344" i="93"/>
  <c r="N345" i="93"/>
  <c r="M148" i="93"/>
  <c r="N148" i="93" s="1"/>
  <c r="M301" i="93"/>
  <c r="N301" i="93" s="1"/>
  <c r="I51" i="93"/>
  <c r="M51" i="93" s="1"/>
  <c r="N51" i="93" s="1"/>
  <c r="M345" i="93"/>
  <c r="M377" i="93"/>
  <c r="N377" i="93" s="1"/>
  <c r="M352" i="93"/>
  <c r="M175" i="93"/>
  <c r="N175" i="93" s="1"/>
  <c r="M22" i="93"/>
  <c r="N22" i="93" s="1"/>
  <c r="F375" i="93"/>
  <c r="F123" i="93"/>
  <c r="F173" i="93"/>
  <c r="I358" i="93"/>
  <c r="G357" i="93"/>
  <c r="I357" i="93" s="1"/>
  <c r="M357" i="93" s="1"/>
  <c r="L124" i="93"/>
  <c r="J122" i="93"/>
  <c r="L122" i="93" s="1"/>
  <c r="J123" i="93"/>
  <c r="L123" i="93" s="1"/>
  <c r="I257" i="93"/>
  <c r="G256" i="93"/>
  <c r="I256" i="93" s="1"/>
  <c r="F49" i="93"/>
  <c r="G299" i="93"/>
  <c r="I300" i="93"/>
  <c r="G337" i="93"/>
  <c r="I337" i="93" s="1"/>
  <c r="M337" i="93" s="1"/>
  <c r="N337" i="93" s="1"/>
  <c r="I338" i="93"/>
  <c r="M338" i="93" s="1"/>
  <c r="N338" i="93" s="1"/>
  <c r="J343" i="93"/>
  <c r="L343" i="93" s="1"/>
  <c r="L344" i="93"/>
  <c r="H386" i="93"/>
  <c r="P22" i="93"/>
  <c r="N207" i="93"/>
  <c r="I50" i="93"/>
  <c r="M50" i="93" s="1"/>
  <c r="N50" i="93" s="1"/>
  <c r="G49" i="93"/>
  <c r="L167" i="93"/>
  <c r="M167" i="93" s="1"/>
  <c r="N167" i="93" s="1"/>
  <c r="J166" i="93"/>
  <c r="I33" i="93"/>
  <c r="M33" i="93" s="1"/>
  <c r="N33" i="93" s="1"/>
  <c r="G32" i="93"/>
  <c r="I32" i="93" s="1"/>
  <c r="M32" i="93" s="1"/>
  <c r="N32" i="93" s="1"/>
  <c r="L114" i="93"/>
  <c r="M114" i="93" s="1"/>
  <c r="N114" i="93" s="1"/>
  <c r="J47" i="93"/>
  <c r="L47" i="93" s="1"/>
  <c r="J113" i="93"/>
  <c r="L113" i="93" s="1"/>
  <c r="M113" i="93" s="1"/>
  <c r="I166" i="93"/>
  <c r="G165" i="93"/>
  <c r="I165" i="93" s="1"/>
  <c r="J184" i="93"/>
  <c r="L184" i="93" s="1"/>
  <c r="L185" i="93"/>
  <c r="I222" i="93"/>
  <c r="M222" i="93" s="1"/>
  <c r="N222" i="93" s="1"/>
  <c r="G221" i="93"/>
  <c r="I344" i="93"/>
  <c r="G343" i="93"/>
  <c r="I343" i="93" s="1"/>
  <c r="G375" i="93"/>
  <c r="I375" i="93" s="1"/>
  <c r="I376" i="93"/>
  <c r="M376" i="93" s="1"/>
  <c r="N376" i="93" s="1"/>
  <c r="J256" i="93"/>
  <c r="L256" i="93" s="1"/>
  <c r="L257" i="93"/>
  <c r="I351" i="93"/>
  <c r="I174" i="93"/>
  <c r="M174" i="93" s="1"/>
  <c r="N174" i="93" s="1"/>
  <c r="G173" i="93"/>
  <c r="I173" i="93" s="1"/>
  <c r="G20" i="93"/>
  <c r="I21" i="93"/>
  <c r="N331" i="93"/>
  <c r="M203" i="93"/>
  <c r="N203" i="93" s="1"/>
  <c r="I202" i="93"/>
  <c r="M202" i="93" s="1"/>
  <c r="N202" i="93" s="1"/>
  <c r="G201" i="93"/>
  <c r="G184" i="93" s="1"/>
  <c r="I184" i="93" s="1"/>
  <c r="M184" i="93" s="1"/>
  <c r="N314" i="93"/>
  <c r="F313" i="93"/>
  <c r="F351" i="93"/>
  <c r="N352" i="93"/>
  <c r="G248" i="93"/>
  <c r="I249" i="93"/>
  <c r="L300" i="93"/>
  <c r="J299" i="93"/>
  <c r="F166" i="93"/>
  <c r="F299" i="93"/>
  <c r="F257" i="93"/>
  <c r="N258" i="93"/>
  <c r="N359" i="93"/>
  <c r="F358" i="93"/>
  <c r="G241" i="93"/>
  <c r="I242" i="93"/>
  <c r="M242" i="93" s="1"/>
  <c r="N242" i="93" s="1"/>
  <c r="N369" i="93"/>
  <c r="G231" i="93"/>
  <c r="I231" i="93" s="1"/>
  <c r="I232" i="93"/>
  <c r="K48" i="93"/>
  <c r="L48" i="93" s="1"/>
  <c r="L49" i="93"/>
  <c r="F221" i="93"/>
  <c r="F206" i="93" s="1"/>
  <c r="L140" i="93"/>
  <c r="M140" i="93" s="1"/>
  <c r="N140" i="93" s="1"/>
  <c r="J139" i="93"/>
  <c r="F241" i="93"/>
  <c r="M39" i="94" l="1"/>
  <c r="N39" i="94" s="1"/>
  <c r="M319" i="94"/>
  <c r="N319" i="94" s="1"/>
  <c r="M53" i="94"/>
  <c r="M153" i="94"/>
  <c r="N153" i="94" s="1"/>
  <c r="G24" i="94"/>
  <c r="I24" i="94" s="1"/>
  <c r="M247" i="94"/>
  <c r="N247" i="94" s="1"/>
  <c r="M152" i="94"/>
  <c r="N152" i="94" s="1"/>
  <c r="M145" i="94"/>
  <c r="N145" i="94" s="1"/>
  <c r="I318" i="94"/>
  <c r="M173" i="93"/>
  <c r="M358" i="93"/>
  <c r="N358" i="93" s="1"/>
  <c r="L270" i="96"/>
  <c r="J269" i="96"/>
  <c r="L269" i="96" s="1"/>
  <c r="J231" i="96"/>
  <c r="L231" i="96" s="1"/>
  <c r="M231" i="96" s="1"/>
  <c r="N231" i="96" s="1"/>
  <c r="L232" i="96"/>
  <c r="M232" i="96" s="1"/>
  <c r="N232" i="96" s="1"/>
  <c r="I279" i="93"/>
  <c r="M279" i="93" s="1"/>
  <c r="N279" i="93" s="1"/>
  <c r="G278" i="93"/>
  <c r="I278" i="93" s="1"/>
  <c r="M278" i="93" s="1"/>
  <c r="N278" i="93" s="1"/>
  <c r="M257" i="93"/>
  <c r="N173" i="93"/>
  <c r="N274" i="94"/>
  <c r="M129" i="94"/>
  <c r="N129" i="94" s="1"/>
  <c r="M369" i="96"/>
  <c r="L246" i="94"/>
  <c r="J245" i="94"/>
  <c r="G269" i="96"/>
  <c r="I270" i="96"/>
  <c r="M270" i="96" s="1"/>
  <c r="N270" i="96" s="1"/>
  <c r="G350" i="93"/>
  <c r="I350" i="93" s="1"/>
  <c r="M271" i="96"/>
  <c r="N271" i="96" s="1"/>
  <c r="M312" i="93"/>
  <c r="M185" i="93"/>
  <c r="G211" i="94"/>
  <c r="I211" i="94" s="1"/>
  <c r="M211" i="94" s="1"/>
  <c r="N211" i="94" s="1"/>
  <c r="M344" i="93"/>
  <c r="M300" i="93"/>
  <c r="N300" i="93" s="1"/>
  <c r="M21" i="93"/>
  <c r="N21" i="93" s="1"/>
  <c r="J19" i="96"/>
  <c r="L20" i="96"/>
  <c r="M118" i="94"/>
  <c r="N118" i="94" s="1"/>
  <c r="M212" i="94"/>
  <c r="N212" i="94" s="1"/>
  <c r="M25" i="94"/>
  <c r="N25" i="94" s="1"/>
  <c r="I299" i="96"/>
  <c r="I338" i="96"/>
  <c r="M338" i="96" s="1"/>
  <c r="N338" i="96" s="1"/>
  <c r="G337" i="96"/>
  <c r="I337" i="96" s="1"/>
  <c r="M337" i="96" s="1"/>
  <c r="N337" i="96" s="1"/>
  <c r="L299" i="96"/>
  <c r="L49" i="96"/>
  <c r="K48" i="96"/>
  <c r="L48" i="96" s="1"/>
  <c r="F331" i="96"/>
  <c r="N331" i="96" s="1"/>
  <c r="N332" i="96"/>
  <c r="L248" i="96"/>
  <c r="M248" i="96" s="1"/>
  <c r="N248" i="96" s="1"/>
  <c r="J247" i="96"/>
  <c r="L247" i="96" s="1"/>
  <c r="F123" i="96"/>
  <c r="I240" i="96"/>
  <c r="M240" i="96" s="1"/>
  <c r="N240" i="96" s="1"/>
  <c r="G239" i="96"/>
  <c r="I239" i="96" s="1"/>
  <c r="M239" i="96" s="1"/>
  <c r="N239" i="96" s="1"/>
  <c r="I207" i="96"/>
  <c r="M207" i="96" s="1"/>
  <c r="N207" i="96" s="1"/>
  <c r="G206" i="96"/>
  <c r="I206" i="96" s="1"/>
  <c r="M206" i="96" s="1"/>
  <c r="L351" i="96"/>
  <c r="J350" i="96"/>
  <c r="L350" i="96" s="1"/>
  <c r="F206" i="96"/>
  <c r="I20" i="96"/>
  <c r="M20" i="96" s="1"/>
  <c r="N20" i="96" s="1"/>
  <c r="G19" i="96"/>
  <c r="L344" i="96"/>
  <c r="J343" i="96"/>
  <c r="L343" i="96" s="1"/>
  <c r="M343" i="96" s="1"/>
  <c r="N343" i="96" s="1"/>
  <c r="I33" i="96"/>
  <c r="M33" i="96" s="1"/>
  <c r="N33" i="96" s="1"/>
  <c r="G32" i="96"/>
  <c r="I32" i="96" s="1"/>
  <c r="M32" i="96" s="1"/>
  <c r="F48" i="96"/>
  <c r="H405" i="96"/>
  <c r="P21" i="96"/>
  <c r="F357" i="96"/>
  <c r="F369" i="96"/>
  <c r="N369" i="96" s="1"/>
  <c r="F299" i="96"/>
  <c r="M344" i="96"/>
  <c r="N344" i="96" s="1"/>
  <c r="M300" i="96"/>
  <c r="N300" i="96" s="1"/>
  <c r="N278" i="96"/>
  <c r="M50" i="96"/>
  <c r="N50" i="96" s="1"/>
  <c r="M352" i="96"/>
  <c r="N352" i="96" s="1"/>
  <c r="M358" i="96"/>
  <c r="N358" i="96" s="1"/>
  <c r="N184" i="96"/>
  <c r="M332" i="96"/>
  <c r="M312" i="96"/>
  <c r="F138" i="96"/>
  <c r="M124" i="96"/>
  <c r="N124" i="96" s="1"/>
  <c r="N165" i="96"/>
  <c r="J198" i="96"/>
  <c r="L198" i="96" s="1"/>
  <c r="M198" i="96" s="1"/>
  <c r="N198" i="96" s="1"/>
  <c r="L199" i="96"/>
  <c r="M199" i="96" s="1"/>
  <c r="N199" i="96" s="1"/>
  <c r="I139" i="96"/>
  <c r="M139" i="96" s="1"/>
  <c r="N139" i="96" s="1"/>
  <c r="I123" i="96"/>
  <c r="M123" i="96" s="1"/>
  <c r="G122" i="96"/>
  <c r="I122" i="96" s="1"/>
  <c r="M122" i="96" s="1"/>
  <c r="J138" i="96"/>
  <c r="L138" i="96" s="1"/>
  <c r="N313" i="96"/>
  <c r="F312" i="96"/>
  <c r="N312" i="96" s="1"/>
  <c r="I49" i="96"/>
  <c r="G48" i="96"/>
  <c r="I351" i="96"/>
  <c r="M351" i="96" s="1"/>
  <c r="N351" i="96" s="1"/>
  <c r="G350" i="96"/>
  <c r="I350" i="96" s="1"/>
  <c r="M350" i="96" s="1"/>
  <c r="F32" i="96"/>
  <c r="F247" i="96"/>
  <c r="M370" i="96"/>
  <c r="N370" i="96" s="1"/>
  <c r="N375" i="96"/>
  <c r="F283" i="94"/>
  <c r="J283" i="94"/>
  <c r="L283" i="94" s="1"/>
  <c r="M283" i="94" s="1"/>
  <c r="L284" i="94"/>
  <c r="M284" i="94" s="1"/>
  <c r="N284" i="94" s="1"/>
  <c r="F178" i="94"/>
  <c r="L381" i="94"/>
  <c r="J380" i="94"/>
  <c r="L380" i="94" s="1"/>
  <c r="L144" i="94"/>
  <c r="J143" i="94"/>
  <c r="L143" i="94" s="1"/>
  <c r="J362" i="94"/>
  <c r="L363" i="94"/>
  <c r="F261" i="94"/>
  <c r="F317" i="94"/>
  <c r="I237" i="94"/>
  <c r="M237" i="94" s="1"/>
  <c r="N237" i="94" s="1"/>
  <c r="G236" i="94"/>
  <c r="I236" i="94" s="1"/>
  <c r="M236" i="94" s="1"/>
  <c r="N236" i="94" s="1"/>
  <c r="G356" i="94"/>
  <c r="I357" i="94"/>
  <c r="J317" i="94"/>
  <c r="L317" i="94" s="1"/>
  <c r="M317" i="94" s="1"/>
  <c r="L318" i="94"/>
  <c r="J374" i="94"/>
  <c r="L374" i="94" s="1"/>
  <c r="M374" i="94" s="1"/>
  <c r="L375" i="94"/>
  <c r="M375" i="94" s="1"/>
  <c r="N375" i="94" s="1"/>
  <c r="L24" i="94"/>
  <c r="J23" i="94"/>
  <c r="F189" i="94"/>
  <c r="F336" i="94"/>
  <c r="I381" i="94"/>
  <c r="G380" i="94"/>
  <c r="I380" i="94" s="1"/>
  <c r="F127" i="94"/>
  <c r="F23" i="94"/>
  <c r="J336" i="94"/>
  <c r="L336" i="94" s="1"/>
  <c r="M336" i="94" s="1"/>
  <c r="L337" i="94"/>
  <c r="M337" i="94" s="1"/>
  <c r="N337" i="94" s="1"/>
  <c r="I363" i="94"/>
  <c r="G362" i="94"/>
  <c r="I362" i="94" s="1"/>
  <c r="I38" i="94"/>
  <c r="M38" i="94" s="1"/>
  <c r="N38" i="94" s="1"/>
  <c r="G37" i="94"/>
  <c r="I37" i="94" s="1"/>
  <c r="M37" i="94" s="1"/>
  <c r="N37" i="94" s="1"/>
  <c r="M306" i="94"/>
  <c r="N306" i="94" s="1"/>
  <c r="M263" i="94"/>
  <c r="N263" i="94" s="1"/>
  <c r="M189" i="94"/>
  <c r="M255" i="94"/>
  <c r="N255" i="94" s="1"/>
  <c r="M119" i="94"/>
  <c r="N119" i="94" s="1"/>
  <c r="M178" i="94"/>
  <c r="I305" i="94"/>
  <c r="M305" i="94" s="1"/>
  <c r="N305" i="94" s="1"/>
  <c r="G304" i="94"/>
  <c r="F374" i="94"/>
  <c r="F355" i="94" s="1"/>
  <c r="K356" i="94"/>
  <c r="L356" i="94" s="1"/>
  <c r="K355" i="94"/>
  <c r="L357" i="94"/>
  <c r="I128" i="94"/>
  <c r="M128" i="94" s="1"/>
  <c r="N128" i="94" s="1"/>
  <c r="G127" i="94"/>
  <c r="I127" i="94" s="1"/>
  <c r="M127" i="94" s="1"/>
  <c r="G144" i="94"/>
  <c r="N342" i="94"/>
  <c r="L304" i="94"/>
  <c r="L262" i="94"/>
  <c r="J261" i="94"/>
  <c r="N54" i="94"/>
  <c r="F53" i="94"/>
  <c r="H348" i="94"/>
  <c r="I349" i="94"/>
  <c r="M349" i="94" s="1"/>
  <c r="N349" i="94" s="1"/>
  <c r="H261" i="94"/>
  <c r="I262" i="94"/>
  <c r="K253" i="94"/>
  <c r="L254" i="94"/>
  <c r="H245" i="94"/>
  <c r="I246" i="94"/>
  <c r="I254" i="94"/>
  <c r="G253" i="94"/>
  <c r="M358" i="94"/>
  <c r="N358" i="94" s="1"/>
  <c r="M190" i="94"/>
  <c r="N190" i="94" s="1"/>
  <c r="M382" i="94"/>
  <c r="N382" i="94" s="1"/>
  <c r="M364" i="94"/>
  <c r="N364" i="94" s="1"/>
  <c r="M179" i="94"/>
  <c r="N179" i="94" s="1"/>
  <c r="F256" i="93"/>
  <c r="F247" i="93" s="1"/>
  <c r="N257" i="93"/>
  <c r="I248" i="93"/>
  <c r="G247" i="93"/>
  <c r="I247" i="93" s="1"/>
  <c r="L139" i="93"/>
  <c r="M139" i="93" s="1"/>
  <c r="F312" i="93"/>
  <c r="N313" i="93"/>
  <c r="H405" i="93"/>
  <c r="P21" i="93"/>
  <c r="I124" i="93"/>
  <c r="M124" i="93" s="1"/>
  <c r="N124" i="93" s="1"/>
  <c r="G123" i="93"/>
  <c r="F19" i="93"/>
  <c r="L20" i="93"/>
  <c r="J19" i="93"/>
  <c r="F240" i="93"/>
  <c r="F239" i="93"/>
  <c r="G19" i="93"/>
  <c r="I20" i="93"/>
  <c r="I49" i="93"/>
  <c r="M49" i="93" s="1"/>
  <c r="N49" i="93" s="1"/>
  <c r="G48" i="93"/>
  <c r="F48" i="93"/>
  <c r="F122" i="93"/>
  <c r="L249" i="93"/>
  <c r="J248" i="93"/>
  <c r="F184" i="93"/>
  <c r="N184" i="93" s="1"/>
  <c r="N185" i="93"/>
  <c r="M249" i="93"/>
  <c r="N249" i="93" s="1"/>
  <c r="M343" i="93"/>
  <c r="M375" i="93"/>
  <c r="N375" i="93" s="1"/>
  <c r="F139" i="93"/>
  <c r="F357" i="93"/>
  <c r="N357" i="93" s="1"/>
  <c r="L299" i="93"/>
  <c r="J298" i="93"/>
  <c r="L298" i="93" s="1"/>
  <c r="I201" i="93"/>
  <c r="M201" i="93" s="1"/>
  <c r="N201" i="93" s="1"/>
  <c r="G199" i="93"/>
  <c r="I221" i="93"/>
  <c r="M221" i="93" s="1"/>
  <c r="N221" i="93" s="1"/>
  <c r="G206" i="93"/>
  <c r="I206" i="93" s="1"/>
  <c r="M206" i="93" s="1"/>
  <c r="I299" i="93"/>
  <c r="G298" i="93"/>
  <c r="I298" i="93" s="1"/>
  <c r="J350" i="93"/>
  <c r="L350" i="93" s="1"/>
  <c r="L351" i="93"/>
  <c r="M351" i="93" s="1"/>
  <c r="N351" i="93" s="1"/>
  <c r="F343" i="93"/>
  <c r="N343" i="93" s="1"/>
  <c r="N344" i="93"/>
  <c r="J231" i="93"/>
  <c r="L231" i="93" s="1"/>
  <c r="M231" i="93" s="1"/>
  <c r="N231" i="93" s="1"/>
  <c r="L232" i="93"/>
  <c r="M232" i="93" s="1"/>
  <c r="N232" i="93" s="1"/>
  <c r="N206" i="93"/>
  <c r="M256" i="93"/>
  <c r="N113" i="93"/>
  <c r="I241" i="93"/>
  <c r="M241" i="93" s="1"/>
  <c r="N241" i="93" s="1"/>
  <c r="G240" i="93"/>
  <c r="F165" i="93"/>
  <c r="J165" i="93"/>
  <c r="L165" i="93" s="1"/>
  <c r="M165" i="93" s="1"/>
  <c r="L166" i="93"/>
  <c r="M166" i="93" s="1"/>
  <c r="N166" i="93" s="1"/>
  <c r="M246" i="94" l="1"/>
  <c r="N246" i="94" s="1"/>
  <c r="M318" i="94"/>
  <c r="N318" i="94" s="1"/>
  <c r="F303" i="94"/>
  <c r="J303" i="94"/>
  <c r="L303" i="94" s="1"/>
  <c r="I269" i="96"/>
  <c r="M269" i="96" s="1"/>
  <c r="N269" i="96" s="1"/>
  <c r="G247" i="96"/>
  <c r="I247" i="96" s="1"/>
  <c r="M247" i="96" s="1"/>
  <c r="N247" i="96" s="1"/>
  <c r="M20" i="93"/>
  <c r="N20" i="93" s="1"/>
  <c r="G298" i="96"/>
  <c r="I298" i="96" s="1"/>
  <c r="L19" i="96"/>
  <c r="J18" i="96"/>
  <c r="L18" i="96" s="1"/>
  <c r="J244" i="94"/>
  <c r="L244" i="94" s="1"/>
  <c r="L245" i="94"/>
  <c r="M350" i="93"/>
  <c r="M380" i="94"/>
  <c r="N380" i="94" s="1"/>
  <c r="N312" i="93"/>
  <c r="M363" i="94"/>
  <c r="N363" i="94" s="1"/>
  <c r="M381" i="94"/>
  <c r="N381" i="94" s="1"/>
  <c r="M24" i="94"/>
  <c r="N24" i="94" s="1"/>
  <c r="N189" i="94"/>
  <c r="F298" i="96"/>
  <c r="F47" i="96"/>
  <c r="N32" i="96"/>
  <c r="F18" i="96"/>
  <c r="I19" i="96"/>
  <c r="M19" i="96" s="1"/>
  <c r="N19" i="96" s="1"/>
  <c r="G18" i="96"/>
  <c r="I48" i="96"/>
  <c r="M48" i="96" s="1"/>
  <c r="N48" i="96" s="1"/>
  <c r="G47" i="96"/>
  <c r="I47" i="96" s="1"/>
  <c r="M47" i="96" s="1"/>
  <c r="N357" i="96"/>
  <c r="F350" i="96"/>
  <c r="N350" i="96" s="1"/>
  <c r="F122" i="96"/>
  <c r="N122" i="96" s="1"/>
  <c r="N123" i="96"/>
  <c r="M298" i="96"/>
  <c r="M49" i="96"/>
  <c r="N49" i="96" s="1"/>
  <c r="G138" i="96"/>
  <c r="I138" i="96" s="1"/>
  <c r="M138" i="96" s="1"/>
  <c r="N138" i="96" s="1"/>
  <c r="J17" i="96"/>
  <c r="N206" i="96"/>
  <c r="J298" i="96"/>
  <c r="L298" i="96" s="1"/>
  <c r="M299" i="96"/>
  <c r="N299" i="96" s="1"/>
  <c r="M262" i="94"/>
  <c r="N262" i="94" s="1"/>
  <c r="L261" i="94"/>
  <c r="J252" i="94"/>
  <c r="I348" i="94"/>
  <c r="M348" i="94" s="1"/>
  <c r="N348" i="94" s="1"/>
  <c r="H303" i="94"/>
  <c r="I356" i="94"/>
  <c r="M356" i="94" s="1"/>
  <c r="N356" i="94" s="1"/>
  <c r="G355" i="94"/>
  <c r="I355" i="94" s="1"/>
  <c r="H252" i="94"/>
  <c r="I261" i="94"/>
  <c r="I144" i="94"/>
  <c r="M144" i="94" s="1"/>
  <c r="N144" i="94" s="1"/>
  <c r="G143" i="94"/>
  <c r="I143" i="94" s="1"/>
  <c r="M143" i="94" s="1"/>
  <c r="F252" i="94"/>
  <c r="N178" i="94"/>
  <c r="F143" i="94"/>
  <c r="N374" i="94"/>
  <c r="M357" i="94"/>
  <c r="N357" i="94" s="1"/>
  <c r="M254" i="94"/>
  <c r="N254" i="94" s="1"/>
  <c r="G23" i="94"/>
  <c r="N127" i="94"/>
  <c r="N336" i="94"/>
  <c r="N283" i="94"/>
  <c r="L23" i="94"/>
  <c r="I253" i="94"/>
  <c r="G252" i="94"/>
  <c r="I304" i="94"/>
  <c r="M304" i="94" s="1"/>
  <c r="N304" i="94" s="1"/>
  <c r="G303" i="94"/>
  <c r="H244" i="94"/>
  <c r="I245" i="94"/>
  <c r="M245" i="94" s="1"/>
  <c r="N245" i="94" s="1"/>
  <c r="K252" i="94"/>
  <c r="K22" i="94" s="1"/>
  <c r="L253" i="94"/>
  <c r="L362" i="94"/>
  <c r="M362" i="94" s="1"/>
  <c r="N362" i="94" s="1"/>
  <c r="J355" i="94"/>
  <c r="L355" i="94" s="1"/>
  <c r="F52" i="94"/>
  <c r="N52" i="94" s="1"/>
  <c r="N53" i="94"/>
  <c r="N317" i="94"/>
  <c r="G47" i="93"/>
  <c r="I47" i="93" s="1"/>
  <c r="M47" i="93" s="1"/>
  <c r="I48" i="93"/>
  <c r="M48" i="93" s="1"/>
  <c r="N48" i="93" s="1"/>
  <c r="G239" i="93"/>
  <c r="I239" i="93" s="1"/>
  <c r="M239" i="93" s="1"/>
  <c r="I240" i="93"/>
  <c r="M240" i="93" s="1"/>
  <c r="N240" i="93" s="1"/>
  <c r="F47" i="93"/>
  <c r="I19" i="93"/>
  <c r="G18" i="93"/>
  <c r="F18" i="93"/>
  <c r="I123" i="93"/>
  <c r="M123" i="93" s="1"/>
  <c r="N123" i="93" s="1"/>
  <c r="G122" i="93"/>
  <c r="I122" i="93" s="1"/>
  <c r="M122" i="93" s="1"/>
  <c r="G198" i="93"/>
  <c r="I198" i="93" s="1"/>
  <c r="M198" i="93" s="1"/>
  <c r="N198" i="93" s="1"/>
  <c r="I199" i="93"/>
  <c r="M199" i="93" s="1"/>
  <c r="N199" i="93" s="1"/>
  <c r="F138" i="93"/>
  <c r="N139" i="93"/>
  <c r="J247" i="93"/>
  <c r="L247" i="93" s="1"/>
  <c r="M247" i="93" s="1"/>
  <c r="N247" i="93" s="1"/>
  <c r="L248" i="93"/>
  <c r="M248" i="93" s="1"/>
  <c r="N248" i="93" s="1"/>
  <c r="N122" i="93"/>
  <c r="F350" i="93"/>
  <c r="G138" i="93"/>
  <c r="I138" i="93" s="1"/>
  <c r="M299" i="93"/>
  <c r="N299" i="93" s="1"/>
  <c r="F298" i="93"/>
  <c r="N239" i="93"/>
  <c r="N165" i="93"/>
  <c r="M298" i="93"/>
  <c r="J138" i="93"/>
  <c r="L138" i="93" s="1"/>
  <c r="N256" i="93"/>
  <c r="L19" i="93"/>
  <c r="J18" i="93"/>
  <c r="I252" i="94" l="1"/>
  <c r="I303" i="94"/>
  <c r="M303" i="94" s="1"/>
  <c r="N303" i="94" s="1"/>
  <c r="N350" i="93"/>
  <c r="M19" i="93"/>
  <c r="N19" i="93" s="1"/>
  <c r="N47" i="93"/>
  <c r="F17" i="96"/>
  <c r="J386" i="96"/>
  <c r="L17" i="96"/>
  <c r="G17" i="96"/>
  <c r="I18" i="96"/>
  <c r="M18" i="96" s="1"/>
  <c r="N18" i="96" s="1"/>
  <c r="P18" i="96"/>
  <c r="N47" i="96"/>
  <c r="N298" i="96"/>
  <c r="L252" i="94"/>
  <c r="M252" i="94" s="1"/>
  <c r="N252" i="94" s="1"/>
  <c r="N143" i="94"/>
  <c r="H22" i="94"/>
  <c r="I244" i="94"/>
  <c r="M244" i="94" s="1"/>
  <c r="N244" i="94" s="1"/>
  <c r="I23" i="94"/>
  <c r="M23" i="94" s="1"/>
  <c r="N23" i="94" s="1"/>
  <c r="G22" i="94"/>
  <c r="M253" i="94"/>
  <c r="N253" i="94" s="1"/>
  <c r="M355" i="94"/>
  <c r="N355" i="94" s="1"/>
  <c r="F22" i="94"/>
  <c r="J22" i="94"/>
  <c r="M261" i="94"/>
  <c r="N261" i="94" s="1"/>
  <c r="L18" i="93"/>
  <c r="J17" i="93"/>
  <c r="G17" i="93"/>
  <c r="I18" i="93"/>
  <c r="M18" i="93" s="1"/>
  <c r="N18" i="93" s="1"/>
  <c r="F17" i="93"/>
  <c r="P18" i="93"/>
  <c r="N138" i="93"/>
  <c r="N298" i="93"/>
  <c r="M138" i="93"/>
  <c r="P23" i="94" l="1"/>
  <c r="L386" i="96"/>
  <c r="L405" i="96" s="1"/>
  <c r="J405" i="96"/>
  <c r="G386" i="96"/>
  <c r="G405" i="96" s="1"/>
  <c r="I17" i="96"/>
  <c r="I22" i="94"/>
  <c r="P27" i="94"/>
  <c r="L22" i="94"/>
  <c r="J386" i="93"/>
  <c r="L17" i="93"/>
  <c r="G386" i="93"/>
  <c r="G405" i="93" s="1"/>
  <c r="I17" i="93"/>
  <c r="I386" i="96" l="1"/>
  <c r="M17" i="96"/>
  <c r="N17" i="96" s="1"/>
  <c r="M22" i="94"/>
  <c r="N22" i="94" s="1"/>
  <c r="P26" i="94"/>
  <c r="I386" i="93"/>
  <c r="M17" i="93"/>
  <c r="N17" i="93" s="1"/>
  <c r="J405" i="93"/>
  <c r="L386" i="93"/>
  <c r="L405" i="93" s="1"/>
  <c r="I405" i="96" l="1"/>
  <c r="M386" i="96"/>
  <c r="M386" i="93"/>
  <c r="I405" i="93"/>
  <c r="M405" i="96" l="1"/>
  <c r="P387" i="96"/>
  <c r="P387" i="93"/>
  <c r="M405" i="93"/>
  <c r="S317" i="92" l="1"/>
  <c r="S329" i="92"/>
  <c r="T67" i="92"/>
  <c r="S120" i="92"/>
  <c r="T266" i="92"/>
  <c r="S311" i="92"/>
  <c r="S327" i="92"/>
  <c r="S328" i="92"/>
  <c r="S304" i="92"/>
  <c r="S264" i="92"/>
  <c r="S254" i="92"/>
  <c r="S171" i="92"/>
  <c r="S183" i="92"/>
  <c r="S170" i="92"/>
  <c r="T82" i="92"/>
  <c r="T65" i="92"/>
  <c r="T63" i="92"/>
  <c r="T61" i="92"/>
  <c r="T59" i="92"/>
  <c r="T57" i="92"/>
  <c r="T55" i="92"/>
  <c r="T53" i="92"/>
  <c r="K399" i="92" l="1"/>
  <c r="K391" i="92"/>
  <c r="K390" i="92"/>
  <c r="K389" i="92"/>
  <c r="K388" i="92"/>
  <c r="H389" i="92"/>
  <c r="H394" i="92"/>
  <c r="H390" i="92"/>
  <c r="H388" i="92"/>
  <c r="H395" i="92" l="1"/>
  <c r="H266" i="92"/>
  <c r="H82" i="92"/>
  <c r="H67" i="92"/>
  <c r="H65" i="92"/>
  <c r="H63" i="92"/>
  <c r="H61" i="92"/>
  <c r="H59" i="92"/>
  <c r="H57" i="92"/>
  <c r="H55" i="92"/>
  <c r="H53" i="92"/>
  <c r="K311" i="92"/>
  <c r="K264" i="92" l="1"/>
  <c r="L264" i="92" s="1"/>
  <c r="K254" i="92"/>
  <c r="K183" i="92"/>
  <c r="K171" i="92"/>
  <c r="K170" i="92"/>
  <c r="K169" i="92" s="1"/>
  <c r="K168" i="92" s="1"/>
  <c r="K167" i="92" s="1"/>
  <c r="K166" i="92" s="1"/>
  <c r="K165" i="92" s="1"/>
  <c r="K120" i="92"/>
  <c r="K44" i="92"/>
  <c r="K43" i="92" s="1"/>
  <c r="J323" i="92"/>
  <c r="I419" i="92"/>
  <c r="M419" i="92" s="1"/>
  <c r="L418" i="92"/>
  <c r="M418" i="92" s="1"/>
  <c r="I417" i="92"/>
  <c r="M417" i="92" s="1"/>
  <c r="I416" i="92"/>
  <c r="M416" i="92" s="1"/>
  <c r="I415" i="92"/>
  <c r="M415" i="92" s="1"/>
  <c r="I414" i="92"/>
  <c r="M414" i="92" s="1"/>
  <c r="I413" i="92"/>
  <c r="M413" i="92" s="1"/>
  <c r="L412" i="92"/>
  <c r="I412" i="92"/>
  <c r="L410" i="92"/>
  <c r="I410" i="92"/>
  <c r="L409" i="92"/>
  <c r="I409" i="92"/>
  <c r="L408" i="92"/>
  <c r="I408" i="92"/>
  <c r="L407" i="92"/>
  <c r="I407" i="92"/>
  <c r="K406" i="92"/>
  <c r="J406" i="92"/>
  <c r="H406" i="92"/>
  <c r="G406" i="92"/>
  <c r="M400" i="92"/>
  <c r="I400" i="92"/>
  <c r="L399" i="92"/>
  <c r="M399" i="92" s="1"/>
  <c r="I398" i="92"/>
  <c r="M398" i="92" s="1"/>
  <c r="I397" i="92"/>
  <c r="M397" i="92" s="1"/>
  <c r="I396" i="92"/>
  <c r="M396" i="92" s="1"/>
  <c r="I395" i="92"/>
  <c r="M395" i="92" s="1"/>
  <c r="L394" i="92"/>
  <c r="I394" i="92"/>
  <c r="L393" i="92"/>
  <c r="I393" i="92"/>
  <c r="L391" i="92"/>
  <c r="I391" i="92"/>
  <c r="L390" i="92"/>
  <c r="I390" i="92"/>
  <c r="L389" i="92"/>
  <c r="I389" i="92"/>
  <c r="L388" i="92"/>
  <c r="I388" i="92"/>
  <c r="K387" i="92"/>
  <c r="J387" i="92"/>
  <c r="G387" i="92"/>
  <c r="L383" i="92"/>
  <c r="I383" i="92"/>
  <c r="K382" i="92"/>
  <c r="K381" i="92" s="1"/>
  <c r="J382" i="92"/>
  <c r="J381" i="92" s="1"/>
  <c r="H382" i="92"/>
  <c r="H381" i="92" s="1"/>
  <c r="G382" i="92"/>
  <c r="I382" i="92" s="1"/>
  <c r="F382" i="92"/>
  <c r="F381" i="92" s="1"/>
  <c r="L380" i="92"/>
  <c r="I380" i="92"/>
  <c r="K379" i="92"/>
  <c r="L379" i="92" s="1"/>
  <c r="J379" i="92"/>
  <c r="J378" i="92" s="1"/>
  <c r="H379" i="92"/>
  <c r="H378" i="92" s="1"/>
  <c r="G379" i="92"/>
  <c r="F379" i="92"/>
  <c r="F378" i="92" s="1"/>
  <c r="G378" i="92"/>
  <c r="L374" i="92"/>
  <c r="M374" i="92" s="1"/>
  <c r="N374" i="92" s="1"/>
  <c r="I374" i="92"/>
  <c r="K373" i="92"/>
  <c r="K372" i="92" s="1"/>
  <c r="K371" i="92" s="1"/>
  <c r="K370" i="92" s="1"/>
  <c r="K369" i="92" s="1"/>
  <c r="J373" i="92"/>
  <c r="L373" i="92" s="1"/>
  <c r="I373" i="92"/>
  <c r="H373" i="92"/>
  <c r="G373" i="92"/>
  <c r="G372" i="92" s="1"/>
  <c r="F373" i="92"/>
  <c r="H372" i="92"/>
  <c r="H371" i="92" s="1"/>
  <c r="H370" i="92" s="1"/>
  <c r="H369" i="92" s="1"/>
  <c r="F372" i="92"/>
  <c r="F371" i="92" s="1"/>
  <c r="L368" i="92"/>
  <c r="I368" i="92"/>
  <c r="M368" i="92" s="1"/>
  <c r="N368" i="92" s="1"/>
  <c r="L367" i="92"/>
  <c r="I367" i="92"/>
  <c r="M367" i="92" s="1"/>
  <c r="N367" i="92" s="1"/>
  <c r="K366" i="92"/>
  <c r="J366" i="92"/>
  <c r="L366" i="92" s="1"/>
  <c r="H366" i="92"/>
  <c r="G366" i="92"/>
  <c r="I366" i="92" s="1"/>
  <c r="F366" i="92"/>
  <c r="L365" i="92"/>
  <c r="I365" i="92"/>
  <c r="M365" i="92" s="1"/>
  <c r="N365" i="92" s="1"/>
  <c r="K364" i="92"/>
  <c r="K363" i="92" s="1"/>
  <c r="J364" i="92"/>
  <c r="G364" i="92"/>
  <c r="G363" i="92" s="1"/>
  <c r="F364" i="92"/>
  <c r="F363" i="92"/>
  <c r="L362" i="92"/>
  <c r="I362" i="92"/>
  <c r="K361" i="92"/>
  <c r="K360" i="92" s="1"/>
  <c r="L360" i="92" s="1"/>
  <c r="J361" i="92"/>
  <c r="H361" i="92"/>
  <c r="G361" i="92"/>
  <c r="G360" i="92" s="1"/>
  <c r="I360" i="92" s="1"/>
  <c r="M360" i="92" s="1"/>
  <c r="F361" i="92"/>
  <c r="F360" i="92" s="1"/>
  <c r="N360" i="92" s="1"/>
  <c r="J360" i="92"/>
  <c r="H360" i="92"/>
  <c r="L356" i="92"/>
  <c r="I356" i="92"/>
  <c r="L355" i="92"/>
  <c r="K355" i="92"/>
  <c r="J355" i="92"/>
  <c r="J354" i="92" s="1"/>
  <c r="H355" i="92"/>
  <c r="H354" i="92" s="1"/>
  <c r="G355" i="92"/>
  <c r="G354" i="92" s="1"/>
  <c r="G353" i="92" s="1"/>
  <c r="F355" i="92"/>
  <c r="F354" i="92" s="1"/>
  <c r="K354" i="92"/>
  <c r="K353" i="92" s="1"/>
  <c r="K352" i="92" s="1"/>
  <c r="L348" i="92"/>
  <c r="M348" i="92" s="1"/>
  <c r="N348" i="92" s="1"/>
  <c r="K347" i="92"/>
  <c r="K346" i="92" s="1"/>
  <c r="K345" i="92" s="1"/>
  <c r="K344" i="92" s="1"/>
  <c r="K343" i="92" s="1"/>
  <c r="J347" i="92"/>
  <c r="L347" i="92" s="1"/>
  <c r="H347" i="92"/>
  <c r="H346" i="92" s="1"/>
  <c r="H345" i="92" s="1"/>
  <c r="H344" i="92" s="1"/>
  <c r="H343" i="92" s="1"/>
  <c r="G347" i="92"/>
  <c r="G346" i="92" s="1"/>
  <c r="F347" i="92"/>
  <c r="F346" i="92" s="1"/>
  <c r="F345" i="92" s="1"/>
  <c r="L342" i="92"/>
  <c r="I342" i="92"/>
  <c r="M342" i="92" s="1"/>
  <c r="N342" i="92" s="1"/>
  <c r="K341" i="92"/>
  <c r="J341" i="92"/>
  <c r="J340" i="92" s="1"/>
  <c r="H341" i="92"/>
  <c r="H340" i="92" s="1"/>
  <c r="H339" i="92" s="1"/>
  <c r="H338" i="92" s="1"/>
  <c r="H337" i="92" s="1"/>
  <c r="G341" i="92"/>
  <c r="F341" i="92"/>
  <c r="F340" i="92" s="1"/>
  <c r="K340" i="92"/>
  <c r="K339" i="92" s="1"/>
  <c r="K338" i="92" s="1"/>
  <c r="K337" i="92" s="1"/>
  <c r="G340" i="92"/>
  <c r="G339" i="92" s="1"/>
  <c r="L336" i="92"/>
  <c r="I336" i="92"/>
  <c r="K335" i="92"/>
  <c r="K334" i="92" s="1"/>
  <c r="J335" i="92"/>
  <c r="J334" i="92" s="1"/>
  <c r="J333" i="92" s="1"/>
  <c r="H335" i="92"/>
  <c r="H334" i="92" s="1"/>
  <c r="H333" i="92" s="1"/>
  <c r="H332" i="92" s="1"/>
  <c r="H331" i="92" s="1"/>
  <c r="G335" i="92"/>
  <c r="G334" i="92" s="1"/>
  <c r="F335" i="92"/>
  <c r="F334" i="92"/>
  <c r="F333" i="92" s="1"/>
  <c r="L330" i="92"/>
  <c r="M330" i="92" s="1"/>
  <c r="N330" i="92" s="1"/>
  <c r="I330" i="92"/>
  <c r="L329" i="92"/>
  <c r="M329" i="92" s="1"/>
  <c r="N329" i="92" s="1"/>
  <c r="L328" i="92"/>
  <c r="M328" i="92" s="1"/>
  <c r="N328" i="92" s="1"/>
  <c r="L327" i="92"/>
  <c r="M327" i="92" s="1"/>
  <c r="N327" i="92" s="1"/>
  <c r="L326" i="92"/>
  <c r="M326" i="92" s="1"/>
  <c r="N326" i="92" s="1"/>
  <c r="L325" i="92"/>
  <c r="M325" i="92" s="1"/>
  <c r="N325" i="92" s="1"/>
  <c r="L324" i="92"/>
  <c r="M324" i="92" s="1"/>
  <c r="N324" i="92" s="1"/>
  <c r="J322" i="92"/>
  <c r="H323" i="92"/>
  <c r="H322" i="92" s="1"/>
  <c r="G323" i="92"/>
  <c r="F323" i="92"/>
  <c r="F322" i="92" s="1"/>
  <c r="G322" i="92"/>
  <c r="I322" i="92" s="1"/>
  <c r="L321" i="92"/>
  <c r="M321" i="92" s="1"/>
  <c r="N321" i="92" s="1"/>
  <c r="K320" i="92"/>
  <c r="K319" i="92" s="1"/>
  <c r="J320" i="92"/>
  <c r="H320" i="92"/>
  <c r="G320" i="92"/>
  <c r="G319" i="92" s="1"/>
  <c r="I319" i="92" s="1"/>
  <c r="F320" i="92"/>
  <c r="F319" i="92" s="1"/>
  <c r="J319" i="92"/>
  <c r="H319" i="92"/>
  <c r="L318" i="92"/>
  <c r="M318" i="92" s="1"/>
  <c r="N318" i="92" s="1"/>
  <c r="L317" i="92"/>
  <c r="M317" i="92" s="1"/>
  <c r="N317" i="92" s="1"/>
  <c r="K316" i="92"/>
  <c r="K315" i="92" s="1"/>
  <c r="J316" i="92"/>
  <c r="H316" i="92"/>
  <c r="G316" i="92"/>
  <c r="G315" i="92" s="1"/>
  <c r="F316" i="92"/>
  <c r="F315" i="92" s="1"/>
  <c r="H315" i="92"/>
  <c r="K310" i="92"/>
  <c r="I311" i="92"/>
  <c r="J310" i="92"/>
  <c r="J309" i="92" s="1"/>
  <c r="H310" i="92"/>
  <c r="H309" i="92" s="1"/>
  <c r="I309" i="92" s="1"/>
  <c r="G310" i="92"/>
  <c r="F310" i="92"/>
  <c r="F309" i="92" s="1"/>
  <c r="G309" i="92"/>
  <c r="L308" i="92"/>
  <c r="I308" i="92"/>
  <c r="L307" i="92"/>
  <c r="I307" i="92"/>
  <c r="K306" i="92"/>
  <c r="K305" i="92" s="1"/>
  <c r="J306" i="92"/>
  <c r="J305" i="92" s="1"/>
  <c r="H306" i="92"/>
  <c r="H305" i="92" s="1"/>
  <c r="G306" i="92"/>
  <c r="I306" i="92" s="1"/>
  <c r="F306" i="92"/>
  <c r="F305" i="92" s="1"/>
  <c r="L304" i="92"/>
  <c r="M304" i="92" s="1"/>
  <c r="N304" i="92" s="1"/>
  <c r="K303" i="92"/>
  <c r="K302" i="92" s="1"/>
  <c r="J303" i="92"/>
  <c r="J302" i="92" s="1"/>
  <c r="H303" i="92"/>
  <c r="H302" i="92" s="1"/>
  <c r="G303" i="92"/>
  <c r="G302" i="92" s="1"/>
  <c r="F303" i="92"/>
  <c r="F302" i="92" s="1"/>
  <c r="L296" i="92"/>
  <c r="M296" i="92" s="1"/>
  <c r="N296" i="92" s="1"/>
  <c r="L295" i="92"/>
  <c r="I295" i="92"/>
  <c r="M294" i="92"/>
  <c r="N294" i="92" s="1"/>
  <c r="L294" i="92"/>
  <c r="I294" i="92"/>
  <c r="L293" i="92"/>
  <c r="I293" i="92"/>
  <c r="M293" i="92" s="1"/>
  <c r="N293" i="92" s="1"/>
  <c r="K292" i="92"/>
  <c r="K291" i="92" s="1"/>
  <c r="J292" i="92"/>
  <c r="H292" i="92"/>
  <c r="G292" i="92"/>
  <c r="G291" i="92" s="1"/>
  <c r="F292" i="92"/>
  <c r="J291" i="92"/>
  <c r="H291" i="92"/>
  <c r="F291" i="92"/>
  <c r="M290" i="92"/>
  <c r="N290" i="92" s="1"/>
  <c r="L290" i="92"/>
  <c r="L289" i="92"/>
  <c r="M289" i="92" s="1"/>
  <c r="N289" i="92" s="1"/>
  <c r="M288" i="92"/>
  <c r="N288" i="92" s="1"/>
  <c r="L288" i="92"/>
  <c r="L287" i="92"/>
  <c r="I287" i="92"/>
  <c r="L286" i="92"/>
  <c r="M286" i="92" s="1"/>
  <c r="N286" i="92" s="1"/>
  <c r="M285" i="92"/>
  <c r="N285" i="92" s="1"/>
  <c r="L285" i="92"/>
  <c r="N284" i="92"/>
  <c r="L284" i="92"/>
  <c r="M284" i="92" s="1"/>
  <c r="L283" i="92"/>
  <c r="I283" i="92"/>
  <c r="M283" i="92" s="1"/>
  <c r="N283" i="92" s="1"/>
  <c r="K282" i="92"/>
  <c r="K281" i="92" s="1"/>
  <c r="J282" i="92"/>
  <c r="H282" i="92"/>
  <c r="H281" i="92" s="1"/>
  <c r="G282" i="92"/>
  <c r="G281" i="92" s="1"/>
  <c r="G280" i="92" s="1"/>
  <c r="G279" i="92" s="1"/>
  <c r="F282" i="92"/>
  <c r="J281" i="92"/>
  <c r="L281" i="92" s="1"/>
  <c r="F281" i="92"/>
  <c r="F280" i="92" s="1"/>
  <c r="L277" i="92"/>
  <c r="I277" i="92"/>
  <c r="I276" i="92"/>
  <c r="M276" i="92" s="1"/>
  <c r="N276" i="92" s="1"/>
  <c r="I275" i="92"/>
  <c r="M275" i="92" s="1"/>
  <c r="N275" i="92" s="1"/>
  <c r="L274" i="92"/>
  <c r="K273" i="92"/>
  <c r="K272" i="92" s="1"/>
  <c r="J273" i="92"/>
  <c r="G273" i="92"/>
  <c r="G272" i="92" s="1"/>
  <c r="G271" i="92" s="1"/>
  <c r="F273" i="92"/>
  <c r="J272" i="92"/>
  <c r="J271" i="92" s="1"/>
  <c r="F272" i="92"/>
  <c r="F271" i="92" s="1"/>
  <c r="F270" i="92" s="1"/>
  <c r="F269" i="92" s="1"/>
  <c r="K271" i="92"/>
  <c r="K270" i="92" s="1"/>
  <c r="K269" i="92" s="1"/>
  <c r="L268" i="92"/>
  <c r="M268" i="92" s="1"/>
  <c r="N268" i="92" s="1"/>
  <c r="I268" i="92"/>
  <c r="L267" i="92"/>
  <c r="I267" i="92"/>
  <c r="L266" i="92"/>
  <c r="L265" i="92"/>
  <c r="M265" i="92" s="1"/>
  <c r="N265" i="92" s="1"/>
  <c r="I265" i="92"/>
  <c r="I264" i="92"/>
  <c r="K263" i="92"/>
  <c r="J263" i="92"/>
  <c r="J262" i="92" s="1"/>
  <c r="G263" i="92"/>
  <c r="G262" i="92" s="1"/>
  <c r="F263" i="92"/>
  <c r="F262" i="92" s="1"/>
  <c r="L261" i="92"/>
  <c r="I261" i="92"/>
  <c r="K260" i="92"/>
  <c r="K259" i="92" s="1"/>
  <c r="J260" i="92"/>
  <c r="J259" i="92" s="1"/>
  <c r="H260" i="92"/>
  <c r="H259" i="92" s="1"/>
  <c r="G260" i="92"/>
  <c r="F260" i="92"/>
  <c r="F259" i="92" s="1"/>
  <c r="I259" i="92"/>
  <c r="G259" i="92"/>
  <c r="L255" i="92"/>
  <c r="M255" i="92" s="1"/>
  <c r="N255" i="92" s="1"/>
  <c r="I255" i="92"/>
  <c r="L254" i="92"/>
  <c r="I254" i="92"/>
  <c r="M253" i="92"/>
  <c r="N253" i="92" s="1"/>
  <c r="L253" i="92"/>
  <c r="I253" i="92"/>
  <c r="K252" i="92"/>
  <c r="K251" i="92" s="1"/>
  <c r="J252" i="92"/>
  <c r="H252" i="92"/>
  <c r="H251" i="92" s="1"/>
  <c r="H250" i="92" s="1"/>
  <c r="H249" i="92" s="1"/>
  <c r="H248" i="92" s="1"/>
  <c r="G252" i="92"/>
  <c r="G251" i="92" s="1"/>
  <c r="F252" i="92"/>
  <c r="J251" i="92"/>
  <c r="J250" i="92" s="1"/>
  <c r="F251" i="92"/>
  <c r="F250" i="92" s="1"/>
  <c r="K250" i="92"/>
  <c r="K249" i="92" s="1"/>
  <c r="K248" i="92" s="1"/>
  <c r="F249" i="92"/>
  <c r="F248" i="92" s="1"/>
  <c r="I245" i="92"/>
  <c r="M245" i="92" s="1"/>
  <c r="N245" i="92" s="1"/>
  <c r="K244" i="92"/>
  <c r="K243" i="92" s="1"/>
  <c r="K242" i="92" s="1"/>
  <c r="K241" i="92" s="1"/>
  <c r="K240" i="92" s="1"/>
  <c r="K239" i="92" s="1"/>
  <c r="J244" i="92"/>
  <c r="J243" i="92" s="1"/>
  <c r="H244" i="92"/>
  <c r="G244" i="92"/>
  <c r="G243" i="92" s="1"/>
  <c r="G242" i="92" s="1"/>
  <c r="F244" i="92"/>
  <c r="F243" i="92" s="1"/>
  <c r="F242" i="92" s="1"/>
  <c r="F241" i="92" s="1"/>
  <c r="H243" i="92"/>
  <c r="L237" i="92"/>
  <c r="I237" i="92"/>
  <c r="L236" i="92"/>
  <c r="K236" i="92"/>
  <c r="J236" i="92"/>
  <c r="J235" i="92" s="1"/>
  <c r="J234" i="92" s="1"/>
  <c r="J232" i="92" s="1"/>
  <c r="J231" i="92" s="1"/>
  <c r="H236" i="92"/>
  <c r="H235" i="92" s="1"/>
  <c r="H234" i="92" s="1"/>
  <c r="H232" i="92" s="1"/>
  <c r="H231" i="92" s="1"/>
  <c r="G236" i="92"/>
  <c r="F236" i="92"/>
  <c r="F235" i="92" s="1"/>
  <c r="F234" i="92" s="1"/>
  <c r="K235" i="92"/>
  <c r="K234" i="92" s="1"/>
  <c r="K232" i="92" s="1"/>
  <c r="G235" i="92"/>
  <c r="I235" i="92" s="1"/>
  <c r="L233" i="92"/>
  <c r="M233" i="92" s="1"/>
  <c r="N233" i="92" s="1"/>
  <c r="I233" i="92"/>
  <c r="F232" i="92"/>
  <c r="F231" i="92" s="1"/>
  <c r="L230" i="92"/>
  <c r="I230" i="92"/>
  <c r="M230" i="92" s="1"/>
  <c r="N230" i="92" s="1"/>
  <c r="L229" i="92"/>
  <c r="I229" i="92"/>
  <c r="L228" i="92"/>
  <c r="I228" i="92"/>
  <c r="K227" i="92"/>
  <c r="J227" i="92"/>
  <c r="L227" i="92" s="1"/>
  <c r="H227" i="92"/>
  <c r="H226" i="92" s="1"/>
  <c r="G227" i="92"/>
  <c r="F227" i="92"/>
  <c r="K226" i="92"/>
  <c r="M225" i="92"/>
  <c r="N225" i="92" s="1"/>
  <c r="L225" i="92"/>
  <c r="I225" i="92"/>
  <c r="K224" i="92"/>
  <c r="K223" i="92" s="1"/>
  <c r="J224" i="92"/>
  <c r="L224" i="92" s="1"/>
  <c r="H224" i="92"/>
  <c r="I224" i="92" s="1"/>
  <c r="G224" i="92"/>
  <c r="G223" i="92" s="1"/>
  <c r="F224" i="92"/>
  <c r="F223" i="92"/>
  <c r="K222" i="92"/>
  <c r="K221" i="92" s="1"/>
  <c r="M220" i="92"/>
  <c r="N220" i="92" s="1"/>
  <c r="I220" i="92"/>
  <c r="L219" i="92"/>
  <c r="M219" i="92" s="1"/>
  <c r="N219" i="92" s="1"/>
  <c r="L218" i="92"/>
  <c r="I218" i="92"/>
  <c r="K217" i="92"/>
  <c r="K216" i="92" s="1"/>
  <c r="J217" i="92"/>
  <c r="J216" i="92" s="1"/>
  <c r="H217" i="92"/>
  <c r="G217" i="92"/>
  <c r="G216" i="92" s="1"/>
  <c r="F217" i="92"/>
  <c r="H216" i="92"/>
  <c r="L215" i="92"/>
  <c r="I215" i="92"/>
  <c r="M215" i="92" s="1"/>
  <c r="N215" i="92" s="1"/>
  <c r="L214" i="92"/>
  <c r="I214" i="92"/>
  <c r="K213" i="92"/>
  <c r="K212" i="92" s="1"/>
  <c r="J213" i="92"/>
  <c r="I213" i="92"/>
  <c r="H213" i="92"/>
  <c r="H212" i="92" s="1"/>
  <c r="G213" i="92"/>
  <c r="F213" i="92"/>
  <c r="F212" i="92" s="1"/>
  <c r="G212" i="92"/>
  <c r="L211" i="92"/>
  <c r="I211" i="92"/>
  <c r="K210" i="92"/>
  <c r="K209" i="92" s="1"/>
  <c r="J210" i="92"/>
  <c r="J209" i="92" s="1"/>
  <c r="H210" i="92"/>
  <c r="H209" i="92" s="1"/>
  <c r="G210" i="92"/>
  <c r="G209" i="92" s="1"/>
  <c r="F210" i="92"/>
  <c r="L205" i="92"/>
  <c r="I205" i="92"/>
  <c r="L204" i="92"/>
  <c r="K204" i="92"/>
  <c r="K203" i="92" s="1"/>
  <c r="K202" i="92" s="1"/>
  <c r="K201" i="92" s="1"/>
  <c r="K199" i="92" s="1"/>
  <c r="K198" i="92" s="1"/>
  <c r="J204" i="92"/>
  <c r="H204" i="92"/>
  <c r="H203" i="92" s="1"/>
  <c r="H202" i="92" s="1"/>
  <c r="H201" i="92" s="1"/>
  <c r="H199" i="92" s="1"/>
  <c r="H198" i="92" s="1"/>
  <c r="G204" i="92"/>
  <c r="G203" i="92" s="1"/>
  <c r="F204" i="92"/>
  <c r="F203" i="92" s="1"/>
  <c r="F202" i="92" s="1"/>
  <c r="F201" i="92" s="1"/>
  <c r="J203" i="92"/>
  <c r="L203" i="92" s="1"/>
  <c r="L200" i="92"/>
  <c r="I200" i="92"/>
  <c r="F199" i="92"/>
  <c r="F198" i="92" s="1"/>
  <c r="L197" i="92"/>
  <c r="I197" i="92"/>
  <c r="L196" i="92"/>
  <c r="I196" i="92"/>
  <c r="M196" i="92" s="1"/>
  <c r="N196" i="92" s="1"/>
  <c r="K195" i="92"/>
  <c r="K194" i="92" s="1"/>
  <c r="J195" i="92"/>
  <c r="J194" i="92" s="1"/>
  <c r="H195" i="92"/>
  <c r="G195" i="92"/>
  <c r="G194" i="92" s="1"/>
  <c r="I194" i="92" s="1"/>
  <c r="F195" i="92"/>
  <c r="F194" i="92" s="1"/>
  <c r="H194" i="92"/>
  <c r="L193" i="92"/>
  <c r="M193" i="92" s="1"/>
  <c r="N193" i="92" s="1"/>
  <c r="L192" i="92"/>
  <c r="M192" i="92" s="1"/>
  <c r="N192" i="92" s="1"/>
  <c r="L191" i="92"/>
  <c r="M191" i="92" s="1"/>
  <c r="N191" i="92" s="1"/>
  <c r="L190" i="92"/>
  <c r="M190" i="92" s="1"/>
  <c r="N190" i="92" s="1"/>
  <c r="L189" i="92"/>
  <c r="M189" i="92" s="1"/>
  <c r="N189" i="92" s="1"/>
  <c r="I189" i="92"/>
  <c r="K188" i="92"/>
  <c r="K187" i="92" s="1"/>
  <c r="J188" i="92"/>
  <c r="H188" i="92"/>
  <c r="H187" i="92" s="1"/>
  <c r="G188" i="92"/>
  <c r="G187" i="92" s="1"/>
  <c r="F188" i="92"/>
  <c r="J187" i="92"/>
  <c r="F187" i="92"/>
  <c r="L183" i="92"/>
  <c r="M183" i="92" s="1"/>
  <c r="N183" i="92" s="1"/>
  <c r="L182" i="92"/>
  <c r="I182" i="92"/>
  <c r="K181" i="92"/>
  <c r="K180" i="92" s="1"/>
  <c r="J181" i="92"/>
  <c r="J180" i="92" s="1"/>
  <c r="H181" i="92"/>
  <c r="H180" i="92" s="1"/>
  <c r="G181" i="92"/>
  <c r="G180" i="92" s="1"/>
  <c r="F181" i="92"/>
  <c r="L179" i="92"/>
  <c r="I179" i="92"/>
  <c r="M179" i="92" s="1"/>
  <c r="N179" i="92" s="1"/>
  <c r="M178" i="92"/>
  <c r="N178" i="92" s="1"/>
  <c r="L178" i="92"/>
  <c r="I178" i="92"/>
  <c r="K177" i="92"/>
  <c r="J177" i="92"/>
  <c r="H177" i="92"/>
  <c r="H176" i="92" s="1"/>
  <c r="G177" i="92"/>
  <c r="F177" i="92"/>
  <c r="K176" i="92"/>
  <c r="J176" i="92"/>
  <c r="G176" i="92"/>
  <c r="F176" i="92"/>
  <c r="M172" i="92"/>
  <c r="N172" i="92" s="1"/>
  <c r="L172" i="92"/>
  <c r="L171" i="92"/>
  <c r="I171" i="92"/>
  <c r="L170" i="92"/>
  <c r="I170" i="92"/>
  <c r="J169" i="92"/>
  <c r="J168" i="92" s="1"/>
  <c r="H169" i="92"/>
  <c r="G169" i="92"/>
  <c r="G168" i="92" s="1"/>
  <c r="F169" i="92"/>
  <c r="H168" i="92"/>
  <c r="H167" i="92" s="1"/>
  <c r="H166" i="92" s="1"/>
  <c r="H165" i="92" s="1"/>
  <c r="L164" i="92"/>
  <c r="M164" i="92" s="1"/>
  <c r="N164" i="92" s="1"/>
  <c r="I164" i="92"/>
  <c r="L163" i="92"/>
  <c r="I163" i="92"/>
  <c r="L162" i="92"/>
  <c r="K162" i="92"/>
  <c r="J162" i="92"/>
  <c r="H162" i="92"/>
  <c r="G162" i="92"/>
  <c r="F162" i="92"/>
  <c r="M161" i="92"/>
  <c r="N161" i="92" s="1"/>
  <c r="L161" i="92"/>
  <c r="I161" i="92"/>
  <c r="K160" i="92"/>
  <c r="J160" i="92"/>
  <c r="L160" i="92" s="1"/>
  <c r="H160" i="92"/>
  <c r="H159" i="92" s="1"/>
  <c r="G160" i="92"/>
  <c r="G156" i="92" s="1"/>
  <c r="F160" i="92"/>
  <c r="K159" i="92"/>
  <c r="J159" i="92"/>
  <c r="F159" i="92"/>
  <c r="L158" i="92"/>
  <c r="I158" i="92"/>
  <c r="K157" i="92"/>
  <c r="K156" i="92" s="1"/>
  <c r="J157" i="92"/>
  <c r="H157" i="92"/>
  <c r="G157" i="92"/>
  <c r="I157" i="92" s="1"/>
  <c r="F157" i="92"/>
  <c r="L155" i="92"/>
  <c r="I155" i="92"/>
  <c r="M155" i="92" s="1"/>
  <c r="N155" i="92" s="1"/>
  <c r="M154" i="92"/>
  <c r="N154" i="92" s="1"/>
  <c r="L154" i="92"/>
  <c r="I154" i="92"/>
  <c r="K153" i="92"/>
  <c r="J153" i="92"/>
  <c r="L153" i="92" s="1"/>
  <c r="I153" i="92"/>
  <c r="M153" i="92" s="1"/>
  <c r="H153" i="92"/>
  <c r="G153" i="92"/>
  <c r="G149" i="92" s="1"/>
  <c r="F153" i="92"/>
  <c r="L152" i="92"/>
  <c r="I152" i="92"/>
  <c r="M152" i="92" s="1"/>
  <c r="N152" i="92" s="1"/>
  <c r="L151" i="92"/>
  <c r="I151" i="92"/>
  <c r="K150" i="92"/>
  <c r="K149" i="92" s="1"/>
  <c r="K148" i="92" s="1"/>
  <c r="K147" i="92" s="1"/>
  <c r="J150" i="92"/>
  <c r="H150" i="92"/>
  <c r="G150" i="92"/>
  <c r="I150" i="92" s="1"/>
  <c r="F150" i="92"/>
  <c r="H149" i="92"/>
  <c r="L146" i="92"/>
  <c r="I146" i="92"/>
  <c r="M146" i="92" s="1"/>
  <c r="N146" i="92" s="1"/>
  <c r="L145" i="92"/>
  <c r="I145" i="92"/>
  <c r="M145" i="92" s="1"/>
  <c r="N145" i="92" s="1"/>
  <c r="L144" i="92"/>
  <c r="I144" i="92"/>
  <c r="M144" i="92" s="1"/>
  <c r="N144" i="92" s="1"/>
  <c r="K143" i="92"/>
  <c r="K142" i="92" s="1"/>
  <c r="K141" i="92" s="1"/>
  <c r="K140" i="92" s="1"/>
  <c r="K139" i="92" s="1"/>
  <c r="J143" i="92"/>
  <c r="H143" i="92"/>
  <c r="G143" i="92"/>
  <c r="I143" i="92" s="1"/>
  <c r="F143" i="92"/>
  <c r="F142" i="92" s="1"/>
  <c r="H142" i="92"/>
  <c r="H141" i="92" s="1"/>
  <c r="H140" i="92" s="1"/>
  <c r="L136" i="92"/>
  <c r="I136" i="92"/>
  <c r="M136" i="92" s="1"/>
  <c r="N136" i="92" s="1"/>
  <c r="L135" i="92"/>
  <c r="I135" i="92"/>
  <c r="L134" i="92"/>
  <c r="M134" i="92" s="1"/>
  <c r="N134" i="92" s="1"/>
  <c r="I134" i="92"/>
  <c r="M133" i="92"/>
  <c r="N133" i="92" s="1"/>
  <c r="L133" i="92"/>
  <c r="I133" i="92"/>
  <c r="K132" i="92"/>
  <c r="K131" i="92" s="1"/>
  <c r="J132" i="92"/>
  <c r="I132" i="92"/>
  <c r="H132" i="92"/>
  <c r="H131" i="92" s="1"/>
  <c r="G132" i="92"/>
  <c r="G131" i="92" s="1"/>
  <c r="I131" i="92" s="1"/>
  <c r="M131" i="92" s="1"/>
  <c r="F132" i="92"/>
  <c r="F131" i="92" s="1"/>
  <c r="J131" i="92"/>
  <c r="L131" i="92" s="1"/>
  <c r="L130" i="92"/>
  <c r="I130" i="92"/>
  <c r="M130" i="92" s="1"/>
  <c r="N130" i="92" s="1"/>
  <c r="L129" i="92"/>
  <c r="I129" i="92"/>
  <c r="N128" i="92"/>
  <c r="L128" i="92"/>
  <c r="I128" i="92"/>
  <c r="M128" i="92" s="1"/>
  <c r="K127" i="92"/>
  <c r="K126" i="92" s="1"/>
  <c r="J127" i="92"/>
  <c r="H127" i="92"/>
  <c r="G127" i="92"/>
  <c r="I127" i="92" s="1"/>
  <c r="F127" i="92"/>
  <c r="F126" i="92" s="1"/>
  <c r="H126" i="92"/>
  <c r="G126" i="92"/>
  <c r="H125" i="92"/>
  <c r="H124" i="92" s="1"/>
  <c r="H123" i="92" s="1"/>
  <c r="H122" i="92" s="1"/>
  <c r="L120" i="92"/>
  <c r="M120" i="92" s="1"/>
  <c r="N120" i="92" s="1"/>
  <c r="I120" i="92"/>
  <c r="L119" i="92"/>
  <c r="I119" i="92"/>
  <c r="M119" i="92" s="1"/>
  <c r="N119" i="92" s="1"/>
  <c r="L118" i="92"/>
  <c r="I118" i="92"/>
  <c r="M118" i="92" s="1"/>
  <c r="N118" i="92" s="1"/>
  <c r="K117" i="92"/>
  <c r="K116" i="92" s="1"/>
  <c r="K115" i="92" s="1"/>
  <c r="K114" i="92" s="1"/>
  <c r="J117" i="92"/>
  <c r="L117" i="92" s="1"/>
  <c r="H117" i="92"/>
  <c r="H116" i="92" s="1"/>
  <c r="H115" i="92" s="1"/>
  <c r="H114" i="92" s="1"/>
  <c r="H113" i="92" s="1"/>
  <c r="G117" i="92"/>
  <c r="G116" i="92" s="1"/>
  <c r="F117" i="92"/>
  <c r="F116" i="92"/>
  <c r="F115" i="92" s="1"/>
  <c r="F114" i="92" s="1"/>
  <c r="G115" i="92"/>
  <c r="I115" i="92" s="1"/>
  <c r="G114" i="92"/>
  <c r="L112" i="92"/>
  <c r="I112" i="92"/>
  <c r="L111" i="92"/>
  <c r="I111" i="92"/>
  <c r="M111" i="92" s="1"/>
  <c r="N111" i="92" s="1"/>
  <c r="L110" i="92"/>
  <c r="I110" i="92"/>
  <c r="M110" i="92" s="1"/>
  <c r="N110" i="92" s="1"/>
  <c r="L109" i="92"/>
  <c r="I109" i="92"/>
  <c r="M109" i="92" s="1"/>
  <c r="N109" i="92" s="1"/>
  <c r="L108" i="92"/>
  <c r="I108" i="92"/>
  <c r="L107" i="92"/>
  <c r="I107" i="92"/>
  <c r="L106" i="92"/>
  <c r="I106" i="92"/>
  <c r="M106" i="92" s="1"/>
  <c r="N106" i="92" s="1"/>
  <c r="L105" i="92"/>
  <c r="I105" i="92"/>
  <c r="L104" i="92"/>
  <c r="I104" i="92"/>
  <c r="L103" i="92"/>
  <c r="I103" i="92"/>
  <c r="M103" i="92" s="1"/>
  <c r="N103" i="92" s="1"/>
  <c r="K102" i="92"/>
  <c r="K101" i="92" s="1"/>
  <c r="K95" i="92" s="1"/>
  <c r="L95" i="92" s="1"/>
  <c r="J102" i="92"/>
  <c r="H102" i="92"/>
  <c r="H101" i="92" s="1"/>
  <c r="I101" i="92" s="1"/>
  <c r="G102" i="92"/>
  <c r="F102" i="92"/>
  <c r="J101" i="92"/>
  <c r="G101" i="92"/>
  <c r="L100" i="92"/>
  <c r="I100" i="92"/>
  <c r="H99" i="92"/>
  <c r="G99" i="92"/>
  <c r="F99" i="92"/>
  <c r="L98" i="92"/>
  <c r="I98" i="92"/>
  <c r="M98" i="92" s="1"/>
  <c r="N98" i="92" s="1"/>
  <c r="L97" i="92"/>
  <c r="I97" i="92"/>
  <c r="L96" i="92"/>
  <c r="I96" i="92"/>
  <c r="J95" i="92"/>
  <c r="H95" i="92"/>
  <c r="G95" i="92"/>
  <c r="F95" i="92"/>
  <c r="L94" i="92"/>
  <c r="I94" i="92"/>
  <c r="M93" i="92"/>
  <c r="N93" i="92" s="1"/>
  <c r="L93" i="92"/>
  <c r="I93" i="92"/>
  <c r="L92" i="92"/>
  <c r="I92" i="92"/>
  <c r="L91" i="92"/>
  <c r="I91" i="92"/>
  <c r="M91" i="92" s="1"/>
  <c r="N91" i="92" s="1"/>
  <c r="L90" i="92"/>
  <c r="I90" i="92"/>
  <c r="M90" i="92" s="1"/>
  <c r="N90" i="92" s="1"/>
  <c r="L89" i="92"/>
  <c r="I89" i="92"/>
  <c r="M89" i="92" s="1"/>
  <c r="N89" i="92" s="1"/>
  <c r="L88" i="92"/>
  <c r="I88" i="92"/>
  <c r="L87" i="92"/>
  <c r="I87" i="92"/>
  <c r="M87" i="92" s="1"/>
  <c r="N87" i="92" s="1"/>
  <c r="L86" i="92"/>
  <c r="I86" i="92"/>
  <c r="M86" i="92" s="1"/>
  <c r="N86" i="92" s="1"/>
  <c r="L85" i="92"/>
  <c r="I85" i="92"/>
  <c r="M85" i="92" s="1"/>
  <c r="N85" i="92" s="1"/>
  <c r="K84" i="92"/>
  <c r="L84" i="92" s="1"/>
  <c r="H84" i="92"/>
  <c r="G84" i="92"/>
  <c r="F84" i="92"/>
  <c r="K83" i="92"/>
  <c r="L83" i="92" s="1"/>
  <c r="I82" i="92"/>
  <c r="M82" i="92" s="1"/>
  <c r="N82" i="92" s="1"/>
  <c r="K81" i="92"/>
  <c r="L81" i="92" s="1"/>
  <c r="H81" i="92"/>
  <c r="G81" i="92"/>
  <c r="F81" i="92"/>
  <c r="I80" i="92"/>
  <c r="M80" i="92" s="1"/>
  <c r="N80" i="92" s="1"/>
  <c r="K79" i="92"/>
  <c r="L79" i="92" s="1"/>
  <c r="H79" i="92"/>
  <c r="G79" i="92"/>
  <c r="F79" i="92"/>
  <c r="L78" i="92"/>
  <c r="I78" i="92"/>
  <c r="M78" i="92" s="1"/>
  <c r="N78" i="92" s="1"/>
  <c r="K77" i="92"/>
  <c r="L77" i="92" s="1"/>
  <c r="H77" i="92"/>
  <c r="G77" i="92"/>
  <c r="I77" i="92" s="1"/>
  <c r="M77" i="92" s="1"/>
  <c r="F77" i="92"/>
  <c r="M75" i="92"/>
  <c r="N75" i="92" s="1"/>
  <c r="L75" i="92"/>
  <c r="I75" i="92"/>
  <c r="K74" i="92"/>
  <c r="L74" i="92" s="1"/>
  <c r="I74" i="92"/>
  <c r="H74" i="92"/>
  <c r="G74" i="92"/>
  <c r="F74" i="92"/>
  <c r="L73" i="92"/>
  <c r="I73" i="92"/>
  <c r="M73" i="92" s="1"/>
  <c r="N73" i="92" s="1"/>
  <c r="K72" i="92"/>
  <c r="L72" i="92" s="1"/>
  <c r="H72" i="92"/>
  <c r="G72" i="92"/>
  <c r="F72" i="92"/>
  <c r="L71" i="92"/>
  <c r="I71" i="92"/>
  <c r="M71" i="92" s="1"/>
  <c r="N71" i="92" s="1"/>
  <c r="K70" i="92"/>
  <c r="L70" i="92" s="1"/>
  <c r="H70" i="92"/>
  <c r="G70" i="92"/>
  <c r="F70" i="92"/>
  <c r="L69" i="92"/>
  <c r="I69" i="92"/>
  <c r="M69" i="92" s="1"/>
  <c r="N69" i="92" s="1"/>
  <c r="K68" i="92"/>
  <c r="L68" i="92" s="1"/>
  <c r="H68" i="92"/>
  <c r="G68" i="92"/>
  <c r="F68" i="92"/>
  <c r="L67" i="92"/>
  <c r="I67" i="92"/>
  <c r="M67" i="92" s="1"/>
  <c r="N67" i="92" s="1"/>
  <c r="K66" i="92"/>
  <c r="L66" i="92" s="1"/>
  <c r="H66" i="92"/>
  <c r="G66" i="92"/>
  <c r="F66" i="92"/>
  <c r="L65" i="92"/>
  <c r="I65" i="92"/>
  <c r="M65" i="92" s="1"/>
  <c r="N65" i="92" s="1"/>
  <c r="K64" i="92"/>
  <c r="L64" i="92" s="1"/>
  <c r="H64" i="92"/>
  <c r="G64" i="92"/>
  <c r="F64" i="92"/>
  <c r="L63" i="92"/>
  <c r="I63" i="92"/>
  <c r="M63" i="92" s="1"/>
  <c r="N63" i="92" s="1"/>
  <c r="K62" i="92"/>
  <c r="L62" i="92" s="1"/>
  <c r="H62" i="92"/>
  <c r="G62" i="92"/>
  <c r="F62" i="92"/>
  <c r="L61" i="92"/>
  <c r="I61" i="92"/>
  <c r="M61" i="92" s="1"/>
  <c r="N61" i="92" s="1"/>
  <c r="K60" i="92"/>
  <c r="L60" i="92" s="1"/>
  <c r="H60" i="92"/>
  <c r="G60" i="92"/>
  <c r="F60" i="92"/>
  <c r="L59" i="92"/>
  <c r="I59" i="92"/>
  <c r="M59" i="92" s="1"/>
  <c r="N59" i="92" s="1"/>
  <c r="K58" i="92"/>
  <c r="L58" i="92" s="1"/>
  <c r="H58" i="92"/>
  <c r="G58" i="92"/>
  <c r="F58" i="92"/>
  <c r="L57" i="92"/>
  <c r="I57" i="92"/>
  <c r="M57" i="92" s="1"/>
  <c r="N57" i="92" s="1"/>
  <c r="K56" i="92"/>
  <c r="L56" i="92" s="1"/>
  <c r="H56" i="92"/>
  <c r="G56" i="92"/>
  <c r="F56" i="92"/>
  <c r="L55" i="92"/>
  <c r="I55" i="92"/>
  <c r="M55" i="92" s="1"/>
  <c r="N55" i="92" s="1"/>
  <c r="K54" i="92"/>
  <c r="L54" i="92" s="1"/>
  <c r="H54" i="92"/>
  <c r="G54" i="92"/>
  <c r="F54" i="92"/>
  <c r="L53" i="92"/>
  <c r="I53" i="92"/>
  <c r="M53" i="92" s="1"/>
  <c r="N53" i="92" s="1"/>
  <c r="K52" i="92"/>
  <c r="L52" i="92" s="1"/>
  <c r="H52" i="92"/>
  <c r="G52" i="92"/>
  <c r="F52" i="92"/>
  <c r="F51" i="92"/>
  <c r="J48" i="92"/>
  <c r="L45" i="92"/>
  <c r="I45" i="92"/>
  <c r="L44" i="92"/>
  <c r="I44" i="92"/>
  <c r="K42" i="92"/>
  <c r="J43" i="92"/>
  <c r="H43" i="92"/>
  <c r="H42" i="92" s="1"/>
  <c r="G43" i="92"/>
  <c r="I43" i="92" s="1"/>
  <c r="F43" i="92"/>
  <c r="G42" i="92"/>
  <c r="I42" i="92" s="1"/>
  <c r="F42" i="92"/>
  <c r="L41" i="92"/>
  <c r="I41" i="92"/>
  <c r="M41" i="92" s="1"/>
  <c r="N41" i="92" s="1"/>
  <c r="L40" i="92"/>
  <c r="M40" i="92" s="1"/>
  <c r="N40" i="92" s="1"/>
  <c r="L39" i="92"/>
  <c r="M39" i="92" s="1"/>
  <c r="N39" i="92" s="1"/>
  <c r="L38" i="92"/>
  <c r="M38" i="92" s="1"/>
  <c r="N38" i="92" s="1"/>
  <c r="L37" i="92"/>
  <c r="M37" i="92" s="1"/>
  <c r="N37" i="92" s="1"/>
  <c r="I37" i="92"/>
  <c r="K36" i="92"/>
  <c r="K35" i="92" s="1"/>
  <c r="J36" i="92"/>
  <c r="J35" i="92" s="1"/>
  <c r="H36" i="92"/>
  <c r="H35" i="92" s="1"/>
  <c r="G36" i="92"/>
  <c r="G35" i="92" s="1"/>
  <c r="F36" i="92"/>
  <c r="F35" i="92" s="1"/>
  <c r="F34" i="92" s="1"/>
  <c r="F33" i="92" s="1"/>
  <c r="L31" i="92"/>
  <c r="I31" i="92"/>
  <c r="K30" i="92"/>
  <c r="K29" i="92" s="1"/>
  <c r="J30" i="92"/>
  <c r="J29" i="92" s="1"/>
  <c r="I30" i="92"/>
  <c r="H30" i="92"/>
  <c r="H29" i="92" s="1"/>
  <c r="G30" i="92"/>
  <c r="G29" i="92" s="1"/>
  <c r="F30" i="92"/>
  <c r="L28" i="92"/>
  <c r="M28" i="92" s="1"/>
  <c r="N28" i="92" s="1"/>
  <c r="L27" i="92"/>
  <c r="M27" i="92" s="1"/>
  <c r="N27" i="92" s="1"/>
  <c r="P26" i="92"/>
  <c r="L26" i="92"/>
  <c r="I26" i="92"/>
  <c r="M26" i="92" s="1"/>
  <c r="N26" i="92" s="1"/>
  <c r="L25" i="92"/>
  <c r="I25" i="92"/>
  <c r="M25" i="92" s="1"/>
  <c r="N25" i="92" s="1"/>
  <c r="L24" i="92"/>
  <c r="I24" i="92"/>
  <c r="M24" i="92" s="1"/>
  <c r="N24" i="92" s="1"/>
  <c r="K23" i="92"/>
  <c r="K22" i="92" s="1"/>
  <c r="J23" i="92"/>
  <c r="L23" i="92" s="1"/>
  <c r="H23" i="92"/>
  <c r="G23" i="92"/>
  <c r="I23" i="92" s="1"/>
  <c r="F23" i="92"/>
  <c r="H22" i="92"/>
  <c r="T19" i="92"/>
  <c r="S19" i="92"/>
  <c r="U17" i="92"/>
  <c r="M224" i="92" l="1"/>
  <c r="I81" i="92"/>
  <c r="M45" i="92"/>
  <c r="N45" i="92" s="1"/>
  <c r="I60" i="92"/>
  <c r="M60" i="92" s="1"/>
  <c r="N60" i="92" s="1"/>
  <c r="N77" i="92"/>
  <c r="F83" i="92"/>
  <c r="M94" i="92"/>
  <c r="N94" i="92" s="1"/>
  <c r="L102" i="92"/>
  <c r="M105" i="92"/>
  <c r="N105" i="92" s="1"/>
  <c r="M108" i="92"/>
  <c r="N108" i="92" s="1"/>
  <c r="M112" i="92"/>
  <c r="N112" i="92" s="1"/>
  <c r="I117" i="92"/>
  <c r="M129" i="92"/>
  <c r="N129" i="92" s="1"/>
  <c r="M151" i="92"/>
  <c r="N151" i="92" s="1"/>
  <c r="H156" i="92"/>
  <c r="I156" i="92" s="1"/>
  <c r="M158" i="92"/>
  <c r="N158" i="92" s="1"/>
  <c r="I227" i="92"/>
  <c r="M227" i="92" s="1"/>
  <c r="M229" i="92"/>
  <c r="N229" i="92" s="1"/>
  <c r="I243" i="92"/>
  <c r="L282" i="92"/>
  <c r="G305" i="92"/>
  <c r="I305" i="92" s="1"/>
  <c r="M305" i="92" s="1"/>
  <c r="N305" i="92" s="1"/>
  <c r="H314" i="92"/>
  <c r="H313" i="92" s="1"/>
  <c r="H312" i="92" s="1"/>
  <c r="M362" i="92"/>
  <c r="N362" i="92" s="1"/>
  <c r="L364" i="92"/>
  <c r="M383" i="92"/>
  <c r="N383" i="92" s="1"/>
  <c r="K280" i="92"/>
  <c r="K279" i="92" s="1"/>
  <c r="K278" i="92" s="1"/>
  <c r="G377" i="92"/>
  <c r="I377" i="92" s="1"/>
  <c r="L132" i="92"/>
  <c r="M132" i="92" s="1"/>
  <c r="N132" i="92" s="1"/>
  <c r="I177" i="92"/>
  <c r="L188" i="92"/>
  <c r="H223" i="92"/>
  <c r="H222" i="92" s="1"/>
  <c r="F258" i="92"/>
  <c r="M267" i="92"/>
  <c r="N267" i="92" s="1"/>
  <c r="I347" i="92"/>
  <c r="M347" i="92" s="1"/>
  <c r="N347" i="92" s="1"/>
  <c r="K378" i="92"/>
  <c r="K377" i="92" s="1"/>
  <c r="K376" i="92" s="1"/>
  <c r="K375" i="92" s="1"/>
  <c r="J116" i="92"/>
  <c r="M23" i="92"/>
  <c r="M31" i="92"/>
  <c r="N31" i="92" s="1"/>
  <c r="H34" i="92"/>
  <c r="H33" i="92" s="1"/>
  <c r="H32" i="92" s="1"/>
  <c r="K51" i="92"/>
  <c r="L51" i="92" s="1"/>
  <c r="I79" i="92"/>
  <c r="M135" i="92"/>
  <c r="N135" i="92" s="1"/>
  <c r="G159" i="92"/>
  <c r="M163" i="92"/>
  <c r="N163" i="92" s="1"/>
  <c r="L176" i="92"/>
  <c r="L177" i="92"/>
  <c r="K175" i="92"/>
  <c r="K174" i="92" s="1"/>
  <c r="K173" i="92" s="1"/>
  <c r="M200" i="92"/>
  <c r="N200" i="92" s="1"/>
  <c r="M205" i="92"/>
  <c r="N205" i="92" s="1"/>
  <c r="M214" i="92"/>
  <c r="N214" i="92" s="1"/>
  <c r="I216" i="92"/>
  <c r="J223" i="92"/>
  <c r="L223" i="92" s="1"/>
  <c r="J226" i="92"/>
  <c r="M237" i="92"/>
  <c r="N237" i="92" s="1"/>
  <c r="I260" i="92"/>
  <c r="M295" i="92"/>
  <c r="N295" i="92" s="1"/>
  <c r="I323" i="92"/>
  <c r="I341" i="92"/>
  <c r="M356" i="92"/>
  <c r="N356" i="92" s="1"/>
  <c r="J363" i="92"/>
  <c r="J359" i="92" s="1"/>
  <c r="J372" i="92"/>
  <c r="J371" i="92" s="1"/>
  <c r="L101" i="92"/>
  <c r="M92" i="92"/>
  <c r="N92" i="92" s="1"/>
  <c r="M44" i="92"/>
  <c r="N44" i="92" s="1"/>
  <c r="M104" i="92"/>
  <c r="N104" i="92" s="1"/>
  <c r="M107" i="92"/>
  <c r="N107" i="92" s="1"/>
  <c r="I116" i="92"/>
  <c r="L159" i="92"/>
  <c r="I162" i="92"/>
  <c r="M162" i="92" s="1"/>
  <c r="N162" i="92" s="1"/>
  <c r="I195" i="92"/>
  <c r="M211" i="92"/>
  <c r="N211" i="92" s="1"/>
  <c r="M228" i="92"/>
  <c r="N228" i="92" s="1"/>
  <c r="L243" i="92"/>
  <c r="M277" i="92"/>
  <c r="N277" i="92" s="1"/>
  <c r="I291" i="92"/>
  <c r="M291" i="92" s="1"/>
  <c r="N291" i="92" s="1"/>
  <c r="I316" i="92"/>
  <c r="M316" i="92" s="1"/>
  <c r="N316" i="92" s="1"/>
  <c r="M336" i="92"/>
  <c r="N336" i="92" s="1"/>
  <c r="M380" i="92"/>
  <c r="N380" i="92" s="1"/>
  <c r="L381" i="92"/>
  <c r="G76" i="92"/>
  <c r="M74" i="92"/>
  <c r="M101" i="92"/>
  <c r="H186" i="92"/>
  <c r="H185" i="92" s="1"/>
  <c r="H184" i="92" s="1"/>
  <c r="J202" i="92"/>
  <c r="J201" i="92" s="1"/>
  <c r="H280" i="92"/>
  <c r="H279" i="92" s="1"/>
  <c r="H278" i="92" s="1"/>
  <c r="J314" i="92"/>
  <c r="J313" i="92" s="1"/>
  <c r="M366" i="92"/>
  <c r="N366" i="92" s="1"/>
  <c r="G381" i="92"/>
  <c r="I381" i="92" s="1"/>
  <c r="M407" i="92"/>
  <c r="I406" i="92"/>
  <c r="H148" i="92"/>
  <c r="H147" i="92" s="1"/>
  <c r="H139" i="92" s="1"/>
  <c r="I160" i="92"/>
  <c r="M160" i="92" s="1"/>
  <c r="N160" i="92" s="1"/>
  <c r="I102" i="92"/>
  <c r="M102" i="92" s="1"/>
  <c r="N102" i="92" s="1"/>
  <c r="M88" i="92"/>
  <c r="N88" i="92" s="1"/>
  <c r="I84" i="92"/>
  <c r="M84" i="92" s="1"/>
  <c r="H83" i="92"/>
  <c r="I99" i="92"/>
  <c r="I95" i="92"/>
  <c r="H76" i="92"/>
  <c r="I76" i="92" s="1"/>
  <c r="N79" i="92"/>
  <c r="M79" i="92"/>
  <c r="L316" i="92"/>
  <c r="M264" i="92"/>
  <c r="N264" i="92" s="1"/>
  <c r="L116" i="92"/>
  <c r="M116" i="92" s="1"/>
  <c r="N116" i="92" s="1"/>
  <c r="M117" i="92"/>
  <c r="N117" i="92" s="1"/>
  <c r="L303" i="92"/>
  <c r="M410" i="92"/>
  <c r="L406" i="92"/>
  <c r="M408" i="92"/>
  <c r="M412" i="92"/>
  <c r="M409" i="92"/>
  <c r="M393" i="92"/>
  <c r="L387" i="92"/>
  <c r="M389" i="92"/>
  <c r="M394" i="92"/>
  <c r="M391" i="92"/>
  <c r="J346" i="92"/>
  <c r="J345" i="92" s="1"/>
  <c r="L345" i="92" s="1"/>
  <c r="L319" i="92"/>
  <c r="M319" i="92" s="1"/>
  <c r="N319" i="92" s="1"/>
  <c r="J315" i="92"/>
  <c r="M307" i="92"/>
  <c r="N307" i="92" s="1"/>
  <c r="L305" i="92"/>
  <c r="M308" i="92"/>
  <c r="N308" i="92" s="1"/>
  <c r="L291" i="92"/>
  <c r="I282" i="92"/>
  <c r="M282" i="92" s="1"/>
  <c r="M287" i="92"/>
  <c r="N287" i="92" s="1"/>
  <c r="L260" i="92"/>
  <c r="M260" i="92" s="1"/>
  <c r="N260" i="92" s="1"/>
  <c r="J258" i="92"/>
  <c r="J257" i="92" s="1"/>
  <c r="I251" i="92"/>
  <c r="M254" i="92"/>
  <c r="N254" i="92" s="1"/>
  <c r="M218" i="92"/>
  <c r="N218" i="92" s="1"/>
  <c r="K208" i="92"/>
  <c r="K207" i="92" s="1"/>
  <c r="K206" i="92" s="1"/>
  <c r="L213" i="92"/>
  <c r="M213" i="92" s="1"/>
  <c r="N213" i="92" s="1"/>
  <c r="J212" i="92"/>
  <c r="L212" i="92" s="1"/>
  <c r="K186" i="92"/>
  <c r="K185" i="92" s="1"/>
  <c r="K184" i="92" s="1"/>
  <c r="M197" i="92"/>
  <c r="N197" i="92" s="1"/>
  <c r="M182" i="92"/>
  <c r="N182" i="92" s="1"/>
  <c r="H175" i="92"/>
  <c r="H174" i="92" s="1"/>
  <c r="H173" i="92" s="1"/>
  <c r="M170" i="92"/>
  <c r="N170" i="92" s="1"/>
  <c r="I72" i="92"/>
  <c r="M72" i="92" s="1"/>
  <c r="N72" i="92" s="1"/>
  <c r="I70" i="92"/>
  <c r="M70" i="92" s="1"/>
  <c r="N70" i="92" s="1"/>
  <c r="I68" i="92"/>
  <c r="M68" i="92" s="1"/>
  <c r="N68" i="92" s="1"/>
  <c r="I66" i="92"/>
  <c r="M66" i="92" s="1"/>
  <c r="N66" i="92" s="1"/>
  <c r="I64" i="92"/>
  <c r="M64" i="92" s="1"/>
  <c r="N64" i="92" s="1"/>
  <c r="G51" i="92"/>
  <c r="I62" i="92"/>
  <c r="M62" i="92" s="1"/>
  <c r="N62" i="92" s="1"/>
  <c r="I58" i="92"/>
  <c r="M58" i="92" s="1"/>
  <c r="N58" i="92" s="1"/>
  <c r="I56" i="92"/>
  <c r="M56" i="92" s="1"/>
  <c r="N56" i="92" s="1"/>
  <c r="I54" i="92"/>
  <c r="M54" i="92" s="1"/>
  <c r="N54" i="92" s="1"/>
  <c r="I52" i="92"/>
  <c r="M52" i="92" s="1"/>
  <c r="N52" i="92" s="1"/>
  <c r="K34" i="92"/>
  <c r="K33" i="92" s="1"/>
  <c r="K32" i="92" s="1"/>
  <c r="L43" i="92"/>
  <c r="M43" i="92" s="1"/>
  <c r="N43" i="92" s="1"/>
  <c r="J42" i="92"/>
  <c r="L42" i="92" s="1"/>
  <c r="M42" i="92" s="1"/>
  <c r="N42" i="92" s="1"/>
  <c r="L36" i="92"/>
  <c r="K21" i="92"/>
  <c r="K20" i="92" s="1"/>
  <c r="K19" i="92" s="1"/>
  <c r="K18" i="92" s="1"/>
  <c r="L29" i="92"/>
  <c r="F32" i="92"/>
  <c r="N23" i="92"/>
  <c r="I29" i="92"/>
  <c r="H21" i="92"/>
  <c r="H20" i="92" s="1"/>
  <c r="H19" i="92" s="1"/>
  <c r="H18" i="92" s="1"/>
  <c r="L35" i="92"/>
  <c r="K113" i="92"/>
  <c r="K99" i="92" s="1"/>
  <c r="L99" i="92" s="1"/>
  <c r="K47" i="92"/>
  <c r="I35" i="92"/>
  <c r="G34" i="92"/>
  <c r="N74" i="92"/>
  <c r="J142" i="92"/>
  <c r="L143" i="92"/>
  <c r="I168" i="92"/>
  <c r="G167" i="92"/>
  <c r="J175" i="92"/>
  <c r="L180" i="92"/>
  <c r="L209" i="92"/>
  <c r="K231" i="92"/>
  <c r="L231" i="92" s="1"/>
  <c r="L232" i="92"/>
  <c r="G270" i="92"/>
  <c r="F29" i="92"/>
  <c r="G22" i="92"/>
  <c r="L30" i="92"/>
  <c r="M30" i="92" s="1"/>
  <c r="N30" i="92" s="1"/>
  <c r="F22" i="92"/>
  <c r="J22" i="92"/>
  <c r="H51" i="92"/>
  <c r="K76" i="92"/>
  <c r="M97" i="92"/>
  <c r="N97" i="92" s="1"/>
  <c r="F101" i="92"/>
  <c r="J115" i="92"/>
  <c r="K125" i="92"/>
  <c r="K124" i="92" s="1"/>
  <c r="K123" i="92" s="1"/>
  <c r="K122" i="92" s="1"/>
  <c r="L150" i="92"/>
  <c r="M150" i="92" s="1"/>
  <c r="N150" i="92" s="1"/>
  <c r="I159" i="92"/>
  <c r="M159" i="92" s="1"/>
  <c r="N159" i="92" s="1"/>
  <c r="L187" i="92"/>
  <c r="H208" i="92"/>
  <c r="H207" i="92" s="1"/>
  <c r="L216" i="92"/>
  <c r="M216" i="92" s="1"/>
  <c r="N227" i="92"/>
  <c r="G125" i="92"/>
  <c r="I126" i="92"/>
  <c r="F186" i="92"/>
  <c r="I36" i="92"/>
  <c r="M95" i="92"/>
  <c r="N95" i="92" s="1"/>
  <c r="G113" i="92"/>
  <c r="I113" i="92" s="1"/>
  <c r="I114" i="92"/>
  <c r="F113" i="92"/>
  <c r="J126" i="92"/>
  <c r="L127" i="92"/>
  <c r="M127" i="92" s="1"/>
  <c r="N127" i="92" s="1"/>
  <c r="L168" i="92"/>
  <c r="J167" i="92"/>
  <c r="G175" i="92"/>
  <c r="I180" i="92"/>
  <c r="I187" i="92"/>
  <c r="G186" i="92"/>
  <c r="J186" i="92"/>
  <c r="L194" i="92"/>
  <c r="M194" i="92" s="1"/>
  <c r="N194" i="92" s="1"/>
  <c r="I209" i="92"/>
  <c r="G208" i="92"/>
  <c r="F257" i="92"/>
  <c r="M81" i="92"/>
  <c r="N81" i="92" s="1"/>
  <c r="N84" i="92"/>
  <c r="F125" i="92"/>
  <c r="N131" i="92"/>
  <c r="M143" i="92"/>
  <c r="N143" i="92" s="1"/>
  <c r="M171" i="92"/>
  <c r="N171" i="92" s="1"/>
  <c r="F141" i="92"/>
  <c r="G148" i="92"/>
  <c r="I149" i="92"/>
  <c r="L201" i="92"/>
  <c r="J199" i="92"/>
  <c r="I203" i="92"/>
  <c r="M203" i="92" s="1"/>
  <c r="N203" i="92" s="1"/>
  <c r="G202" i="92"/>
  <c r="F239" i="92"/>
  <c r="F240" i="92"/>
  <c r="F76" i="92"/>
  <c r="F50" i="92" s="1"/>
  <c r="G83" i="92"/>
  <c r="M96" i="92"/>
  <c r="N96" i="92" s="1"/>
  <c r="M100" i="92"/>
  <c r="N100" i="92" s="1"/>
  <c r="G142" i="92"/>
  <c r="F149" i="92"/>
  <c r="I176" i="92"/>
  <c r="I212" i="92"/>
  <c r="M212" i="92" s="1"/>
  <c r="N212" i="92" s="1"/>
  <c r="H221" i="92"/>
  <c r="F301" i="92"/>
  <c r="I315" i="92"/>
  <c r="G314" i="92"/>
  <c r="F332" i="92"/>
  <c r="I334" i="92"/>
  <c r="G333" i="92"/>
  <c r="F339" i="92"/>
  <c r="G359" i="92"/>
  <c r="L378" i="92"/>
  <c r="J377" i="92"/>
  <c r="F156" i="92"/>
  <c r="J156" i="92"/>
  <c r="L156" i="92" s="1"/>
  <c r="M156" i="92" s="1"/>
  <c r="F168" i="92"/>
  <c r="I169" i="92"/>
  <c r="F180" i="92"/>
  <c r="I181" i="92"/>
  <c r="L195" i="92"/>
  <c r="L202" i="92"/>
  <c r="F209" i="92"/>
  <c r="I210" i="92"/>
  <c r="F216" i="92"/>
  <c r="I217" i="92"/>
  <c r="N224" i="92"/>
  <c r="G226" i="92"/>
  <c r="L226" i="92"/>
  <c r="G234" i="92"/>
  <c r="L234" i="92"/>
  <c r="I236" i="92"/>
  <c r="M236" i="92" s="1"/>
  <c r="N236" i="92" s="1"/>
  <c r="G241" i="92"/>
  <c r="I244" i="92"/>
  <c r="M244" i="92" s="1"/>
  <c r="N244" i="92" s="1"/>
  <c r="L244" i="92"/>
  <c r="G250" i="92"/>
  <c r="I252" i="92"/>
  <c r="L259" i="92"/>
  <c r="M259" i="92" s="1"/>
  <c r="N259" i="92" s="1"/>
  <c r="M261" i="92"/>
  <c r="N261" i="92" s="1"/>
  <c r="L273" i="92"/>
  <c r="J280" i="92"/>
  <c r="I281" i="92"/>
  <c r="M281" i="92" s="1"/>
  <c r="I292" i="92"/>
  <c r="F314" i="92"/>
  <c r="M406" i="92"/>
  <c r="I274" i="92"/>
  <c r="M274" i="92" s="1"/>
  <c r="N274" i="92" s="1"/>
  <c r="H273" i="92"/>
  <c r="H272" i="92" s="1"/>
  <c r="H271" i="92" s="1"/>
  <c r="H270" i="92" s="1"/>
  <c r="H269" i="92" s="1"/>
  <c r="L302" i="92"/>
  <c r="J301" i="92"/>
  <c r="L334" i="92"/>
  <c r="K333" i="92"/>
  <c r="K332" i="92" s="1"/>
  <c r="K331" i="92" s="1"/>
  <c r="L340" i="92"/>
  <c r="J339" i="92"/>
  <c r="F344" i="92"/>
  <c r="I346" i="92"/>
  <c r="G345" i="92"/>
  <c r="F353" i="92"/>
  <c r="F370" i="92"/>
  <c r="I372" i="92"/>
  <c r="G371" i="92"/>
  <c r="I378" i="92"/>
  <c r="M378" i="92" s="1"/>
  <c r="H377" i="92"/>
  <c r="H376" i="92" s="1"/>
  <c r="H375" i="92" s="1"/>
  <c r="N153" i="92"/>
  <c r="L157" i="92"/>
  <c r="M157" i="92" s="1"/>
  <c r="N157" i="92" s="1"/>
  <c r="L169" i="92"/>
  <c r="L181" i="92"/>
  <c r="I188" i="92"/>
  <c r="M188" i="92" s="1"/>
  <c r="N188" i="92" s="1"/>
  <c r="I204" i="92"/>
  <c r="M204" i="92" s="1"/>
  <c r="N204" i="92" s="1"/>
  <c r="L210" i="92"/>
  <c r="L217" i="92"/>
  <c r="I223" i="92"/>
  <c r="F226" i="92"/>
  <c r="H242" i="92"/>
  <c r="H241" i="92" s="1"/>
  <c r="H240" i="92" s="1"/>
  <c r="H239" i="92" s="1"/>
  <c r="L251" i="92"/>
  <c r="L272" i="92"/>
  <c r="I280" i="92"/>
  <c r="N282" i="92"/>
  <c r="I266" i="92"/>
  <c r="M266" i="92" s="1"/>
  <c r="N266" i="92" s="1"/>
  <c r="H263" i="92"/>
  <c r="H262" i="92" s="1"/>
  <c r="H258" i="92" s="1"/>
  <c r="H257" i="92" s="1"/>
  <c r="H256" i="92" s="1"/>
  <c r="H247" i="92" s="1"/>
  <c r="I302" i="92"/>
  <c r="H301" i="92"/>
  <c r="H300" i="92" s="1"/>
  <c r="H299" i="92" s="1"/>
  <c r="L310" i="92"/>
  <c r="K309" i="92"/>
  <c r="L309" i="92" s="1"/>
  <c r="M309" i="92" s="1"/>
  <c r="N309" i="92" s="1"/>
  <c r="J332" i="92"/>
  <c r="I339" i="92"/>
  <c r="G338" i="92"/>
  <c r="K351" i="92"/>
  <c r="K350" i="92"/>
  <c r="L354" i="92"/>
  <c r="J353" i="92"/>
  <c r="J358" i="92"/>
  <c r="L250" i="92"/>
  <c r="L271" i="92"/>
  <c r="I272" i="92"/>
  <c r="I279" i="92"/>
  <c r="N281" i="92"/>
  <c r="K359" i="92"/>
  <c r="K358" i="92" s="1"/>
  <c r="K357" i="92" s="1"/>
  <c r="K262" i="92"/>
  <c r="L262" i="92" s="1"/>
  <c r="L263" i="92"/>
  <c r="G352" i="92"/>
  <c r="I354" i="92"/>
  <c r="H353" i="92"/>
  <c r="H352" i="92" s="1"/>
  <c r="H351" i="92" s="1"/>
  <c r="L371" i="92"/>
  <c r="J370" i="92"/>
  <c r="F377" i="92"/>
  <c r="N378" i="92"/>
  <c r="J149" i="92"/>
  <c r="L235" i="92"/>
  <c r="M235" i="92" s="1"/>
  <c r="N235" i="92" s="1"/>
  <c r="J242" i="92"/>
  <c r="J249" i="92"/>
  <c r="L252" i="92"/>
  <c r="J256" i="92"/>
  <c r="G258" i="92"/>
  <c r="J270" i="92"/>
  <c r="G278" i="92"/>
  <c r="I278" i="92" s="1"/>
  <c r="F279" i="92"/>
  <c r="L292" i="92"/>
  <c r="M373" i="92"/>
  <c r="N373" i="92" s="1"/>
  <c r="M381" i="92"/>
  <c r="N381" i="92" s="1"/>
  <c r="M388" i="92"/>
  <c r="M390" i="92"/>
  <c r="L306" i="92"/>
  <c r="M306" i="92" s="1"/>
  <c r="N306" i="92" s="1"/>
  <c r="L315" i="92"/>
  <c r="I320" i="92"/>
  <c r="I335" i="92"/>
  <c r="I340" i="92"/>
  <c r="M340" i="92" s="1"/>
  <c r="N340" i="92" s="1"/>
  <c r="L341" i="92"/>
  <c r="I361" i="92"/>
  <c r="L363" i="92"/>
  <c r="L372" i="92"/>
  <c r="L382" i="92"/>
  <c r="M382" i="92" s="1"/>
  <c r="N382" i="92" s="1"/>
  <c r="I303" i="92"/>
  <c r="M303" i="92" s="1"/>
  <c r="N303" i="92" s="1"/>
  <c r="I310" i="92"/>
  <c r="L311" i="92"/>
  <c r="M311" i="92" s="1"/>
  <c r="N311" i="92" s="1"/>
  <c r="L320" i="92"/>
  <c r="K323" i="92"/>
  <c r="K322" i="92" s="1"/>
  <c r="L322" i="92" s="1"/>
  <c r="M322" i="92" s="1"/>
  <c r="N322" i="92" s="1"/>
  <c r="L335" i="92"/>
  <c r="I355" i="92"/>
  <c r="M355" i="92" s="1"/>
  <c r="N355" i="92" s="1"/>
  <c r="F359" i="92"/>
  <c r="L361" i="92"/>
  <c r="I379" i="92"/>
  <c r="M379" i="92" s="1"/>
  <c r="N379" i="92" s="1"/>
  <c r="H387" i="92"/>
  <c r="I387" i="92" s="1"/>
  <c r="M387" i="92" s="1"/>
  <c r="H364" i="92"/>
  <c r="I419" i="91"/>
  <c r="M419" i="91" s="1"/>
  <c r="K418" i="91"/>
  <c r="L418" i="91" s="1"/>
  <c r="M418" i="91" s="1"/>
  <c r="I417" i="91"/>
  <c r="M417" i="91" s="1"/>
  <c r="M416" i="91"/>
  <c r="I416" i="91"/>
  <c r="I415" i="91"/>
  <c r="M415" i="91" s="1"/>
  <c r="I414" i="91"/>
  <c r="M414" i="91" s="1"/>
  <c r="H413" i="91"/>
  <c r="I413" i="91" s="1"/>
  <c r="M413" i="91" s="1"/>
  <c r="L412" i="91"/>
  <c r="I412" i="91"/>
  <c r="K410" i="91"/>
  <c r="L410" i="91" s="1"/>
  <c r="I410" i="91"/>
  <c r="K409" i="91"/>
  <c r="L409" i="91" s="1"/>
  <c r="I409" i="91"/>
  <c r="M409" i="91" s="1"/>
  <c r="H409" i="91"/>
  <c r="L408" i="91"/>
  <c r="I408" i="91"/>
  <c r="M408" i="91" s="1"/>
  <c r="K407" i="91"/>
  <c r="L407" i="91" s="1"/>
  <c r="H407" i="91"/>
  <c r="H406" i="91" s="1"/>
  <c r="J406" i="91"/>
  <c r="G406" i="91"/>
  <c r="I400" i="91"/>
  <c r="M400" i="91" s="1"/>
  <c r="K399" i="91"/>
  <c r="L399" i="91" s="1"/>
  <c r="M399" i="91" s="1"/>
  <c r="I398" i="91"/>
  <c r="M398" i="91" s="1"/>
  <c r="I397" i="91"/>
  <c r="M397" i="91" s="1"/>
  <c r="I396" i="91"/>
  <c r="M396" i="91" s="1"/>
  <c r="I395" i="91"/>
  <c r="M395" i="91" s="1"/>
  <c r="L394" i="91"/>
  <c r="H394" i="91"/>
  <c r="I394" i="91" s="1"/>
  <c r="M394" i="91" s="1"/>
  <c r="L393" i="91"/>
  <c r="I393" i="91"/>
  <c r="M393" i="91" s="1"/>
  <c r="M391" i="91"/>
  <c r="L391" i="91"/>
  <c r="K391" i="91"/>
  <c r="I391" i="91"/>
  <c r="K390" i="91"/>
  <c r="L390" i="91" s="1"/>
  <c r="H390" i="91"/>
  <c r="I390" i="91" s="1"/>
  <c r="L389" i="91"/>
  <c r="I389" i="91"/>
  <c r="K388" i="91"/>
  <c r="L388" i="91" s="1"/>
  <c r="H388" i="91"/>
  <c r="I388" i="91" s="1"/>
  <c r="K387" i="91"/>
  <c r="L387" i="91" s="1"/>
  <c r="J387" i="91"/>
  <c r="G387" i="91"/>
  <c r="L383" i="91"/>
  <c r="I383" i="91"/>
  <c r="M383" i="91" s="1"/>
  <c r="N383" i="91" s="1"/>
  <c r="K382" i="91"/>
  <c r="K381" i="91" s="1"/>
  <c r="J382" i="91"/>
  <c r="J381" i="91" s="1"/>
  <c r="H382" i="91"/>
  <c r="G382" i="91"/>
  <c r="F382" i="91"/>
  <c r="F381" i="91" s="1"/>
  <c r="H381" i="91"/>
  <c r="G381" i="91"/>
  <c r="I381" i="91" s="1"/>
  <c r="L380" i="91"/>
  <c r="M380" i="91" s="1"/>
  <c r="N380" i="91" s="1"/>
  <c r="I380" i="91"/>
  <c r="K379" i="91"/>
  <c r="K378" i="91" s="1"/>
  <c r="J379" i="91"/>
  <c r="L379" i="91" s="1"/>
  <c r="H379" i="91"/>
  <c r="H378" i="91" s="1"/>
  <c r="H377" i="91" s="1"/>
  <c r="H376" i="91" s="1"/>
  <c r="H375" i="91" s="1"/>
  <c r="G379" i="91"/>
  <c r="G378" i="91" s="1"/>
  <c r="F379" i="91"/>
  <c r="F378" i="91"/>
  <c r="L374" i="91"/>
  <c r="M374" i="91" s="1"/>
  <c r="N374" i="91" s="1"/>
  <c r="I374" i="91"/>
  <c r="K373" i="91"/>
  <c r="J373" i="91"/>
  <c r="L373" i="91" s="1"/>
  <c r="H373" i="91"/>
  <c r="H372" i="91" s="1"/>
  <c r="H371" i="91" s="1"/>
  <c r="H370" i="91" s="1"/>
  <c r="H369" i="91" s="1"/>
  <c r="G373" i="91"/>
  <c r="I373" i="91" s="1"/>
  <c r="M373" i="91" s="1"/>
  <c r="F373" i="91"/>
  <c r="K372" i="91"/>
  <c r="J372" i="91"/>
  <c r="J371" i="91" s="1"/>
  <c r="F372" i="91"/>
  <c r="F371" i="91" s="1"/>
  <c r="K371" i="91"/>
  <c r="K370" i="91" s="1"/>
  <c r="K369" i="91" s="1"/>
  <c r="L368" i="91"/>
  <c r="I368" i="91"/>
  <c r="M368" i="91" s="1"/>
  <c r="N368" i="91" s="1"/>
  <c r="L367" i="91"/>
  <c r="I367" i="91"/>
  <c r="M367" i="91" s="1"/>
  <c r="N367" i="91" s="1"/>
  <c r="K366" i="91"/>
  <c r="K363" i="91" s="1"/>
  <c r="K359" i="91" s="1"/>
  <c r="K358" i="91" s="1"/>
  <c r="K357" i="91" s="1"/>
  <c r="J366" i="91"/>
  <c r="H366" i="91"/>
  <c r="G366" i="91"/>
  <c r="I366" i="91" s="1"/>
  <c r="F366" i="91"/>
  <c r="T365" i="91"/>
  <c r="L365" i="91"/>
  <c r="I365" i="91"/>
  <c r="H365" i="91"/>
  <c r="K364" i="91"/>
  <c r="J364" i="91"/>
  <c r="L364" i="91" s="1"/>
  <c r="H364" i="91"/>
  <c r="H363" i="91" s="1"/>
  <c r="G364" i="91"/>
  <c r="F364" i="91"/>
  <c r="J363" i="91"/>
  <c r="G363" i="91"/>
  <c r="F363" i="91"/>
  <c r="L362" i="91"/>
  <c r="I362" i="91"/>
  <c r="K361" i="91"/>
  <c r="K360" i="91" s="1"/>
  <c r="J361" i="91"/>
  <c r="J360" i="91" s="1"/>
  <c r="L360" i="91" s="1"/>
  <c r="H361" i="91"/>
  <c r="H360" i="91" s="1"/>
  <c r="G361" i="91"/>
  <c r="G360" i="91" s="1"/>
  <c r="F361" i="91"/>
  <c r="L356" i="91"/>
  <c r="I356" i="91"/>
  <c r="K355" i="91"/>
  <c r="K354" i="91" s="1"/>
  <c r="J355" i="91"/>
  <c r="H355" i="91"/>
  <c r="H354" i="91" s="1"/>
  <c r="H353" i="91" s="1"/>
  <c r="H352" i="91" s="1"/>
  <c r="H351" i="91" s="1"/>
  <c r="G355" i="91"/>
  <c r="G354" i="91" s="1"/>
  <c r="F355" i="91"/>
  <c r="J354" i="91"/>
  <c r="J353" i="91" s="1"/>
  <c r="J352" i="91" s="1"/>
  <c r="F354" i="91"/>
  <c r="F353" i="91" s="1"/>
  <c r="F352" i="91" s="1"/>
  <c r="L348" i="91"/>
  <c r="M348" i="91" s="1"/>
  <c r="N348" i="91" s="1"/>
  <c r="K347" i="91"/>
  <c r="J347" i="91"/>
  <c r="H347" i="91"/>
  <c r="H346" i="91" s="1"/>
  <c r="H345" i="91" s="1"/>
  <c r="H344" i="91" s="1"/>
  <c r="H343" i="91" s="1"/>
  <c r="G347" i="91"/>
  <c r="I347" i="91" s="1"/>
  <c r="F347" i="91"/>
  <c r="F346" i="91" s="1"/>
  <c r="F345" i="91" s="1"/>
  <c r="K346" i="91"/>
  <c r="K345" i="91" s="1"/>
  <c r="K344" i="91" s="1"/>
  <c r="K343" i="91" s="1"/>
  <c r="J346" i="91"/>
  <c r="J345" i="91" s="1"/>
  <c r="L342" i="91"/>
  <c r="I342" i="91"/>
  <c r="K341" i="91"/>
  <c r="J341" i="91"/>
  <c r="J340" i="91" s="1"/>
  <c r="H341" i="91"/>
  <c r="H340" i="91" s="1"/>
  <c r="H339" i="91" s="1"/>
  <c r="H338" i="91" s="1"/>
  <c r="H337" i="91" s="1"/>
  <c r="G341" i="91"/>
  <c r="I341" i="91" s="1"/>
  <c r="F341" i="91"/>
  <c r="F340" i="91" s="1"/>
  <c r="K340" i="91"/>
  <c r="K339" i="91" s="1"/>
  <c r="K338" i="91" s="1"/>
  <c r="K337" i="91" s="1"/>
  <c r="L336" i="91"/>
  <c r="I336" i="91"/>
  <c r="M336" i="91" s="1"/>
  <c r="N336" i="91" s="1"/>
  <c r="K335" i="91"/>
  <c r="K334" i="91" s="1"/>
  <c r="K333" i="91" s="1"/>
  <c r="K332" i="91" s="1"/>
  <c r="K331" i="91" s="1"/>
  <c r="J335" i="91"/>
  <c r="H335" i="91"/>
  <c r="G335" i="91"/>
  <c r="G334" i="91" s="1"/>
  <c r="F335" i="91"/>
  <c r="H334" i="91"/>
  <c r="H333" i="91" s="1"/>
  <c r="H332" i="91" s="1"/>
  <c r="H331" i="91" s="1"/>
  <c r="L330" i="91"/>
  <c r="I330" i="91"/>
  <c r="S329" i="91"/>
  <c r="K329" i="91"/>
  <c r="L329" i="91" s="1"/>
  <c r="M329" i="91" s="1"/>
  <c r="N329" i="91" s="1"/>
  <c r="S328" i="91"/>
  <c r="K328" i="91"/>
  <c r="L328" i="91" s="1"/>
  <c r="M328" i="91" s="1"/>
  <c r="N328" i="91" s="1"/>
  <c r="S327" i="91"/>
  <c r="L327" i="91"/>
  <c r="M327" i="91" s="1"/>
  <c r="N327" i="91" s="1"/>
  <c r="S326" i="91"/>
  <c r="K326" i="91"/>
  <c r="L326" i="91" s="1"/>
  <c r="M326" i="91" s="1"/>
  <c r="N326" i="91" s="1"/>
  <c r="L325" i="91"/>
  <c r="M325" i="91" s="1"/>
  <c r="N325" i="91" s="1"/>
  <c r="S324" i="91"/>
  <c r="L324" i="91"/>
  <c r="M324" i="91" s="1"/>
  <c r="N324" i="91" s="1"/>
  <c r="J323" i="91"/>
  <c r="J322" i="91" s="1"/>
  <c r="H323" i="91"/>
  <c r="H322" i="91" s="1"/>
  <c r="G323" i="91"/>
  <c r="F323" i="91"/>
  <c r="F322" i="91" s="1"/>
  <c r="L321" i="91"/>
  <c r="M321" i="91" s="1"/>
  <c r="N321" i="91" s="1"/>
  <c r="K320" i="91"/>
  <c r="K319" i="91" s="1"/>
  <c r="J320" i="91"/>
  <c r="J319" i="91" s="1"/>
  <c r="H320" i="91"/>
  <c r="G320" i="91"/>
  <c r="G319" i="91" s="1"/>
  <c r="F320" i="91"/>
  <c r="H319" i="91"/>
  <c r="L318" i="91"/>
  <c r="M318" i="91" s="1"/>
  <c r="N318" i="91" s="1"/>
  <c r="S317" i="91"/>
  <c r="K317" i="91"/>
  <c r="L317" i="91" s="1"/>
  <c r="M317" i="91" s="1"/>
  <c r="N317" i="91" s="1"/>
  <c r="K316" i="91"/>
  <c r="J316" i="91"/>
  <c r="L316" i="91" s="1"/>
  <c r="I316" i="91"/>
  <c r="H316" i="91"/>
  <c r="H315" i="91" s="1"/>
  <c r="G316" i="91"/>
  <c r="F316" i="91"/>
  <c r="F315" i="91" s="1"/>
  <c r="K315" i="91"/>
  <c r="J315" i="91"/>
  <c r="J314" i="91" s="1"/>
  <c r="G315" i="91"/>
  <c r="I315" i="91" s="1"/>
  <c r="S311" i="91"/>
  <c r="K311" i="91"/>
  <c r="K310" i="91" s="1"/>
  <c r="I311" i="91"/>
  <c r="J310" i="91"/>
  <c r="J309" i="91" s="1"/>
  <c r="H310" i="91"/>
  <c r="H309" i="91" s="1"/>
  <c r="G310" i="91"/>
  <c r="I310" i="91" s="1"/>
  <c r="F310" i="91"/>
  <c r="F309" i="91"/>
  <c r="L308" i="91"/>
  <c r="I308" i="91"/>
  <c r="L307" i="91"/>
  <c r="I307" i="91"/>
  <c r="K306" i="91"/>
  <c r="K305" i="91" s="1"/>
  <c r="J306" i="91"/>
  <c r="J305" i="91" s="1"/>
  <c r="H306" i="91"/>
  <c r="H305" i="91" s="1"/>
  <c r="G306" i="91"/>
  <c r="F306" i="91"/>
  <c r="F305" i="91" s="1"/>
  <c r="G305" i="91"/>
  <c r="S304" i="91"/>
  <c r="L304" i="91"/>
  <c r="M304" i="91" s="1"/>
  <c r="N304" i="91" s="1"/>
  <c r="K303" i="91"/>
  <c r="K302" i="91" s="1"/>
  <c r="J303" i="91"/>
  <c r="L303" i="91" s="1"/>
  <c r="H303" i="91"/>
  <c r="H302" i="91" s="1"/>
  <c r="H301" i="91" s="1"/>
  <c r="H300" i="91" s="1"/>
  <c r="H299" i="91" s="1"/>
  <c r="G303" i="91"/>
  <c r="G302" i="91" s="1"/>
  <c r="F303" i="91"/>
  <c r="F302" i="91"/>
  <c r="M296" i="91"/>
  <c r="N296" i="91" s="1"/>
  <c r="L296" i="91"/>
  <c r="L295" i="91"/>
  <c r="I295" i="91"/>
  <c r="M295" i="91" s="1"/>
  <c r="N295" i="91" s="1"/>
  <c r="L294" i="91"/>
  <c r="M294" i="91" s="1"/>
  <c r="N294" i="91" s="1"/>
  <c r="I294" i="91"/>
  <c r="L293" i="91"/>
  <c r="I293" i="91"/>
  <c r="M293" i="91" s="1"/>
  <c r="N293" i="91" s="1"/>
  <c r="K292" i="91"/>
  <c r="J292" i="91"/>
  <c r="L292" i="91" s="1"/>
  <c r="H292" i="91"/>
  <c r="H291" i="91" s="1"/>
  <c r="G292" i="91"/>
  <c r="I292" i="91" s="1"/>
  <c r="F292" i="91"/>
  <c r="F291" i="91" s="1"/>
  <c r="K291" i="91"/>
  <c r="G291" i="91"/>
  <c r="L290" i="91"/>
  <c r="M290" i="91" s="1"/>
  <c r="N290" i="91" s="1"/>
  <c r="L289" i="91"/>
  <c r="M289" i="91" s="1"/>
  <c r="N289" i="91" s="1"/>
  <c r="L288" i="91"/>
  <c r="M288" i="91" s="1"/>
  <c r="N288" i="91" s="1"/>
  <c r="L287" i="91"/>
  <c r="I287" i="91"/>
  <c r="L286" i="91"/>
  <c r="M286" i="91" s="1"/>
  <c r="N286" i="91" s="1"/>
  <c r="L285" i="91"/>
  <c r="M285" i="91" s="1"/>
  <c r="N285" i="91" s="1"/>
  <c r="L284" i="91"/>
  <c r="M284" i="91" s="1"/>
  <c r="N284" i="91" s="1"/>
  <c r="L283" i="91"/>
  <c r="I283" i="91"/>
  <c r="M283" i="91" s="1"/>
  <c r="N283" i="91" s="1"/>
  <c r="K282" i="91"/>
  <c r="J282" i="91"/>
  <c r="L282" i="91" s="1"/>
  <c r="H282" i="91"/>
  <c r="H281" i="91" s="1"/>
  <c r="H280" i="91" s="1"/>
  <c r="H279" i="91" s="1"/>
  <c r="H278" i="91" s="1"/>
  <c r="G282" i="91"/>
  <c r="I282" i="91" s="1"/>
  <c r="F282" i="91"/>
  <c r="F281" i="91" s="1"/>
  <c r="F280" i="91" s="1"/>
  <c r="K281" i="91"/>
  <c r="J281" i="91"/>
  <c r="K280" i="91"/>
  <c r="K279" i="91" s="1"/>
  <c r="K278" i="91" s="1"/>
  <c r="L277" i="91"/>
  <c r="I277" i="91"/>
  <c r="M277" i="91" s="1"/>
  <c r="N277" i="91" s="1"/>
  <c r="I276" i="91"/>
  <c r="M276" i="91" s="1"/>
  <c r="N276" i="91" s="1"/>
  <c r="M275" i="91"/>
  <c r="N275" i="91" s="1"/>
  <c r="I275" i="91"/>
  <c r="L274" i="91"/>
  <c r="H274" i="91"/>
  <c r="I274" i="91" s="1"/>
  <c r="K273" i="91"/>
  <c r="J273" i="91"/>
  <c r="L273" i="91" s="1"/>
  <c r="H273" i="91"/>
  <c r="H272" i="91" s="1"/>
  <c r="H271" i="91" s="1"/>
  <c r="H270" i="91" s="1"/>
  <c r="H269" i="91" s="1"/>
  <c r="G273" i="91"/>
  <c r="F273" i="91"/>
  <c r="K272" i="91"/>
  <c r="K271" i="91" s="1"/>
  <c r="K270" i="91" s="1"/>
  <c r="K269" i="91" s="1"/>
  <c r="J272" i="91"/>
  <c r="J271" i="91" s="1"/>
  <c r="G272" i="91"/>
  <c r="F272" i="91"/>
  <c r="F271" i="91" s="1"/>
  <c r="G271" i="91"/>
  <c r="G270" i="91" s="1"/>
  <c r="S268" i="91"/>
  <c r="K268" i="91"/>
  <c r="L268" i="91" s="1"/>
  <c r="I268" i="91"/>
  <c r="S267" i="91"/>
  <c r="K267" i="91"/>
  <c r="L267" i="91" s="1"/>
  <c r="I267" i="91"/>
  <c r="M267" i="91" s="1"/>
  <c r="N267" i="91" s="1"/>
  <c r="T266" i="91"/>
  <c r="S266" i="91"/>
  <c r="L266" i="91"/>
  <c r="H266" i="91"/>
  <c r="H263" i="91" s="1"/>
  <c r="H262" i="91" s="1"/>
  <c r="H258" i="91" s="1"/>
  <c r="H257" i="91" s="1"/>
  <c r="H256" i="91" s="1"/>
  <c r="K265" i="91"/>
  <c r="L265" i="91" s="1"/>
  <c r="M265" i="91" s="1"/>
  <c r="N265" i="91" s="1"/>
  <c r="I265" i="91"/>
  <c r="S264" i="91"/>
  <c r="L264" i="91"/>
  <c r="I264" i="91"/>
  <c r="M264" i="91" s="1"/>
  <c r="N264" i="91" s="1"/>
  <c r="J263" i="91"/>
  <c r="J262" i="91" s="1"/>
  <c r="G263" i="91"/>
  <c r="G262" i="91" s="1"/>
  <c r="F263" i="91"/>
  <c r="S261" i="91"/>
  <c r="L261" i="91"/>
  <c r="I261" i="91"/>
  <c r="K260" i="91"/>
  <c r="K259" i="91" s="1"/>
  <c r="J260" i="91"/>
  <c r="J259" i="91" s="1"/>
  <c r="H260" i="91"/>
  <c r="H259" i="91" s="1"/>
  <c r="G260" i="91"/>
  <c r="F260" i="91"/>
  <c r="F259" i="91" s="1"/>
  <c r="G259" i="91"/>
  <c r="S255" i="91"/>
  <c r="L255" i="91"/>
  <c r="M255" i="91" s="1"/>
  <c r="N255" i="91" s="1"/>
  <c r="I255" i="91"/>
  <c r="S254" i="91"/>
  <c r="L254" i="91"/>
  <c r="M254" i="91" s="1"/>
  <c r="N254" i="91" s="1"/>
  <c r="I254" i="91"/>
  <c r="M253" i="91"/>
  <c r="N253" i="91" s="1"/>
  <c r="L253" i="91"/>
  <c r="I253" i="91"/>
  <c r="K252" i="91"/>
  <c r="J252" i="91"/>
  <c r="L252" i="91" s="1"/>
  <c r="H252" i="91"/>
  <c r="H251" i="91" s="1"/>
  <c r="H250" i="91" s="1"/>
  <c r="H249" i="91" s="1"/>
  <c r="H248" i="91" s="1"/>
  <c r="G252" i="91"/>
  <c r="I252" i="91" s="1"/>
  <c r="F252" i="91"/>
  <c r="K251" i="91"/>
  <c r="K250" i="91" s="1"/>
  <c r="K249" i="91" s="1"/>
  <c r="K248" i="91" s="1"/>
  <c r="F251" i="91"/>
  <c r="F250" i="91" s="1"/>
  <c r="I245" i="91"/>
  <c r="M245" i="91" s="1"/>
  <c r="N245" i="91" s="1"/>
  <c r="K244" i="91"/>
  <c r="K243" i="91" s="1"/>
  <c r="K242" i="91" s="1"/>
  <c r="K241" i="91" s="1"/>
  <c r="K240" i="91" s="1"/>
  <c r="K239" i="91" s="1"/>
  <c r="J244" i="91"/>
  <c r="H244" i="91"/>
  <c r="G244" i="91"/>
  <c r="G243" i="91" s="1"/>
  <c r="F244" i="91"/>
  <c r="F243" i="91" s="1"/>
  <c r="H243" i="91"/>
  <c r="H242" i="91" s="1"/>
  <c r="H241" i="91" s="1"/>
  <c r="H240" i="91" s="1"/>
  <c r="H239" i="91" s="1"/>
  <c r="L237" i="91"/>
  <c r="I237" i="91"/>
  <c r="M237" i="91" s="1"/>
  <c r="N237" i="91" s="1"/>
  <c r="K236" i="91"/>
  <c r="K235" i="91" s="1"/>
  <c r="K234" i="91" s="1"/>
  <c r="K232" i="91" s="1"/>
  <c r="K231" i="91" s="1"/>
  <c r="J236" i="91"/>
  <c r="H236" i="91"/>
  <c r="G236" i="91"/>
  <c r="G235" i="91" s="1"/>
  <c r="F236" i="91"/>
  <c r="F235" i="91" s="1"/>
  <c r="J235" i="91"/>
  <c r="H235" i="91"/>
  <c r="H234" i="91" s="1"/>
  <c r="H232" i="91" s="1"/>
  <c r="H231" i="91" s="1"/>
  <c r="L233" i="91"/>
  <c r="I233" i="91"/>
  <c r="F232" i="91"/>
  <c r="F231" i="91" s="1"/>
  <c r="M230" i="91"/>
  <c r="N230" i="91" s="1"/>
  <c r="L230" i="91"/>
  <c r="I230" i="91"/>
  <c r="L229" i="91"/>
  <c r="M229" i="91" s="1"/>
  <c r="N229" i="91" s="1"/>
  <c r="I229" i="91"/>
  <c r="M228" i="91"/>
  <c r="N228" i="91" s="1"/>
  <c r="L228" i="91"/>
  <c r="I228" i="91"/>
  <c r="K227" i="91"/>
  <c r="J227" i="91"/>
  <c r="L227" i="91" s="1"/>
  <c r="H227" i="91"/>
  <c r="H226" i="91" s="1"/>
  <c r="G227" i="91"/>
  <c r="I227" i="91" s="1"/>
  <c r="F227" i="91"/>
  <c r="K226" i="91"/>
  <c r="J226" i="91"/>
  <c r="L226" i="91" s="1"/>
  <c r="G226" i="91"/>
  <c r="I226" i="91" s="1"/>
  <c r="L225" i="91"/>
  <c r="I225" i="91"/>
  <c r="K224" i="91"/>
  <c r="J224" i="91"/>
  <c r="J223" i="91" s="1"/>
  <c r="H224" i="91"/>
  <c r="G224" i="91"/>
  <c r="I224" i="91" s="1"/>
  <c r="F224" i="91"/>
  <c r="F223" i="91" s="1"/>
  <c r="H223" i="91"/>
  <c r="H222" i="91"/>
  <c r="N220" i="91"/>
  <c r="I220" i="91"/>
  <c r="M220" i="91" s="1"/>
  <c r="L219" i="91"/>
  <c r="M219" i="91" s="1"/>
  <c r="N219" i="91" s="1"/>
  <c r="L218" i="91"/>
  <c r="M218" i="91" s="1"/>
  <c r="N218" i="91" s="1"/>
  <c r="I218" i="91"/>
  <c r="L217" i="91"/>
  <c r="K217" i="91"/>
  <c r="J217" i="91"/>
  <c r="H217" i="91"/>
  <c r="H216" i="91" s="1"/>
  <c r="G217" i="91"/>
  <c r="G216" i="91" s="1"/>
  <c r="I216" i="91" s="1"/>
  <c r="F217" i="91"/>
  <c r="K216" i="91"/>
  <c r="J216" i="91"/>
  <c r="F216" i="91"/>
  <c r="L215" i="91"/>
  <c r="I215" i="91"/>
  <c r="L214" i="91"/>
  <c r="I214" i="91"/>
  <c r="K213" i="91"/>
  <c r="J213" i="91"/>
  <c r="J212" i="91" s="1"/>
  <c r="L212" i="91" s="1"/>
  <c r="H213" i="91"/>
  <c r="H212" i="91" s="1"/>
  <c r="G213" i="91"/>
  <c r="F213" i="91"/>
  <c r="F212" i="91" s="1"/>
  <c r="K212" i="91"/>
  <c r="G212" i="91"/>
  <c r="L211" i="91"/>
  <c r="M211" i="91" s="1"/>
  <c r="N211" i="91" s="1"/>
  <c r="I211" i="91"/>
  <c r="L210" i="91"/>
  <c r="K210" i="91"/>
  <c r="J210" i="91"/>
  <c r="H210" i="91"/>
  <c r="H209" i="91" s="1"/>
  <c r="G210" i="91"/>
  <c r="G209" i="91" s="1"/>
  <c r="I209" i="91" s="1"/>
  <c r="F210" i="91"/>
  <c r="K209" i="91"/>
  <c r="J209" i="91"/>
  <c r="J208" i="91" s="1"/>
  <c r="J207" i="91" s="1"/>
  <c r="F209" i="91"/>
  <c r="F208" i="91" s="1"/>
  <c r="F207" i="91" s="1"/>
  <c r="K208" i="91"/>
  <c r="K207" i="91" s="1"/>
  <c r="L205" i="91"/>
  <c r="I205" i="91"/>
  <c r="M205" i="91" s="1"/>
  <c r="N205" i="91" s="1"/>
  <c r="K204" i="91"/>
  <c r="K203" i="91" s="1"/>
  <c r="K202" i="91" s="1"/>
  <c r="K201" i="91" s="1"/>
  <c r="K199" i="91" s="1"/>
  <c r="K198" i="91" s="1"/>
  <c r="J204" i="91"/>
  <c r="H204" i="91"/>
  <c r="G204" i="91"/>
  <c r="I204" i="91" s="1"/>
  <c r="F204" i="91"/>
  <c r="H203" i="91"/>
  <c r="H202" i="91" s="1"/>
  <c r="H201" i="91" s="1"/>
  <c r="H199" i="91" s="1"/>
  <c r="H198" i="91" s="1"/>
  <c r="L200" i="91"/>
  <c r="I200" i="91"/>
  <c r="F199" i="91"/>
  <c r="L197" i="91"/>
  <c r="M197" i="91" s="1"/>
  <c r="N197" i="91" s="1"/>
  <c r="I197" i="91"/>
  <c r="L196" i="91"/>
  <c r="I196" i="91"/>
  <c r="M196" i="91" s="1"/>
  <c r="N196" i="91" s="1"/>
  <c r="K195" i="91"/>
  <c r="J195" i="91"/>
  <c r="L195" i="91" s="1"/>
  <c r="H195" i="91"/>
  <c r="H194" i="91" s="1"/>
  <c r="G195" i="91"/>
  <c r="I195" i="91" s="1"/>
  <c r="F195" i="91"/>
  <c r="F194" i="91" s="1"/>
  <c r="K194" i="91"/>
  <c r="J194" i="91"/>
  <c r="L194" i="91" s="1"/>
  <c r="L193" i="91"/>
  <c r="M193" i="91" s="1"/>
  <c r="N193" i="91" s="1"/>
  <c r="L192" i="91"/>
  <c r="M192" i="91" s="1"/>
  <c r="N192" i="91" s="1"/>
  <c r="L191" i="91"/>
  <c r="M191" i="91" s="1"/>
  <c r="N191" i="91" s="1"/>
  <c r="L190" i="91"/>
  <c r="M190" i="91" s="1"/>
  <c r="N190" i="91" s="1"/>
  <c r="L189" i="91"/>
  <c r="I189" i="91"/>
  <c r="M189" i="91" s="1"/>
  <c r="N189" i="91" s="1"/>
  <c r="K188" i="91"/>
  <c r="K187" i="91" s="1"/>
  <c r="K186" i="91" s="1"/>
  <c r="K185" i="91" s="1"/>
  <c r="J188" i="91"/>
  <c r="J187" i="91" s="1"/>
  <c r="H188" i="91"/>
  <c r="G188" i="91"/>
  <c r="G187" i="91" s="1"/>
  <c r="F188" i="91"/>
  <c r="H187" i="91"/>
  <c r="S183" i="91"/>
  <c r="K183" i="91"/>
  <c r="L183" i="91" s="1"/>
  <c r="M183" i="91" s="1"/>
  <c r="N183" i="91" s="1"/>
  <c r="S182" i="91"/>
  <c r="L182" i="91"/>
  <c r="I182" i="91"/>
  <c r="M182" i="91" s="1"/>
  <c r="N182" i="91" s="1"/>
  <c r="J181" i="91"/>
  <c r="J180" i="91" s="1"/>
  <c r="H181" i="91"/>
  <c r="H180" i="91" s="1"/>
  <c r="H175" i="91" s="1"/>
  <c r="H174" i="91" s="1"/>
  <c r="H173" i="91" s="1"/>
  <c r="G181" i="91"/>
  <c r="I181" i="91" s="1"/>
  <c r="F181" i="91"/>
  <c r="F180" i="91" s="1"/>
  <c r="L179" i="91"/>
  <c r="I179" i="91"/>
  <c r="L178" i="91"/>
  <c r="I178" i="91"/>
  <c r="K177" i="91"/>
  <c r="K176" i="91" s="1"/>
  <c r="J177" i="91"/>
  <c r="L177" i="91" s="1"/>
  <c r="H177" i="91"/>
  <c r="H176" i="91" s="1"/>
  <c r="G177" i="91"/>
  <c r="G176" i="91" s="1"/>
  <c r="F177" i="91"/>
  <c r="F176" i="91" s="1"/>
  <c r="L172" i="91"/>
  <c r="M172" i="91" s="1"/>
  <c r="N172" i="91" s="1"/>
  <c r="S171" i="91"/>
  <c r="L171" i="91"/>
  <c r="K171" i="91"/>
  <c r="K169" i="91" s="1"/>
  <c r="K168" i="91" s="1"/>
  <c r="K167" i="91" s="1"/>
  <c r="K166" i="91" s="1"/>
  <c r="K165" i="91" s="1"/>
  <c r="I171" i="91"/>
  <c r="M171" i="91" s="1"/>
  <c r="N171" i="91" s="1"/>
  <c r="L170" i="91"/>
  <c r="I170" i="91"/>
  <c r="M170" i="91" s="1"/>
  <c r="N170" i="91" s="1"/>
  <c r="J169" i="91"/>
  <c r="J168" i="91" s="1"/>
  <c r="H169" i="91"/>
  <c r="H168" i="91" s="1"/>
  <c r="H167" i="91" s="1"/>
  <c r="H166" i="91" s="1"/>
  <c r="H165" i="91" s="1"/>
  <c r="G169" i="91"/>
  <c r="I169" i="91" s="1"/>
  <c r="F169" i="91"/>
  <c r="F168" i="91" s="1"/>
  <c r="L164" i="91"/>
  <c r="I164" i="91"/>
  <c r="M164" i="91" s="1"/>
  <c r="N164" i="91" s="1"/>
  <c r="L163" i="91"/>
  <c r="I163" i="91"/>
  <c r="M163" i="91" s="1"/>
  <c r="N163" i="91" s="1"/>
  <c r="L162" i="91"/>
  <c r="K162" i="91"/>
  <c r="J162" i="91"/>
  <c r="H162" i="91"/>
  <c r="G162" i="91"/>
  <c r="I162" i="91" s="1"/>
  <c r="F162" i="91"/>
  <c r="M161" i="91"/>
  <c r="N161" i="91" s="1"/>
  <c r="L161" i="91"/>
  <c r="I161" i="91"/>
  <c r="K160" i="91"/>
  <c r="K159" i="91" s="1"/>
  <c r="J160" i="91"/>
  <c r="L160" i="91" s="1"/>
  <c r="I160" i="91"/>
  <c r="M160" i="91" s="1"/>
  <c r="H160" i="91"/>
  <c r="H159" i="91" s="1"/>
  <c r="G160" i="91"/>
  <c r="F160" i="91"/>
  <c r="F159" i="91"/>
  <c r="L158" i="91"/>
  <c r="I158" i="91"/>
  <c r="K157" i="91"/>
  <c r="J157" i="91"/>
  <c r="L157" i="91" s="1"/>
  <c r="H157" i="91"/>
  <c r="G157" i="91"/>
  <c r="I157" i="91" s="1"/>
  <c r="F157" i="91"/>
  <c r="F156" i="91" s="1"/>
  <c r="H156" i="91"/>
  <c r="G156" i="91"/>
  <c r="I156" i="91" s="1"/>
  <c r="L155" i="91"/>
  <c r="I155" i="91"/>
  <c r="L154" i="91"/>
  <c r="I154" i="91"/>
  <c r="M154" i="91" s="1"/>
  <c r="N154" i="91" s="1"/>
  <c r="K153" i="91"/>
  <c r="K149" i="91" s="1"/>
  <c r="J153" i="91"/>
  <c r="H153" i="91"/>
  <c r="H149" i="91" s="1"/>
  <c r="G153" i="91"/>
  <c r="I153" i="91" s="1"/>
  <c r="F153" i="91"/>
  <c r="M152" i="91"/>
  <c r="N152" i="91" s="1"/>
  <c r="L152" i="91"/>
  <c r="I152" i="91"/>
  <c r="L151" i="91"/>
  <c r="I151" i="91"/>
  <c r="M151" i="91" s="1"/>
  <c r="N151" i="91" s="1"/>
  <c r="K150" i="91"/>
  <c r="J150" i="91"/>
  <c r="L150" i="91" s="1"/>
  <c r="H150" i="91"/>
  <c r="G150" i="91"/>
  <c r="I150" i="91" s="1"/>
  <c r="F150" i="91"/>
  <c r="F149" i="91" s="1"/>
  <c r="G149" i="91"/>
  <c r="I149" i="91" s="1"/>
  <c r="L146" i="91"/>
  <c r="M146" i="91" s="1"/>
  <c r="N146" i="91" s="1"/>
  <c r="I146" i="91"/>
  <c r="L145" i="91"/>
  <c r="I145" i="91"/>
  <c r="M145" i="91" s="1"/>
  <c r="N145" i="91" s="1"/>
  <c r="L144" i="91"/>
  <c r="I144" i="91"/>
  <c r="M144" i="91" s="1"/>
  <c r="N144" i="91" s="1"/>
  <c r="K143" i="91"/>
  <c r="K142" i="91" s="1"/>
  <c r="K141" i="91" s="1"/>
  <c r="K140" i="91" s="1"/>
  <c r="J143" i="91"/>
  <c r="L143" i="91" s="1"/>
  <c r="I143" i="91"/>
  <c r="H143" i="91"/>
  <c r="H142" i="91" s="1"/>
  <c r="H141" i="91" s="1"/>
  <c r="H140" i="91" s="1"/>
  <c r="G143" i="91"/>
  <c r="F143" i="91"/>
  <c r="F142" i="91" s="1"/>
  <c r="G142" i="91"/>
  <c r="I142" i="91" s="1"/>
  <c r="L136" i="91"/>
  <c r="I136" i="91"/>
  <c r="L135" i="91"/>
  <c r="I135" i="91"/>
  <c r="M135" i="91" s="1"/>
  <c r="N135" i="91" s="1"/>
  <c r="L134" i="91"/>
  <c r="I134" i="91"/>
  <c r="M134" i="91" s="1"/>
  <c r="N134" i="91" s="1"/>
  <c r="L133" i="91"/>
  <c r="I133" i="91"/>
  <c r="K132" i="91"/>
  <c r="K131" i="91" s="1"/>
  <c r="J132" i="91"/>
  <c r="J131" i="91" s="1"/>
  <c r="L131" i="91" s="1"/>
  <c r="H132" i="91"/>
  <c r="H131" i="91" s="1"/>
  <c r="G132" i="91"/>
  <c r="G131" i="91" s="1"/>
  <c r="F132" i="91"/>
  <c r="L130" i="91"/>
  <c r="I130" i="91"/>
  <c r="M130" i="91" s="1"/>
  <c r="N130" i="91" s="1"/>
  <c r="L129" i="91"/>
  <c r="I129" i="91"/>
  <c r="M129" i="91" s="1"/>
  <c r="N129" i="91" s="1"/>
  <c r="M128" i="91"/>
  <c r="N128" i="91" s="1"/>
  <c r="L128" i="91"/>
  <c r="I128" i="91"/>
  <c r="K127" i="91"/>
  <c r="J127" i="91"/>
  <c r="L127" i="91" s="1"/>
  <c r="H127" i="91"/>
  <c r="H126" i="91" s="1"/>
  <c r="G127" i="91"/>
  <c r="F127" i="91"/>
  <c r="F126" i="91" s="1"/>
  <c r="K126" i="91"/>
  <c r="L120" i="91"/>
  <c r="I120" i="91"/>
  <c r="M120" i="91" s="1"/>
  <c r="N120" i="91" s="1"/>
  <c r="L119" i="91"/>
  <c r="I119" i="91"/>
  <c r="L118" i="91"/>
  <c r="I118" i="91"/>
  <c r="M118" i="91" s="1"/>
  <c r="N118" i="91" s="1"/>
  <c r="K117" i="91"/>
  <c r="K116" i="91" s="1"/>
  <c r="K115" i="91" s="1"/>
  <c r="K114" i="91" s="1"/>
  <c r="J117" i="91"/>
  <c r="H117" i="91"/>
  <c r="H116" i="91" s="1"/>
  <c r="H115" i="91" s="1"/>
  <c r="H114" i="91" s="1"/>
  <c r="H113" i="91" s="1"/>
  <c r="G117" i="91"/>
  <c r="G116" i="91" s="1"/>
  <c r="F117" i="91"/>
  <c r="L112" i="91"/>
  <c r="I112" i="91"/>
  <c r="M112" i="91" s="1"/>
  <c r="N112" i="91" s="1"/>
  <c r="L111" i="91"/>
  <c r="I111" i="91"/>
  <c r="M111" i="91" s="1"/>
  <c r="N111" i="91" s="1"/>
  <c r="L110" i="91"/>
  <c r="I110" i="91"/>
  <c r="L109" i="91"/>
  <c r="I109" i="91"/>
  <c r="M109" i="91" s="1"/>
  <c r="N109" i="91" s="1"/>
  <c r="L108" i="91"/>
  <c r="I108" i="91"/>
  <c r="M108" i="91" s="1"/>
  <c r="N108" i="91" s="1"/>
  <c r="L107" i="91"/>
  <c r="I107" i="91"/>
  <c r="M107" i="91" s="1"/>
  <c r="N107" i="91" s="1"/>
  <c r="L106" i="91"/>
  <c r="I106" i="91"/>
  <c r="M106" i="91" s="1"/>
  <c r="N106" i="91" s="1"/>
  <c r="L105" i="91"/>
  <c r="I105" i="91"/>
  <c r="M105" i="91" s="1"/>
  <c r="N105" i="91" s="1"/>
  <c r="L104" i="91"/>
  <c r="I104" i="91"/>
  <c r="L103" i="91"/>
  <c r="I103" i="91"/>
  <c r="M103" i="91" s="1"/>
  <c r="N103" i="91" s="1"/>
  <c r="K102" i="91"/>
  <c r="K101" i="91" s="1"/>
  <c r="K95" i="91" s="1"/>
  <c r="J102" i="91"/>
  <c r="L102" i="91" s="1"/>
  <c r="H102" i="91"/>
  <c r="H101" i="91" s="1"/>
  <c r="G102" i="91"/>
  <c r="G101" i="91" s="1"/>
  <c r="F102" i="91"/>
  <c r="F101" i="91"/>
  <c r="L100" i="91"/>
  <c r="I100" i="91"/>
  <c r="M100" i="91" s="1"/>
  <c r="N100" i="91" s="1"/>
  <c r="H99" i="91"/>
  <c r="H83" i="91" s="1"/>
  <c r="G99" i="91"/>
  <c r="I99" i="91" s="1"/>
  <c r="F99" i="91"/>
  <c r="L98" i="91"/>
  <c r="I98" i="91"/>
  <c r="M98" i="91" s="1"/>
  <c r="N98" i="91" s="1"/>
  <c r="L97" i="91"/>
  <c r="I97" i="91"/>
  <c r="M97" i="91" s="1"/>
  <c r="N97" i="91" s="1"/>
  <c r="L96" i="91"/>
  <c r="I96" i="91"/>
  <c r="M96" i="91" s="1"/>
  <c r="N96" i="91" s="1"/>
  <c r="J95" i="91"/>
  <c r="H95" i="91"/>
  <c r="G95" i="91"/>
  <c r="F95" i="91"/>
  <c r="L94" i="91"/>
  <c r="I94" i="91"/>
  <c r="M94" i="91" s="1"/>
  <c r="N94" i="91" s="1"/>
  <c r="L93" i="91"/>
  <c r="I93" i="91"/>
  <c r="M93" i="91" s="1"/>
  <c r="N93" i="91" s="1"/>
  <c r="L92" i="91"/>
  <c r="I92" i="91"/>
  <c r="M92" i="91" s="1"/>
  <c r="N92" i="91" s="1"/>
  <c r="L91" i="91"/>
  <c r="I91" i="91"/>
  <c r="M91" i="91" s="1"/>
  <c r="N91" i="91" s="1"/>
  <c r="L90" i="91"/>
  <c r="I90" i="91"/>
  <c r="M90" i="91" s="1"/>
  <c r="N90" i="91" s="1"/>
  <c r="L89" i="91"/>
  <c r="I89" i="91"/>
  <c r="M89" i="91" s="1"/>
  <c r="N89" i="91" s="1"/>
  <c r="L88" i="91"/>
  <c r="I88" i="91"/>
  <c r="M88" i="91" s="1"/>
  <c r="N88" i="91" s="1"/>
  <c r="L87" i="91"/>
  <c r="I87" i="91"/>
  <c r="M87" i="91" s="1"/>
  <c r="N87" i="91" s="1"/>
  <c r="L86" i="91"/>
  <c r="I86" i="91"/>
  <c r="M86" i="91" s="1"/>
  <c r="N86" i="91" s="1"/>
  <c r="L85" i="91"/>
  <c r="I85" i="91"/>
  <c r="M85" i="91" s="1"/>
  <c r="N85" i="91" s="1"/>
  <c r="K84" i="91"/>
  <c r="L84" i="91" s="1"/>
  <c r="H84" i="91"/>
  <c r="G84" i="91"/>
  <c r="I84" i="91" s="1"/>
  <c r="F84" i="91"/>
  <c r="I82" i="91"/>
  <c r="M82" i="91" s="1"/>
  <c r="N82" i="91" s="1"/>
  <c r="K81" i="91"/>
  <c r="L81" i="91" s="1"/>
  <c r="I81" i="91"/>
  <c r="H81" i="91"/>
  <c r="G81" i="91"/>
  <c r="F81" i="91"/>
  <c r="I80" i="91"/>
  <c r="M80" i="91" s="1"/>
  <c r="N80" i="91" s="1"/>
  <c r="K79" i="91"/>
  <c r="L79" i="91" s="1"/>
  <c r="H79" i="91"/>
  <c r="H76" i="91" s="1"/>
  <c r="G79" i="91"/>
  <c r="F79" i="91"/>
  <c r="L78" i="91"/>
  <c r="I78" i="91"/>
  <c r="M78" i="91" s="1"/>
  <c r="N78" i="91" s="1"/>
  <c r="L77" i="91"/>
  <c r="K77" i="91"/>
  <c r="H77" i="91"/>
  <c r="I77" i="91" s="1"/>
  <c r="G77" i="91"/>
  <c r="F77" i="91"/>
  <c r="K76" i="91"/>
  <c r="L76" i="91" s="1"/>
  <c r="M75" i="91"/>
  <c r="N75" i="91" s="1"/>
  <c r="L75" i="91"/>
  <c r="I75" i="91"/>
  <c r="L74" i="91"/>
  <c r="K74" i="91"/>
  <c r="I74" i="91"/>
  <c r="M74" i="91" s="1"/>
  <c r="N74" i="91" s="1"/>
  <c r="H74" i="91"/>
  <c r="G74" i="91"/>
  <c r="F74" i="91"/>
  <c r="L73" i="91"/>
  <c r="I73" i="91"/>
  <c r="M73" i="91" s="1"/>
  <c r="N73" i="91" s="1"/>
  <c r="L72" i="91"/>
  <c r="K72" i="91"/>
  <c r="H72" i="91"/>
  <c r="G72" i="91"/>
  <c r="I72" i="91" s="1"/>
  <c r="F72" i="91"/>
  <c r="N71" i="91"/>
  <c r="L71" i="91"/>
  <c r="I71" i="91"/>
  <c r="M71" i="91" s="1"/>
  <c r="K70" i="91"/>
  <c r="L70" i="91" s="1"/>
  <c r="I70" i="91"/>
  <c r="M70" i="91" s="1"/>
  <c r="N70" i="91" s="1"/>
  <c r="H70" i="91"/>
  <c r="G70" i="91"/>
  <c r="F70" i="91"/>
  <c r="M69" i="91"/>
  <c r="N69" i="91" s="1"/>
  <c r="L69" i="91"/>
  <c r="I69" i="91"/>
  <c r="L68" i="91"/>
  <c r="K68" i="91"/>
  <c r="H68" i="91"/>
  <c r="G68" i="91"/>
  <c r="F68" i="91"/>
  <c r="L67" i="91"/>
  <c r="I67" i="91"/>
  <c r="M67" i="91" s="1"/>
  <c r="N67" i="91" s="1"/>
  <c r="L66" i="91"/>
  <c r="K66" i="91"/>
  <c r="H66" i="91"/>
  <c r="G66" i="91"/>
  <c r="I66" i="91" s="1"/>
  <c r="F66" i="91"/>
  <c r="L65" i="91"/>
  <c r="I65" i="91"/>
  <c r="M65" i="91" s="1"/>
  <c r="N65" i="91" s="1"/>
  <c r="K64" i="91"/>
  <c r="L64" i="91" s="1"/>
  <c r="I64" i="91"/>
  <c r="H64" i="91"/>
  <c r="G64" i="91"/>
  <c r="F64" i="91"/>
  <c r="M63" i="91"/>
  <c r="N63" i="91" s="1"/>
  <c r="L63" i="91"/>
  <c r="I63" i="91"/>
  <c r="L62" i="91"/>
  <c r="K62" i="91"/>
  <c r="H62" i="91"/>
  <c r="G62" i="91"/>
  <c r="I62" i="91" s="1"/>
  <c r="M62" i="91" s="1"/>
  <c r="N62" i="91" s="1"/>
  <c r="F62" i="91"/>
  <c r="L61" i="91"/>
  <c r="I61" i="91"/>
  <c r="M61" i="91" s="1"/>
  <c r="N61" i="91" s="1"/>
  <c r="L60" i="91"/>
  <c r="K60" i="91"/>
  <c r="H60" i="91"/>
  <c r="G60" i="91"/>
  <c r="I60" i="91" s="1"/>
  <c r="F60" i="91"/>
  <c r="L59" i="91"/>
  <c r="I59" i="91"/>
  <c r="M59" i="91" s="1"/>
  <c r="N59" i="91" s="1"/>
  <c r="K58" i="91"/>
  <c r="L58" i="91" s="1"/>
  <c r="I58" i="91"/>
  <c r="H58" i="91"/>
  <c r="G58" i="91"/>
  <c r="F58" i="91"/>
  <c r="M57" i="91"/>
  <c r="N57" i="91" s="1"/>
  <c r="L57" i="91"/>
  <c r="I57" i="91"/>
  <c r="K56" i="91"/>
  <c r="L56" i="91" s="1"/>
  <c r="H56" i="91"/>
  <c r="G56" i="91"/>
  <c r="I56" i="91" s="1"/>
  <c r="M56" i="91" s="1"/>
  <c r="N56" i="91" s="1"/>
  <c r="F56" i="91"/>
  <c r="L55" i="91"/>
  <c r="I55" i="91"/>
  <c r="M55" i="91" s="1"/>
  <c r="N55" i="91" s="1"/>
  <c r="L54" i="91"/>
  <c r="K54" i="91"/>
  <c r="H54" i="91"/>
  <c r="G54" i="91"/>
  <c r="I54" i="91" s="1"/>
  <c r="F54" i="91"/>
  <c r="L53" i="91"/>
  <c r="I53" i="91"/>
  <c r="M53" i="91" s="1"/>
  <c r="N53" i="91" s="1"/>
  <c r="L52" i="91"/>
  <c r="K52" i="91"/>
  <c r="I52" i="91"/>
  <c r="H52" i="91"/>
  <c r="G52" i="91"/>
  <c r="F52" i="91"/>
  <c r="F51" i="91" s="1"/>
  <c r="J48" i="91"/>
  <c r="L45" i="91"/>
  <c r="I45" i="91"/>
  <c r="M45" i="91" s="1"/>
  <c r="N45" i="91" s="1"/>
  <c r="L44" i="91"/>
  <c r="I44" i="91"/>
  <c r="K43" i="91"/>
  <c r="K42" i="91" s="1"/>
  <c r="J43" i="91"/>
  <c r="J42" i="91" s="1"/>
  <c r="H43" i="91"/>
  <c r="H42" i="91" s="1"/>
  <c r="G43" i="91"/>
  <c r="G42" i="91" s="1"/>
  <c r="F43" i="91"/>
  <c r="F42" i="91" s="1"/>
  <c r="L41" i="91"/>
  <c r="I41" i="91"/>
  <c r="M41" i="91" s="1"/>
  <c r="N41" i="91" s="1"/>
  <c r="M40" i="91"/>
  <c r="N40" i="91" s="1"/>
  <c r="L40" i="91"/>
  <c r="L39" i="91"/>
  <c r="M39" i="91" s="1"/>
  <c r="N39" i="91" s="1"/>
  <c r="L38" i="91"/>
  <c r="M38" i="91" s="1"/>
  <c r="N38" i="91" s="1"/>
  <c r="L37" i="91"/>
  <c r="I37" i="91"/>
  <c r="M37" i="91" s="1"/>
  <c r="N37" i="91" s="1"/>
  <c r="K36" i="91"/>
  <c r="K35" i="91" s="1"/>
  <c r="J36" i="91"/>
  <c r="L36" i="91" s="1"/>
  <c r="H36" i="91"/>
  <c r="G36" i="91"/>
  <c r="I36" i="91" s="1"/>
  <c r="M36" i="91" s="1"/>
  <c r="F36" i="91"/>
  <c r="H35" i="91"/>
  <c r="L31" i="91"/>
  <c r="I31" i="91"/>
  <c r="M31" i="91" s="1"/>
  <c r="N31" i="91" s="1"/>
  <c r="K30" i="91"/>
  <c r="K29" i="91" s="1"/>
  <c r="J30" i="91"/>
  <c r="H30" i="91"/>
  <c r="H29" i="91" s="1"/>
  <c r="G30" i="91"/>
  <c r="G29" i="91" s="1"/>
  <c r="F30" i="91"/>
  <c r="L28" i="91"/>
  <c r="M28" i="91" s="1"/>
  <c r="N28" i="91" s="1"/>
  <c r="M27" i="91"/>
  <c r="N27" i="91" s="1"/>
  <c r="L27" i="91"/>
  <c r="P26" i="91"/>
  <c r="L26" i="91"/>
  <c r="I26" i="91"/>
  <c r="M26" i="91" s="1"/>
  <c r="N26" i="91" s="1"/>
  <c r="M25" i="91"/>
  <c r="N25" i="91" s="1"/>
  <c r="L25" i="91"/>
  <c r="I25" i="91"/>
  <c r="L24" i="91"/>
  <c r="I24" i="91"/>
  <c r="M24" i="91" s="1"/>
  <c r="N24" i="91" s="1"/>
  <c r="L23" i="91"/>
  <c r="K23" i="91"/>
  <c r="J23" i="91"/>
  <c r="H23" i="91"/>
  <c r="H22" i="91" s="1"/>
  <c r="G23" i="91"/>
  <c r="F23" i="91"/>
  <c r="K22" i="91"/>
  <c r="J22" i="91"/>
  <c r="L22" i="91" s="1"/>
  <c r="T19" i="91"/>
  <c r="S19" i="91"/>
  <c r="U17" i="91"/>
  <c r="J116" i="91" l="1"/>
  <c r="L117" i="91"/>
  <c r="F22" i="91"/>
  <c r="N22" i="91" s="1"/>
  <c r="J29" i="91"/>
  <c r="L30" i="91"/>
  <c r="M44" i="91"/>
  <c r="N44" i="91" s="1"/>
  <c r="K51" i="91"/>
  <c r="L51" i="91" s="1"/>
  <c r="M54" i="91"/>
  <c r="N54" i="91" s="1"/>
  <c r="M58" i="91"/>
  <c r="N58" i="91" s="1"/>
  <c r="M60" i="91"/>
  <c r="N60" i="91" s="1"/>
  <c r="I68" i="91"/>
  <c r="M68" i="91" s="1"/>
  <c r="N68" i="91" s="1"/>
  <c r="G126" i="91"/>
  <c r="I126" i="91" s="1"/>
  <c r="I127" i="91"/>
  <c r="M127" i="91" s="1"/>
  <c r="N127" i="91" s="1"/>
  <c r="K184" i="91"/>
  <c r="H221" i="91"/>
  <c r="J291" i="91"/>
  <c r="L291" i="91" s="1"/>
  <c r="M226" i="91"/>
  <c r="I243" i="91"/>
  <c r="G242" i="91"/>
  <c r="G241" i="91" s="1"/>
  <c r="I241" i="91" s="1"/>
  <c r="J251" i="91"/>
  <c r="J250" i="91" s="1"/>
  <c r="J249" i="91" s="1"/>
  <c r="I323" i="91"/>
  <c r="G322" i="91"/>
  <c r="I322" i="91" s="1"/>
  <c r="L204" i="91"/>
  <c r="J203" i="91"/>
  <c r="J202" i="91" s="1"/>
  <c r="J201" i="91" s="1"/>
  <c r="J101" i="91"/>
  <c r="L101" i="91" s="1"/>
  <c r="I23" i="91"/>
  <c r="M23" i="91" s="1"/>
  <c r="N23" i="91" s="1"/>
  <c r="G22" i="91"/>
  <c r="J149" i="91"/>
  <c r="L153" i="91"/>
  <c r="H34" i="91"/>
  <c r="H33" i="91" s="1"/>
  <c r="H32" i="91" s="1"/>
  <c r="M72" i="91"/>
  <c r="N72" i="91" s="1"/>
  <c r="G51" i="91"/>
  <c r="G50" i="91" s="1"/>
  <c r="G49" i="91" s="1"/>
  <c r="M52" i="91"/>
  <c r="N52" i="91" s="1"/>
  <c r="M64" i="91"/>
  <c r="N64" i="91" s="1"/>
  <c r="M66" i="91"/>
  <c r="N66" i="91" s="1"/>
  <c r="M77" i="91"/>
  <c r="N77" i="91" s="1"/>
  <c r="I79" i="91"/>
  <c r="M79" i="91" s="1"/>
  <c r="N79" i="91" s="1"/>
  <c r="G76" i="91"/>
  <c r="I76" i="91" s="1"/>
  <c r="M76" i="91" s="1"/>
  <c r="F83" i="91"/>
  <c r="M104" i="91"/>
  <c r="N104" i="91" s="1"/>
  <c r="M110" i="91"/>
  <c r="N110" i="91" s="1"/>
  <c r="M143" i="91"/>
  <c r="N143" i="91" s="1"/>
  <c r="M153" i="91"/>
  <c r="N153" i="91" s="1"/>
  <c r="M155" i="91"/>
  <c r="N155" i="91" s="1"/>
  <c r="K21" i="91"/>
  <c r="K20" i="91" s="1"/>
  <c r="K19" i="91" s="1"/>
  <c r="K18" i="91" s="1"/>
  <c r="L43" i="91"/>
  <c r="K83" i="91"/>
  <c r="L95" i="91"/>
  <c r="I102" i="91"/>
  <c r="M102" i="91" s="1"/>
  <c r="N102" i="91" s="1"/>
  <c r="M119" i="91"/>
  <c r="N119" i="91" s="1"/>
  <c r="M133" i="91"/>
  <c r="N133" i="91" s="1"/>
  <c r="M136" i="91"/>
  <c r="N136" i="91" s="1"/>
  <c r="J156" i="91"/>
  <c r="M158" i="91"/>
  <c r="N158" i="91" s="1"/>
  <c r="J176" i="91"/>
  <c r="L176" i="91" s="1"/>
  <c r="K181" i="91"/>
  <c r="K180" i="91" s="1"/>
  <c r="G194" i="91"/>
  <c r="G186" i="91" s="1"/>
  <c r="M215" i="91"/>
  <c r="N215" i="91" s="1"/>
  <c r="G251" i="91"/>
  <c r="G250" i="91" s="1"/>
  <c r="G249" i="91" s="1"/>
  <c r="I249" i="91" s="1"/>
  <c r="I260" i="91"/>
  <c r="K263" i="91"/>
  <c r="K262" i="91" s="1"/>
  <c r="K258" i="91" s="1"/>
  <c r="K257" i="91" s="1"/>
  <c r="K256" i="91" s="1"/>
  <c r="K247" i="91" s="1"/>
  <c r="I273" i="91"/>
  <c r="I306" i="91"/>
  <c r="M308" i="91"/>
  <c r="N308" i="91" s="1"/>
  <c r="M342" i="91"/>
  <c r="N342" i="91" s="1"/>
  <c r="L347" i="91"/>
  <c r="M365" i="91"/>
  <c r="N365" i="91" s="1"/>
  <c r="L366" i="91"/>
  <c r="K406" i="91"/>
  <c r="L406" i="91" s="1"/>
  <c r="M341" i="92"/>
  <c r="N341" i="92" s="1"/>
  <c r="M251" i="92"/>
  <c r="N251" i="92" s="1"/>
  <c r="N101" i="92"/>
  <c r="J222" i="92"/>
  <c r="M177" i="92"/>
  <c r="N177" i="92" s="1"/>
  <c r="K353" i="91"/>
  <c r="K352" i="91" s="1"/>
  <c r="K350" i="91" s="1"/>
  <c r="I360" i="91"/>
  <c r="M360" i="91" s="1"/>
  <c r="H359" i="91"/>
  <c r="H358" i="91" s="1"/>
  <c r="H357" i="91" s="1"/>
  <c r="M390" i="91"/>
  <c r="M178" i="91"/>
  <c r="N178" i="91" s="1"/>
  <c r="H208" i="91"/>
  <c r="H207" i="91" s="1"/>
  <c r="L224" i="91"/>
  <c r="M224" i="91" s="1"/>
  <c r="N224" i="91" s="1"/>
  <c r="L235" i="91"/>
  <c r="M235" i="91" s="1"/>
  <c r="N235" i="91" s="1"/>
  <c r="I305" i="91"/>
  <c r="L354" i="91"/>
  <c r="L355" i="91"/>
  <c r="I364" i="91"/>
  <c r="M364" i="91" s="1"/>
  <c r="M388" i="91"/>
  <c r="I407" i="91"/>
  <c r="M407" i="91" s="1"/>
  <c r="J344" i="92"/>
  <c r="L344" i="92" s="1"/>
  <c r="M195" i="92"/>
  <c r="N195" i="92" s="1"/>
  <c r="J159" i="91"/>
  <c r="L159" i="91" s="1"/>
  <c r="M162" i="91"/>
  <c r="K223" i="91"/>
  <c r="K222" i="91" s="1"/>
  <c r="K221" i="91" s="1"/>
  <c r="K206" i="91" s="1"/>
  <c r="I262" i="91"/>
  <c r="M262" i="91" s="1"/>
  <c r="I266" i="91"/>
  <c r="G372" i="91"/>
  <c r="G371" i="91" s="1"/>
  <c r="G370" i="91" s="1"/>
  <c r="K377" i="91"/>
  <c r="K376" i="91" s="1"/>
  <c r="K375" i="91" s="1"/>
  <c r="I406" i="91"/>
  <c r="H298" i="92"/>
  <c r="G376" i="92"/>
  <c r="G375" i="92" s="1"/>
  <c r="I375" i="92" s="1"/>
  <c r="M176" i="92"/>
  <c r="N176" i="92" s="1"/>
  <c r="H51" i="91"/>
  <c r="I95" i="91"/>
  <c r="K125" i="91"/>
  <c r="K124" i="91" s="1"/>
  <c r="K123" i="91" s="1"/>
  <c r="K122" i="91" s="1"/>
  <c r="M179" i="91"/>
  <c r="N179" i="91" s="1"/>
  <c r="M200" i="91"/>
  <c r="N200" i="91" s="1"/>
  <c r="M214" i="91"/>
  <c r="N214" i="91" s="1"/>
  <c r="I235" i="91"/>
  <c r="I244" i="91"/>
  <c r="M261" i="91"/>
  <c r="N261" i="91" s="1"/>
  <c r="M266" i="91"/>
  <c r="N266" i="91" s="1"/>
  <c r="G281" i="91"/>
  <c r="M287" i="91"/>
  <c r="N287" i="91" s="1"/>
  <c r="J302" i="91"/>
  <c r="L302" i="91" s="1"/>
  <c r="M307" i="91"/>
  <c r="N307" i="91" s="1"/>
  <c r="G340" i="91"/>
  <c r="G339" i="91" s="1"/>
  <c r="G338" i="91" s="1"/>
  <c r="M356" i="91"/>
  <c r="N356" i="91" s="1"/>
  <c r="M366" i="91"/>
  <c r="N366" i="91" s="1"/>
  <c r="J378" i="91"/>
  <c r="M361" i="92"/>
  <c r="N361" i="92" s="1"/>
  <c r="I273" i="92"/>
  <c r="M273" i="92" s="1"/>
  <c r="N273" i="92" s="1"/>
  <c r="M223" i="92"/>
  <c r="N223" i="92" s="1"/>
  <c r="M243" i="92"/>
  <c r="N243" i="92" s="1"/>
  <c r="M84" i="91"/>
  <c r="N84" i="91" s="1"/>
  <c r="G83" i="91"/>
  <c r="I83" i="91" s="1"/>
  <c r="L132" i="91"/>
  <c r="K156" i="91"/>
  <c r="G159" i="91"/>
  <c r="G148" i="91" s="1"/>
  <c r="K175" i="91"/>
  <c r="K174" i="91" s="1"/>
  <c r="K173" i="91" s="1"/>
  <c r="G180" i="91"/>
  <c r="M204" i="91"/>
  <c r="J234" i="91"/>
  <c r="L262" i="91"/>
  <c r="M274" i="91"/>
  <c r="N274" i="91" s="1"/>
  <c r="J280" i="91"/>
  <c r="J279" i="91" s="1"/>
  <c r="H314" i="91"/>
  <c r="H313" i="91" s="1"/>
  <c r="H312" i="91" s="1"/>
  <c r="H298" i="91" s="1"/>
  <c r="M330" i="91"/>
  <c r="N330" i="91" s="1"/>
  <c r="L335" i="91"/>
  <c r="G346" i="91"/>
  <c r="M362" i="91"/>
  <c r="N362" i="91" s="1"/>
  <c r="I382" i="91"/>
  <c r="M389" i="91"/>
  <c r="M412" i="91"/>
  <c r="M310" i="92"/>
  <c r="N310" i="92" s="1"/>
  <c r="L346" i="92"/>
  <c r="L333" i="92"/>
  <c r="M209" i="92"/>
  <c r="N209" i="92" s="1"/>
  <c r="M99" i="92"/>
  <c r="N99" i="92" s="1"/>
  <c r="K138" i="92"/>
  <c r="G301" i="92"/>
  <c r="G300" i="92" s="1"/>
  <c r="I262" i="92"/>
  <c r="H50" i="92"/>
  <c r="H49" i="92" s="1"/>
  <c r="H48" i="92" s="1"/>
  <c r="H47" i="92" s="1"/>
  <c r="K301" i="92"/>
  <c r="K300" i="92" s="1"/>
  <c r="K299" i="92" s="1"/>
  <c r="M302" i="92"/>
  <c r="N302" i="92" s="1"/>
  <c r="M217" i="92"/>
  <c r="N217" i="92" s="1"/>
  <c r="J208" i="92"/>
  <c r="J207" i="92" s="1"/>
  <c r="M180" i="92"/>
  <c r="M181" i="92"/>
  <c r="N181" i="92" s="1"/>
  <c r="J34" i="92"/>
  <c r="M36" i="92"/>
  <c r="N36" i="92" s="1"/>
  <c r="M35" i="92"/>
  <c r="N35" i="92" s="1"/>
  <c r="M29" i="92"/>
  <c r="N29" i="92" s="1"/>
  <c r="F49" i="92"/>
  <c r="I364" i="92"/>
  <c r="M364" i="92" s="1"/>
  <c r="N364" i="92" s="1"/>
  <c r="H363" i="92"/>
  <c r="F376" i="92"/>
  <c r="J357" i="92"/>
  <c r="L357" i="92" s="1"/>
  <c r="L358" i="92"/>
  <c r="J331" i="92"/>
  <c r="L331" i="92" s="1"/>
  <c r="L332" i="92"/>
  <c r="G299" i="92"/>
  <c r="I300" i="92"/>
  <c r="G370" i="92"/>
  <c r="I371" i="92"/>
  <c r="M371" i="92" s="1"/>
  <c r="N371" i="92" s="1"/>
  <c r="F343" i="92"/>
  <c r="L280" i="92"/>
  <c r="M280" i="92" s="1"/>
  <c r="N280" i="92" s="1"/>
  <c r="J279" i="92"/>
  <c r="F208" i="92"/>
  <c r="F175" i="92"/>
  <c r="N180" i="92"/>
  <c r="F148" i="92"/>
  <c r="I83" i="92"/>
  <c r="M83" i="92" s="1"/>
  <c r="N83" i="92" s="1"/>
  <c r="G50" i="92"/>
  <c r="F256" i="92"/>
  <c r="F185" i="92"/>
  <c r="J21" i="92"/>
  <c r="L22" i="92"/>
  <c r="I22" i="92"/>
  <c r="M22" i="92" s="1"/>
  <c r="G21" i="92"/>
  <c r="I270" i="92"/>
  <c r="G269" i="92"/>
  <c r="I269" i="92" s="1"/>
  <c r="I34" i="92"/>
  <c r="G33" i="92"/>
  <c r="M335" i="92"/>
  <c r="N335" i="92" s="1"/>
  <c r="M354" i="92"/>
  <c r="N354" i="92" s="1"/>
  <c r="M272" i="92"/>
  <c r="N272" i="92" s="1"/>
  <c r="N156" i="92"/>
  <c r="M334" i="92"/>
  <c r="N334" i="92" s="1"/>
  <c r="M315" i="92"/>
  <c r="N315" i="92" s="1"/>
  <c r="M187" i="92"/>
  <c r="N187" i="92" s="1"/>
  <c r="M168" i="92"/>
  <c r="N168" i="92" s="1"/>
  <c r="F358" i="92"/>
  <c r="F278" i="92"/>
  <c r="L242" i="92"/>
  <c r="J241" i="92"/>
  <c r="J343" i="92"/>
  <c r="L343" i="92" s="1"/>
  <c r="F313" i="92"/>
  <c r="I226" i="92"/>
  <c r="M226" i="92" s="1"/>
  <c r="G222" i="92"/>
  <c r="G358" i="92"/>
  <c r="I333" i="92"/>
  <c r="M333" i="92" s="1"/>
  <c r="N333" i="92" s="1"/>
  <c r="G332" i="92"/>
  <c r="G313" i="92"/>
  <c r="I314" i="92"/>
  <c r="L199" i="92"/>
  <c r="J198" i="92"/>
  <c r="L198" i="92" s="1"/>
  <c r="F140" i="92"/>
  <c r="F124" i="92"/>
  <c r="I208" i="92"/>
  <c r="G207" i="92"/>
  <c r="I186" i="92"/>
  <c r="G185" i="92"/>
  <c r="L167" i="92"/>
  <c r="J166" i="92"/>
  <c r="G124" i="92"/>
  <c r="I125" i="92"/>
  <c r="I167" i="92"/>
  <c r="G166" i="92"/>
  <c r="M320" i="92"/>
  <c r="N320" i="92" s="1"/>
  <c r="K258" i="92"/>
  <c r="M346" i="92"/>
  <c r="N346" i="92" s="1"/>
  <c r="M210" i="92"/>
  <c r="N210" i="92" s="1"/>
  <c r="I271" i="92"/>
  <c r="M271" i="92" s="1"/>
  <c r="N271" i="92" s="1"/>
  <c r="I51" i="92"/>
  <c r="M51" i="92" s="1"/>
  <c r="N51" i="92" s="1"/>
  <c r="J269" i="92"/>
  <c r="L269" i="92" s="1"/>
  <c r="L270" i="92"/>
  <c r="J148" i="92"/>
  <c r="L149" i="92"/>
  <c r="J352" i="92"/>
  <c r="L353" i="92"/>
  <c r="I338" i="92"/>
  <c r="G337" i="92"/>
  <c r="I337" i="92" s="1"/>
  <c r="J312" i="92"/>
  <c r="N226" i="92"/>
  <c r="F222" i="92"/>
  <c r="F369" i="92"/>
  <c r="G344" i="92"/>
  <c r="I345" i="92"/>
  <c r="M345" i="92" s="1"/>
  <c r="N345" i="92" s="1"/>
  <c r="L339" i="92"/>
  <c r="M339" i="92" s="1"/>
  <c r="N339" i="92" s="1"/>
  <c r="J338" i="92"/>
  <c r="J300" i="92"/>
  <c r="L301" i="92"/>
  <c r="F167" i="92"/>
  <c r="F331" i="92"/>
  <c r="F300" i="92"/>
  <c r="G147" i="92"/>
  <c r="I147" i="92" s="1"/>
  <c r="I148" i="92"/>
  <c r="J185" i="92"/>
  <c r="L186" i="92"/>
  <c r="G174" i="92"/>
  <c r="I175" i="92"/>
  <c r="J125" i="92"/>
  <c r="L126" i="92"/>
  <c r="M126" i="92" s="1"/>
  <c r="N126" i="92" s="1"/>
  <c r="J114" i="92"/>
  <c r="L115" i="92"/>
  <c r="M115" i="92" s="1"/>
  <c r="N115" i="92" s="1"/>
  <c r="L175" i="92"/>
  <c r="J174" i="92"/>
  <c r="J141" i="92"/>
  <c r="L142" i="92"/>
  <c r="L323" i="92"/>
  <c r="M323" i="92" s="1"/>
  <c r="N323" i="92" s="1"/>
  <c r="I353" i="92"/>
  <c r="M262" i="92"/>
  <c r="N262" i="92" s="1"/>
  <c r="I263" i="92"/>
  <c r="M263" i="92" s="1"/>
  <c r="N263" i="92" s="1"/>
  <c r="K314" i="92"/>
  <c r="M292" i="92"/>
  <c r="N292" i="92" s="1"/>
  <c r="M252" i="92"/>
  <c r="N252" i="92" s="1"/>
  <c r="N216" i="92"/>
  <c r="I242" i="92"/>
  <c r="M242" i="92" s="1"/>
  <c r="N242" i="92" s="1"/>
  <c r="I258" i="92"/>
  <c r="G257" i="92"/>
  <c r="J248" i="92"/>
  <c r="L249" i="92"/>
  <c r="L370" i="92"/>
  <c r="J369" i="92"/>
  <c r="L369" i="92" s="1"/>
  <c r="G351" i="92"/>
  <c r="I352" i="92"/>
  <c r="F352" i="92"/>
  <c r="G249" i="92"/>
  <c r="I250" i="92"/>
  <c r="M250" i="92" s="1"/>
  <c r="N250" i="92" s="1"/>
  <c r="I241" i="92"/>
  <c r="G240" i="92"/>
  <c r="I234" i="92"/>
  <c r="M234" i="92" s="1"/>
  <c r="N234" i="92" s="1"/>
  <c r="G232" i="92"/>
  <c r="J376" i="92"/>
  <c r="L377" i="92"/>
  <c r="M377" i="92" s="1"/>
  <c r="N377" i="92" s="1"/>
  <c r="F338" i="92"/>
  <c r="G141" i="92"/>
  <c r="I142" i="92"/>
  <c r="I202" i="92"/>
  <c r="M202" i="92" s="1"/>
  <c r="N202" i="92" s="1"/>
  <c r="G201" i="92"/>
  <c r="L76" i="92"/>
  <c r="M76" i="92" s="1"/>
  <c r="K50" i="92"/>
  <c r="N22" i="92"/>
  <c r="F21" i="92"/>
  <c r="L359" i="92"/>
  <c r="I301" i="92"/>
  <c r="M372" i="92"/>
  <c r="N372" i="92" s="1"/>
  <c r="M169" i="92"/>
  <c r="N169" i="92" s="1"/>
  <c r="N76" i="92"/>
  <c r="M149" i="92"/>
  <c r="N149" i="92" s="1"/>
  <c r="H206" i="92"/>
  <c r="H138" i="92" s="1"/>
  <c r="K113" i="91"/>
  <c r="K99" i="91" s="1"/>
  <c r="L99" i="91" s="1"/>
  <c r="M99" i="91" s="1"/>
  <c r="N99" i="91" s="1"/>
  <c r="K47" i="91"/>
  <c r="F141" i="91"/>
  <c r="F175" i="91"/>
  <c r="L187" i="91"/>
  <c r="J186" i="91"/>
  <c r="L202" i="91"/>
  <c r="K34" i="91"/>
  <c r="K33" i="91" s="1"/>
  <c r="K32" i="91" s="1"/>
  <c r="L42" i="91"/>
  <c r="H21" i="91"/>
  <c r="H20" i="91" s="1"/>
  <c r="H19" i="91" s="1"/>
  <c r="H18" i="91" s="1"/>
  <c r="I131" i="91"/>
  <c r="M131" i="91" s="1"/>
  <c r="I22" i="91"/>
  <c r="M22" i="91" s="1"/>
  <c r="L29" i="91"/>
  <c r="I42" i="91"/>
  <c r="M42" i="91" s="1"/>
  <c r="I101" i="91"/>
  <c r="H125" i="91"/>
  <c r="H124" i="91" s="1"/>
  <c r="H123" i="91" s="1"/>
  <c r="H122" i="91" s="1"/>
  <c r="K148" i="91"/>
  <c r="K147" i="91" s="1"/>
  <c r="K139" i="91" s="1"/>
  <c r="M150" i="91"/>
  <c r="N150" i="91" s="1"/>
  <c r="M157" i="91"/>
  <c r="N157" i="91" s="1"/>
  <c r="N160" i="91"/>
  <c r="I176" i="91"/>
  <c r="M176" i="91" s="1"/>
  <c r="N176" i="91" s="1"/>
  <c r="H186" i="91"/>
  <c r="H185" i="91" s="1"/>
  <c r="H184" i="91" s="1"/>
  <c r="I194" i="91"/>
  <c r="M194" i="91" s="1"/>
  <c r="I212" i="91"/>
  <c r="M212" i="91" s="1"/>
  <c r="N212" i="91" s="1"/>
  <c r="L116" i="91"/>
  <c r="J115" i="91"/>
  <c r="J175" i="91"/>
  <c r="L180" i="91"/>
  <c r="M169" i="91"/>
  <c r="N169" i="91" s="1"/>
  <c r="N194" i="91"/>
  <c r="I187" i="91"/>
  <c r="N36" i="91"/>
  <c r="N162" i="91"/>
  <c r="M195" i="91"/>
  <c r="N195" i="91" s="1"/>
  <c r="N204" i="91"/>
  <c r="L207" i="91"/>
  <c r="M227" i="91"/>
  <c r="N227" i="91" s="1"/>
  <c r="H50" i="91"/>
  <c r="H49" i="91" s="1"/>
  <c r="H48" i="91" s="1"/>
  <c r="H47" i="91" s="1"/>
  <c r="F167" i="91"/>
  <c r="I116" i="91"/>
  <c r="G115" i="91"/>
  <c r="F148" i="91"/>
  <c r="L168" i="91"/>
  <c r="J167" i="91"/>
  <c r="N42" i="91"/>
  <c r="I29" i="91"/>
  <c r="M81" i="91"/>
  <c r="N81" i="91" s="1"/>
  <c r="H148" i="91"/>
  <c r="H147" i="91" s="1"/>
  <c r="H139" i="91" s="1"/>
  <c r="I159" i="91"/>
  <c r="M159" i="91" s="1"/>
  <c r="N159" i="91" s="1"/>
  <c r="I302" i="91"/>
  <c r="M302" i="91" s="1"/>
  <c r="L340" i="91"/>
  <c r="J339" i="91"/>
  <c r="L345" i="91"/>
  <c r="J344" i="91"/>
  <c r="L352" i="91"/>
  <c r="J351" i="91"/>
  <c r="I354" i="91"/>
  <c r="M354" i="91" s="1"/>
  <c r="G353" i="91"/>
  <c r="F370" i="91"/>
  <c r="I378" i="91"/>
  <c r="G377" i="91"/>
  <c r="G35" i="91"/>
  <c r="G21" i="91"/>
  <c r="F35" i="91"/>
  <c r="J35" i="91"/>
  <c r="J21" i="91"/>
  <c r="F29" i="91"/>
  <c r="F21" i="91" s="1"/>
  <c r="I30" i="91"/>
  <c r="M30" i="91" s="1"/>
  <c r="N30" i="91" s="1"/>
  <c r="I43" i="91"/>
  <c r="F76" i="91"/>
  <c r="F116" i="91"/>
  <c r="I117" i="91"/>
  <c r="M117" i="91" s="1"/>
  <c r="N117" i="91" s="1"/>
  <c r="F131" i="91"/>
  <c r="I132" i="91"/>
  <c r="M132" i="91" s="1"/>
  <c r="N132" i="91" s="1"/>
  <c r="L149" i="91"/>
  <c r="M149" i="91" s="1"/>
  <c r="N149" i="91" s="1"/>
  <c r="L169" i="91"/>
  <c r="L181" i="91"/>
  <c r="M181" i="91" s="1"/>
  <c r="N181" i="91" s="1"/>
  <c r="F187" i="91"/>
  <c r="I188" i="91"/>
  <c r="F198" i="91"/>
  <c r="G203" i="91"/>
  <c r="L203" i="91"/>
  <c r="G208" i="91"/>
  <c r="L208" i="91"/>
  <c r="I210" i="91"/>
  <c r="M210" i="91" s="1"/>
  <c r="N210" i="91" s="1"/>
  <c r="L216" i="91"/>
  <c r="M216" i="91" s="1"/>
  <c r="N216" i="91" s="1"/>
  <c r="J222" i="91"/>
  <c r="G223" i="91"/>
  <c r="F226" i="91"/>
  <c r="N226" i="91" s="1"/>
  <c r="F234" i="91"/>
  <c r="L236" i="91"/>
  <c r="M244" i="91"/>
  <c r="N244" i="91" s="1"/>
  <c r="G258" i="91"/>
  <c r="I272" i="91"/>
  <c r="M282" i="91"/>
  <c r="I291" i="91"/>
  <c r="M291" i="91" s="1"/>
  <c r="N291" i="91" s="1"/>
  <c r="M316" i="91"/>
  <c r="N316" i="91" s="1"/>
  <c r="I363" i="91"/>
  <c r="N373" i="91"/>
  <c r="F242" i="91"/>
  <c r="F249" i="91"/>
  <c r="F270" i="91"/>
  <c r="F301" i="91"/>
  <c r="L310" i="91"/>
  <c r="K309" i="91"/>
  <c r="K301" i="91" s="1"/>
  <c r="K300" i="91" s="1"/>
  <c r="K299" i="91" s="1"/>
  <c r="J313" i="91"/>
  <c r="G314" i="91"/>
  <c r="I319" i="91"/>
  <c r="I334" i="91"/>
  <c r="G333" i="91"/>
  <c r="F351" i="91"/>
  <c r="K351" i="91"/>
  <c r="I177" i="91"/>
  <c r="M177" i="91" s="1"/>
  <c r="N177" i="91" s="1"/>
  <c r="L188" i="91"/>
  <c r="F203" i="91"/>
  <c r="I217" i="91"/>
  <c r="M217" i="91" s="1"/>
  <c r="N217" i="91" s="1"/>
  <c r="L234" i="91"/>
  <c r="M310" i="91"/>
  <c r="N310" i="91" s="1"/>
  <c r="N364" i="91"/>
  <c r="J243" i="91"/>
  <c r="L244" i="91"/>
  <c r="L259" i="91"/>
  <c r="J258" i="91"/>
  <c r="J301" i="91"/>
  <c r="L305" i="91"/>
  <c r="M305" i="91" s="1"/>
  <c r="N305" i="91" s="1"/>
  <c r="F344" i="91"/>
  <c r="I370" i="91"/>
  <c r="G369" i="91"/>
  <c r="I369" i="91" s="1"/>
  <c r="L371" i="91"/>
  <c r="J370" i="91"/>
  <c r="F377" i="91"/>
  <c r="G125" i="91"/>
  <c r="J126" i="91"/>
  <c r="G141" i="91"/>
  <c r="J142" i="91"/>
  <c r="G168" i="91"/>
  <c r="M252" i="91"/>
  <c r="N252" i="91" s="1"/>
  <c r="M268" i="91"/>
  <c r="N268" i="91" s="1"/>
  <c r="M273" i="91"/>
  <c r="N273" i="91" s="1"/>
  <c r="M292" i="91"/>
  <c r="N292" i="91" s="1"/>
  <c r="L378" i="91"/>
  <c r="G248" i="91"/>
  <c r="I270" i="91"/>
  <c r="G269" i="91"/>
  <c r="I269" i="91" s="1"/>
  <c r="L271" i="91"/>
  <c r="J270" i="91"/>
  <c r="F279" i="91"/>
  <c r="F339" i="91"/>
  <c r="J377" i="91"/>
  <c r="L381" i="91"/>
  <c r="M381" i="91" s="1"/>
  <c r="N381" i="91" s="1"/>
  <c r="L209" i="91"/>
  <c r="M209" i="91" s="1"/>
  <c r="N209" i="91" s="1"/>
  <c r="I213" i="91"/>
  <c r="M213" i="91" s="1"/>
  <c r="N213" i="91" s="1"/>
  <c r="L213" i="91"/>
  <c r="M225" i="91"/>
  <c r="N225" i="91" s="1"/>
  <c r="J232" i="91"/>
  <c r="M233" i="91"/>
  <c r="N233" i="91" s="1"/>
  <c r="G234" i="91"/>
  <c r="I236" i="91"/>
  <c r="H247" i="91"/>
  <c r="N282" i="91"/>
  <c r="N302" i="91"/>
  <c r="L319" i="91"/>
  <c r="M347" i="91"/>
  <c r="N347" i="91" s="1"/>
  <c r="N354" i="91"/>
  <c r="H350" i="91"/>
  <c r="J359" i="91"/>
  <c r="I372" i="91"/>
  <c r="M410" i="91"/>
  <c r="I250" i="91"/>
  <c r="I259" i="91"/>
  <c r="L260" i="91"/>
  <c r="M260" i="91" s="1"/>
  <c r="N260" i="91" s="1"/>
  <c r="F262" i="91"/>
  <c r="I263" i="91"/>
  <c r="I271" i="91"/>
  <c r="L272" i="91"/>
  <c r="L281" i="91"/>
  <c r="L306" i="91"/>
  <c r="M306" i="91" s="1"/>
  <c r="N306" i="91" s="1"/>
  <c r="G309" i="91"/>
  <c r="I309" i="91" s="1"/>
  <c r="L315" i="91"/>
  <c r="M315" i="91" s="1"/>
  <c r="N315" i="91" s="1"/>
  <c r="F319" i="91"/>
  <c r="I320" i="91"/>
  <c r="F334" i="91"/>
  <c r="J334" i="91"/>
  <c r="I335" i="91"/>
  <c r="M335" i="91" s="1"/>
  <c r="N335" i="91" s="1"/>
  <c r="I340" i="91"/>
  <c r="M340" i="91" s="1"/>
  <c r="N340" i="91" s="1"/>
  <c r="L341" i="91"/>
  <c r="M341" i="91" s="1"/>
  <c r="N341" i="91" s="1"/>
  <c r="L346" i="91"/>
  <c r="L353" i="91"/>
  <c r="G359" i="91"/>
  <c r="F360" i="91"/>
  <c r="I361" i="91"/>
  <c r="L363" i="91"/>
  <c r="I371" i="91"/>
  <c r="L372" i="91"/>
  <c r="L382" i="91"/>
  <c r="M382" i="91" s="1"/>
  <c r="N382" i="91" s="1"/>
  <c r="L263" i="91"/>
  <c r="I303" i="91"/>
  <c r="M303" i="91" s="1"/>
  <c r="N303" i="91" s="1"/>
  <c r="L311" i="91"/>
  <c r="M311" i="91" s="1"/>
  <c r="N311" i="91" s="1"/>
  <c r="L320" i="91"/>
  <c r="K323" i="91"/>
  <c r="K322" i="91" s="1"/>
  <c r="K314" i="91" s="1"/>
  <c r="I355" i="91"/>
  <c r="M355" i="91" s="1"/>
  <c r="N355" i="91" s="1"/>
  <c r="F359" i="91"/>
  <c r="L361" i="91"/>
  <c r="I379" i="91"/>
  <c r="M379" i="91" s="1"/>
  <c r="N379" i="91" s="1"/>
  <c r="H387" i="91"/>
  <c r="I387" i="91" s="1"/>
  <c r="M387" i="91" s="1"/>
  <c r="K50" i="91" l="1"/>
  <c r="L83" i="91"/>
  <c r="L251" i="91"/>
  <c r="L250" i="91"/>
  <c r="I339" i="91"/>
  <c r="L280" i="91"/>
  <c r="M188" i="91"/>
  <c r="N188" i="91" s="1"/>
  <c r="M187" i="91"/>
  <c r="M353" i="92"/>
  <c r="N353" i="92" s="1"/>
  <c r="M270" i="92"/>
  <c r="N270" i="92" s="1"/>
  <c r="M83" i="91"/>
  <c r="N83" i="91" s="1"/>
  <c r="N360" i="91"/>
  <c r="I376" i="92"/>
  <c r="M372" i="91"/>
  <c r="N372" i="91" s="1"/>
  <c r="M378" i="91"/>
  <c r="N378" i="91" s="1"/>
  <c r="M406" i="91"/>
  <c r="I242" i="91"/>
  <c r="I51" i="91"/>
  <c r="M51" i="91" s="1"/>
  <c r="N51" i="91" s="1"/>
  <c r="I50" i="91"/>
  <c r="I346" i="91"/>
  <c r="M346" i="91" s="1"/>
  <c r="N346" i="91" s="1"/>
  <c r="G345" i="91"/>
  <c r="L156" i="91"/>
  <c r="M156" i="91" s="1"/>
  <c r="N156" i="91" s="1"/>
  <c r="M95" i="91"/>
  <c r="N95" i="91" s="1"/>
  <c r="H206" i="91"/>
  <c r="H138" i="91" s="1"/>
  <c r="H17" i="91" s="1"/>
  <c r="M250" i="91"/>
  <c r="N250" i="91" s="1"/>
  <c r="I180" i="91"/>
  <c r="M180" i="91" s="1"/>
  <c r="N180" i="91" s="1"/>
  <c r="G175" i="91"/>
  <c r="I281" i="91"/>
  <c r="M281" i="91" s="1"/>
  <c r="N281" i="91" s="1"/>
  <c r="G280" i="91"/>
  <c r="I251" i="91"/>
  <c r="M251" i="91" s="1"/>
  <c r="N251" i="91" s="1"/>
  <c r="N262" i="91"/>
  <c r="K138" i="91"/>
  <c r="G240" i="91"/>
  <c r="F222" i="91"/>
  <c r="M319" i="91"/>
  <c r="M43" i="91"/>
  <c r="N43" i="91" s="1"/>
  <c r="M101" i="91"/>
  <c r="N101" i="91" s="1"/>
  <c r="M301" i="92"/>
  <c r="N301" i="92" s="1"/>
  <c r="L222" i="92"/>
  <c r="J221" i="92"/>
  <c r="L221" i="92" s="1"/>
  <c r="L223" i="91"/>
  <c r="J148" i="91"/>
  <c r="J147" i="91" s="1"/>
  <c r="L208" i="92"/>
  <c r="L34" i="92"/>
  <c r="M34" i="92" s="1"/>
  <c r="N34" i="92" s="1"/>
  <c r="J33" i="92"/>
  <c r="F20" i="92"/>
  <c r="G199" i="92"/>
  <c r="I201" i="92"/>
  <c r="M201" i="92" s="1"/>
  <c r="N201" i="92" s="1"/>
  <c r="I174" i="92"/>
  <c r="G173" i="92"/>
  <c r="I173" i="92" s="1"/>
  <c r="G140" i="92"/>
  <c r="I141" i="92"/>
  <c r="L376" i="92"/>
  <c r="J375" i="92"/>
  <c r="L375" i="92" s="1"/>
  <c r="F351" i="92"/>
  <c r="K313" i="92"/>
  <c r="L314" i="92"/>
  <c r="M314" i="92" s="1"/>
  <c r="N314" i="92" s="1"/>
  <c r="L174" i="92"/>
  <c r="J173" i="92"/>
  <c r="L173" i="92" s="1"/>
  <c r="G123" i="92"/>
  <c r="I124" i="92"/>
  <c r="F247" i="92"/>
  <c r="F147" i="92"/>
  <c r="F139" i="92" s="1"/>
  <c r="H359" i="92"/>
  <c r="I363" i="92"/>
  <c r="M363" i="92" s="1"/>
  <c r="N363" i="92" s="1"/>
  <c r="F48" i="92"/>
  <c r="M175" i="92"/>
  <c r="N175" i="92" s="1"/>
  <c r="M376" i="92"/>
  <c r="N376" i="92" s="1"/>
  <c r="M167" i="92"/>
  <c r="N167" i="92" s="1"/>
  <c r="M186" i="92"/>
  <c r="N186" i="92" s="1"/>
  <c r="M269" i="92"/>
  <c r="N269" i="92" s="1"/>
  <c r="K49" i="92"/>
  <c r="L50" i="92"/>
  <c r="I240" i="92"/>
  <c r="G239" i="92"/>
  <c r="I239" i="92" s="1"/>
  <c r="G256" i="92"/>
  <c r="I256" i="92" s="1"/>
  <c r="I257" i="92"/>
  <c r="J140" i="92"/>
  <c r="L141" i="92"/>
  <c r="L125" i="92"/>
  <c r="M125" i="92" s="1"/>
  <c r="N125" i="92" s="1"/>
  <c r="J124" i="92"/>
  <c r="L185" i="92"/>
  <c r="J184" i="92"/>
  <c r="L184" i="92" s="1"/>
  <c r="F299" i="92"/>
  <c r="F166" i="92"/>
  <c r="J147" i="92"/>
  <c r="L147" i="92" s="1"/>
  <c r="L148" i="92"/>
  <c r="M148" i="92" s="1"/>
  <c r="N148" i="92" s="1"/>
  <c r="I166" i="92"/>
  <c r="G165" i="92"/>
  <c r="I165" i="92" s="1"/>
  <c r="G184" i="92"/>
  <c r="I184" i="92" s="1"/>
  <c r="M184" i="92" s="1"/>
  <c r="I185" i="92"/>
  <c r="F123" i="92"/>
  <c r="I332" i="92"/>
  <c r="M332" i="92" s="1"/>
  <c r="N332" i="92" s="1"/>
  <c r="G331" i="92"/>
  <c r="I331" i="92" s="1"/>
  <c r="M331" i="92" s="1"/>
  <c r="N331" i="92" s="1"/>
  <c r="I222" i="92"/>
  <c r="G221" i="92"/>
  <c r="I221" i="92" s="1"/>
  <c r="M221" i="92" s="1"/>
  <c r="F184" i="92"/>
  <c r="F174" i="92"/>
  <c r="I370" i="92"/>
  <c r="M370" i="92" s="1"/>
  <c r="N370" i="92" s="1"/>
  <c r="G369" i="92"/>
  <c r="I369" i="92" s="1"/>
  <c r="M369" i="92" s="1"/>
  <c r="N369" i="92" s="1"/>
  <c r="F375" i="92"/>
  <c r="M142" i="92"/>
  <c r="N142" i="92" s="1"/>
  <c r="F337" i="92"/>
  <c r="I249" i="92"/>
  <c r="M249" i="92" s="1"/>
  <c r="N249" i="92" s="1"/>
  <c r="G248" i="92"/>
  <c r="I351" i="92"/>
  <c r="L248" i="92"/>
  <c r="L338" i="92"/>
  <c r="M338" i="92" s="1"/>
  <c r="N338" i="92" s="1"/>
  <c r="J337" i="92"/>
  <c r="L337" i="92" s="1"/>
  <c r="F221" i="92"/>
  <c r="I313" i="92"/>
  <c r="G312" i="92"/>
  <c r="I312" i="92" s="1"/>
  <c r="F357" i="92"/>
  <c r="I33" i="92"/>
  <c r="G32" i="92"/>
  <c r="I32" i="92" s="1"/>
  <c r="G20" i="92"/>
  <c r="I21" i="92"/>
  <c r="I50" i="92"/>
  <c r="M50" i="92" s="1"/>
  <c r="N50" i="92" s="1"/>
  <c r="G49" i="92"/>
  <c r="J278" i="92"/>
  <c r="L278" i="92" s="1"/>
  <c r="M278" i="92" s="1"/>
  <c r="N278" i="92" s="1"/>
  <c r="L279" i="92"/>
  <c r="M279" i="92" s="1"/>
  <c r="N279" i="92" s="1"/>
  <c r="M337" i="92"/>
  <c r="M208" i="92"/>
  <c r="N208" i="92" s="1"/>
  <c r="G231" i="92"/>
  <c r="I231" i="92" s="1"/>
  <c r="M231" i="92" s="1"/>
  <c r="N231" i="92" s="1"/>
  <c r="I232" i="92"/>
  <c r="M232" i="92" s="1"/>
  <c r="N232" i="92" s="1"/>
  <c r="J113" i="92"/>
  <c r="L113" i="92" s="1"/>
  <c r="M113" i="92" s="1"/>
  <c r="N113" i="92" s="1"/>
  <c r="L114" i="92"/>
  <c r="M114" i="92" s="1"/>
  <c r="N114" i="92" s="1"/>
  <c r="J47" i="92"/>
  <c r="L47" i="92" s="1"/>
  <c r="L300" i="92"/>
  <c r="M300" i="92" s="1"/>
  <c r="N300" i="92" s="1"/>
  <c r="J299" i="92"/>
  <c r="I344" i="92"/>
  <c r="M344" i="92" s="1"/>
  <c r="N344" i="92" s="1"/>
  <c r="G343" i="92"/>
  <c r="I343" i="92" s="1"/>
  <c r="M343" i="92" s="1"/>
  <c r="N343" i="92" s="1"/>
  <c r="L352" i="92"/>
  <c r="M352" i="92" s="1"/>
  <c r="N352" i="92" s="1"/>
  <c r="J351" i="92"/>
  <c r="K257" i="92"/>
  <c r="L258" i="92"/>
  <c r="M258" i="92" s="1"/>
  <c r="N258" i="92" s="1"/>
  <c r="J206" i="92"/>
  <c r="L206" i="92" s="1"/>
  <c r="L207" i="92"/>
  <c r="J165" i="92"/>
  <c r="L165" i="92" s="1"/>
  <c r="L166" i="92"/>
  <c r="I207" i="92"/>
  <c r="G357" i="92"/>
  <c r="F312" i="92"/>
  <c r="L241" i="92"/>
  <c r="M241" i="92" s="1"/>
  <c r="N241" i="92" s="1"/>
  <c r="J240" i="92"/>
  <c r="L21" i="92"/>
  <c r="J20" i="92"/>
  <c r="F207" i="92"/>
  <c r="I299" i="92"/>
  <c r="M147" i="92"/>
  <c r="M375" i="92"/>
  <c r="F20" i="91"/>
  <c r="K313" i="91"/>
  <c r="K312" i="91" s="1"/>
  <c r="K298" i="91" s="1"/>
  <c r="K17" i="91" s="1"/>
  <c r="K386" i="91" s="1"/>
  <c r="K405" i="91" s="1"/>
  <c r="L314" i="91"/>
  <c r="G124" i="91"/>
  <c r="I125" i="91"/>
  <c r="J300" i="91"/>
  <c r="L301" i="91"/>
  <c r="L243" i="91"/>
  <c r="M243" i="91" s="1"/>
  <c r="N243" i="91" s="1"/>
  <c r="J242" i="91"/>
  <c r="N203" i="91"/>
  <c r="F202" i="91"/>
  <c r="F248" i="91"/>
  <c r="I359" i="91"/>
  <c r="G358" i="91"/>
  <c r="F358" i="91"/>
  <c r="L334" i="91"/>
  <c r="J333" i="91"/>
  <c r="F221" i="91"/>
  <c r="F338" i="91"/>
  <c r="L270" i="91"/>
  <c r="J269" i="91"/>
  <c r="L269" i="91" s="1"/>
  <c r="M269" i="91" s="1"/>
  <c r="L249" i="91"/>
  <c r="M249" i="91" s="1"/>
  <c r="N249" i="91" s="1"/>
  <c r="J248" i="91"/>
  <c r="G167" i="91"/>
  <c r="I168" i="91"/>
  <c r="M168" i="91" s="1"/>
  <c r="N168" i="91" s="1"/>
  <c r="G140" i="91"/>
  <c r="I141" i="91"/>
  <c r="I333" i="91"/>
  <c r="G332" i="91"/>
  <c r="J312" i="91"/>
  <c r="F300" i="91"/>
  <c r="F241" i="91"/>
  <c r="I208" i="91"/>
  <c r="M208" i="91" s="1"/>
  <c r="N208" i="91" s="1"/>
  <c r="G207" i="91"/>
  <c r="L186" i="91"/>
  <c r="J185" i="91"/>
  <c r="L359" i="91"/>
  <c r="J358" i="91"/>
  <c r="J376" i="91"/>
  <c r="L377" i="91"/>
  <c r="J141" i="91"/>
  <c r="L142" i="91"/>
  <c r="M142" i="91" s="1"/>
  <c r="N142" i="91" s="1"/>
  <c r="F376" i="91"/>
  <c r="I338" i="91"/>
  <c r="G337" i="91"/>
  <c r="I337" i="91" s="1"/>
  <c r="L258" i="91"/>
  <c r="J257" i="91"/>
  <c r="G313" i="91"/>
  <c r="I314" i="91"/>
  <c r="I258" i="91"/>
  <c r="M258" i="91" s="1"/>
  <c r="G257" i="91"/>
  <c r="L222" i="91"/>
  <c r="J221" i="91"/>
  <c r="F125" i="91"/>
  <c r="N131" i="91"/>
  <c r="G20" i="91"/>
  <c r="I21" i="91"/>
  <c r="F369" i="91"/>
  <c r="L351" i="91"/>
  <c r="L167" i="91"/>
  <c r="J166" i="91"/>
  <c r="I115" i="91"/>
  <c r="M115" i="91" s="1"/>
  <c r="G114" i="91"/>
  <c r="I49" i="91"/>
  <c r="G48" i="91"/>
  <c r="L323" i="91"/>
  <c r="M323" i="91" s="1"/>
  <c r="N323" i="91" s="1"/>
  <c r="N319" i="91"/>
  <c r="M263" i="91"/>
  <c r="N263" i="91" s="1"/>
  <c r="L322" i="91"/>
  <c r="M322" i="91" s="1"/>
  <c r="N322" i="91" s="1"/>
  <c r="L309" i="91"/>
  <c r="M370" i="91"/>
  <c r="N370" i="91" s="1"/>
  <c r="F258" i="91"/>
  <c r="M272" i="91"/>
  <c r="N272" i="91" s="1"/>
  <c r="M29" i="91"/>
  <c r="M116" i="91"/>
  <c r="M361" i="91"/>
  <c r="N361" i="91" s="1"/>
  <c r="M320" i="91"/>
  <c r="N320" i="91" s="1"/>
  <c r="M271" i="91"/>
  <c r="N271" i="91" s="1"/>
  <c r="M259" i="91"/>
  <c r="N259" i="91" s="1"/>
  <c r="F314" i="91"/>
  <c r="M236" i="91"/>
  <c r="N236" i="91" s="1"/>
  <c r="M270" i="91"/>
  <c r="N270" i="91" s="1"/>
  <c r="M363" i="91"/>
  <c r="N363" i="91" s="1"/>
  <c r="G301" i="91"/>
  <c r="L147" i="91"/>
  <c r="J231" i="91"/>
  <c r="L231" i="91" s="1"/>
  <c r="L232" i="91"/>
  <c r="L279" i="91"/>
  <c r="J278" i="91"/>
  <c r="L278" i="91" s="1"/>
  <c r="G222" i="91"/>
  <c r="I223" i="91"/>
  <c r="M223" i="91" s="1"/>
  <c r="N223" i="91" s="1"/>
  <c r="I203" i="91"/>
  <c r="M203" i="91" s="1"/>
  <c r="G202" i="91"/>
  <c r="N76" i="91"/>
  <c r="F50" i="91"/>
  <c r="J20" i="91"/>
  <c r="L21" i="91"/>
  <c r="F147" i="91"/>
  <c r="J174" i="91"/>
  <c r="L175" i="91"/>
  <c r="J199" i="91"/>
  <c r="L201" i="91"/>
  <c r="F174" i="91"/>
  <c r="I240" i="91"/>
  <c r="G239" i="91"/>
  <c r="I239" i="91" s="1"/>
  <c r="F269" i="91"/>
  <c r="L370" i="91"/>
  <c r="J369" i="91"/>
  <c r="L369" i="91" s="1"/>
  <c r="M369" i="91" s="1"/>
  <c r="F343" i="91"/>
  <c r="F186" i="91"/>
  <c r="N187" i="91"/>
  <c r="F115" i="91"/>
  <c r="N116" i="91"/>
  <c r="L35" i="91"/>
  <c r="J34" i="91"/>
  <c r="I377" i="91"/>
  <c r="G376" i="91"/>
  <c r="I353" i="91"/>
  <c r="M353" i="91" s="1"/>
  <c r="N353" i="91" s="1"/>
  <c r="G352" i="91"/>
  <c r="L344" i="91"/>
  <c r="J343" i="91"/>
  <c r="L343" i="91" s="1"/>
  <c r="L339" i="91"/>
  <c r="M339" i="91" s="1"/>
  <c r="N339" i="91" s="1"/>
  <c r="J338" i="91"/>
  <c r="F166" i="91"/>
  <c r="I186" i="91"/>
  <c r="M186" i="91" s="1"/>
  <c r="G185" i="91"/>
  <c r="L115" i="91"/>
  <c r="J114" i="91"/>
  <c r="F140" i="91"/>
  <c r="M334" i="91"/>
  <c r="N334" i="91" s="1"/>
  <c r="N29" i="91"/>
  <c r="F278" i="91"/>
  <c r="I248" i="91"/>
  <c r="G147" i="91"/>
  <c r="I147" i="91" s="1"/>
  <c r="I148" i="91"/>
  <c r="F34" i="91"/>
  <c r="F333" i="91"/>
  <c r="J125" i="91"/>
  <c r="L126" i="91"/>
  <c r="M126" i="91" s="1"/>
  <c r="N126" i="91" s="1"/>
  <c r="I234" i="91"/>
  <c r="M234" i="91" s="1"/>
  <c r="N234" i="91" s="1"/>
  <c r="G232" i="91"/>
  <c r="G34" i="91"/>
  <c r="I35" i="91"/>
  <c r="M35" i="91" s="1"/>
  <c r="N35" i="91" s="1"/>
  <c r="M309" i="91"/>
  <c r="N309" i="91" s="1"/>
  <c r="M371" i="91"/>
  <c r="N371" i="91" s="1"/>
  <c r="L148" i="91"/>
  <c r="M21" i="92" l="1"/>
  <c r="N21" i="92" s="1"/>
  <c r="L50" i="91"/>
  <c r="M50" i="91" s="1"/>
  <c r="N50" i="91" s="1"/>
  <c r="K49" i="91"/>
  <c r="G279" i="91"/>
  <c r="I280" i="91"/>
  <c r="M280" i="91" s="1"/>
  <c r="N280" i="91" s="1"/>
  <c r="M175" i="91"/>
  <c r="N175" i="91" s="1"/>
  <c r="M185" i="92"/>
  <c r="N185" i="92" s="1"/>
  <c r="G174" i="91"/>
  <c r="I175" i="91"/>
  <c r="G344" i="91"/>
  <c r="I345" i="91"/>
  <c r="M345" i="91" s="1"/>
  <c r="N345" i="91" s="1"/>
  <c r="G206" i="92"/>
  <c r="I206" i="92" s="1"/>
  <c r="N375" i="92"/>
  <c r="M222" i="92"/>
  <c r="N222" i="92" s="1"/>
  <c r="M165" i="92"/>
  <c r="J247" i="92"/>
  <c r="M207" i="92"/>
  <c r="N207" i="92" s="1"/>
  <c r="M206" i="92"/>
  <c r="M173" i="92"/>
  <c r="J32" i="92"/>
  <c r="L32" i="92" s="1"/>
  <c r="M32" i="92" s="1"/>
  <c r="N32" i="92" s="1"/>
  <c r="L33" i="92"/>
  <c r="M33" i="92" s="1"/>
  <c r="N33" i="92" s="1"/>
  <c r="L351" i="92"/>
  <c r="J350" i="92"/>
  <c r="L350" i="92" s="1"/>
  <c r="K48" i="92"/>
  <c r="L48" i="92" s="1"/>
  <c r="L49" i="92"/>
  <c r="K256" i="92"/>
  <c r="L257" i="92"/>
  <c r="G48" i="92"/>
  <c r="I49" i="92"/>
  <c r="L20" i="92"/>
  <c r="J19" i="92"/>
  <c r="G19" i="92"/>
  <c r="I20" i="92"/>
  <c r="F122" i="92"/>
  <c r="F165" i="92"/>
  <c r="N165" i="92" s="1"/>
  <c r="L140" i="92"/>
  <c r="J139" i="92"/>
  <c r="I123" i="92"/>
  <c r="G122" i="92"/>
  <c r="I122" i="92" s="1"/>
  <c r="K312" i="92"/>
  <c r="L313" i="92"/>
  <c r="M313" i="92" s="1"/>
  <c r="N313" i="92" s="1"/>
  <c r="F19" i="92"/>
  <c r="M351" i="92"/>
  <c r="N351" i="92" s="1"/>
  <c r="N337" i="92"/>
  <c r="G298" i="92"/>
  <c r="I298" i="92" s="1"/>
  <c r="N221" i="92"/>
  <c r="M166" i="92"/>
  <c r="N166" i="92" s="1"/>
  <c r="M174" i="92"/>
  <c r="N174" i="92" s="1"/>
  <c r="F206" i="92"/>
  <c r="G247" i="92"/>
  <c r="I247" i="92" s="1"/>
  <c r="I248" i="92"/>
  <c r="M248" i="92" s="1"/>
  <c r="N248" i="92" s="1"/>
  <c r="F173" i="92"/>
  <c r="F47" i="92"/>
  <c r="M239" i="92"/>
  <c r="N239" i="92" s="1"/>
  <c r="N147" i="92"/>
  <c r="J239" i="92"/>
  <c r="L239" i="92" s="1"/>
  <c r="L240" i="92"/>
  <c r="M240" i="92" s="1"/>
  <c r="N240" i="92" s="1"/>
  <c r="H358" i="92"/>
  <c r="I359" i="92"/>
  <c r="M359" i="92" s="1"/>
  <c r="N359" i="92" s="1"/>
  <c r="I140" i="92"/>
  <c r="G139" i="92"/>
  <c r="I199" i="92"/>
  <c r="M199" i="92" s="1"/>
  <c r="N199" i="92" s="1"/>
  <c r="G198" i="92"/>
  <c r="I198" i="92" s="1"/>
  <c r="M198" i="92" s="1"/>
  <c r="N198" i="92" s="1"/>
  <c r="L299" i="92"/>
  <c r="M299" i="92" s="1"/>
  <c r="N299" i="92" s="1"/>
  <c r="J298" i="92"/>
  <c r="F298" i="92"/>
  <c r="L124" i="92"/>
  <c r="M124" i="92" s="1"/>
  <c r="N124" i="92" s="1"/>
  <c r="J122" i="92"/>
  <c r="L122" i="92" s="1"/>
  <c r="J123" i="92"/>
  <c r="L123" i="92" s="1"/>
  <c r="F350" i="92"/>
  <c r="G350" i="92"/>
  <c r="N184" i="92"/>
  <c r="M257" i="92"/>
  <c r="N257" i="92" s="1"/>
  <c r="M141" i="92"/>
  <c r="N141" i="92" s="1"/>
  <c r="H386" i="91"/>
  <c r="P22" i="91"/>
  <c r="G375" i="91"/>
  <c r="I375" i="91" s="1"/>
  <c r="M375" i="91" s="1"/>
  <c r="I376" i="91"/>
  <c r="F332" i="91"/>
  <c r="F185" i="91"/>
  <c r="N186" i="91"/>
  <c r="L199" i="91"/>
  <c r="J198" i="91"/>
  <c r="L198" i="91" s="1"/>
  <c r="I222" i="91"/>
  <c r="M222" i="91" s="1"/>
  <c r="N222" i="91" s="1"/>
  <c r="G221" i="91"/>
  <c r="I221" i="91" s="1"/>
  <c r="G47" i="91"/>
  <c r="I47" i="91" s="1"/>
  <c r="I48" i="91"/>
  <c r="L166" i="91"/>
  <c r="J165" i="91"/>
  <c r="L165" i="91" s="1"/>
  <c r="I257" i="91"/>
  <c r="G256" i="91"/>
  <c r="L257" i="91"/>
  <c r="J256" i="91"/>
  <c r="L256" i="91" s="1"/>
  <c r="I207" i="91"/>
  <c r="M207" i="91" s="1"/>
  <c r="N207" i="91" s="1"/>
  <c r="I332" i="91"/>
  <c r="G331" i="91"/>
  <c r="I331" i="91" s="1"/>
  <c r="I232" i="91"/>
  <c r="M232" i="91" s="1"/>
  <c r="N232" i="91" s="1"/>
  <c r="G231" i="91"/>
  <c r="I231" i="91" s="1"/>
  <c r="M231" i="91" s="1"/>
  <c r="N231" i="91" s="1"/>
  <c r="F139" i="91"/>
  <c r="I185" i="91"/>
  <c r="G184" i="91"/>
  <c r="I184" i="91" s="1"/>
  <c r="M184" i="91" s="1"/>
  <c r="L338" i="91"/>
  <c r="M338" i="91" s="1"/>
  <c r="N338" i="91" s="1"/>
  <c r="J337" i="91"/>
  <c r="L337" i="91" s="1"/>
  <c r="M337" i="91" s="1"/>
  <c r="G351" i="91"/>
  <c r="I352" i="91"/>
  <c r="M352" i="91" s="1"/>
  <c r="N352" i="91" s="1"/>
  <c r="L34" i="91"/>
  <c r="J33" i="91"/>
  <c r="F49" i="91"/>
  <c r="F313" i="91"/>
  <c r="G19" i="91"/>
  <c r="I20" i="91"/>
  <c r="M20" i="91" s="1"/>
  <c r="N20" i="91" s="1"/>
  <c r="I313" i="91"/>
  <c r="G312" i="91"/>
  <c r="I312" i="91" s="1"/>
  <c r="L141" i="91"/>
  <c r="J140" i="91"/>
  <c r="I140" i="91"/>
  <c r="G139" i="91"/>
  <c r="F337" i="91"/>
  <c r="L300" i="91"/>
  <c r="J299" i="91"/>
  <c r="G33" i="91"/>
  <c r="I34" i="91"/>
  <c r="M34" i="91" s="1"/>
  <c r="N34" i="91" s="1"/>
  <c r="L125" i="91"/>
  <c r="M125" i="91" s="1"/>
  <c r="N125" i="91" s="1"/>
  <c r="J124" i="91"/>
  <c r="F165" i="91"/>
  <c r="F114" i="91"/>
  <c r="N115" i="91"/>
  <c r="F173" i="91"/>
  <c r="L174" i="91"/>
  <c r="J173" i="91"/>
  <c r="L173" i="91" s="1"/>
  <c r="L20" i="91"/>
  <c r="J19" i="91"/>
  <c r="I301" i="91"/>
  <c r="M301" i="91" s="1"/>
  <c r="N301" i="91" s="1"/>
  <c r="G300" i="91"/>
  <c r="F257" i="91"/>
  <c r="N258" i="91"/>
  <c r="I114" i="91"/>
  <c r="G113" i="91"/>
  <c r="I113" i="91" s="1"/>
  <c r="L221" i="91"/>
  <c r="J206" i="91"/>
  <c r="L206" i="91" s="1"/>
  <c r="J357" i="91"/>
  <c r="L358" i="91"/>
  <c r="J184" i="91"/>
  <c r="L184" i="91" s="1"/>
  <c r="L185" i="91"/>
  <c r="F239" i="91"/>
  <c r="F240" i="91"/>
  <c r="L248" i="91"/>
  <c r="M248" i="91" s="1"/>
  <c r="N248" i="91" s="1"/>
  <c r="L333" i="91"/>
  <c r="J332" i="91"/>
  <c r="I358" i="91"/>
  <c r="M358" i="91" s="1"/>
  <c r="N358" i="91" s="1"/>
  <c r="G357" i="91"/>
  <c r="I357" i="91" s="1"/>
  <c r="F201" i="91"/>
  <c r="F19" i="91"/>
  <c r="M147" i="91"/>
  <c r="M148" i="91"/>
  <c r="N148" i="91" s="1"/>
  <c r="N147" i="91"/>
  <c r="L313" i="91"/>
  <c r="M359" i="91"/>
  <c r="N359" i="91" s="1"/>
  <c r="M377" i="91"/>
  <c r="N377" i="91" s="1"/>
  <c r="N269" i="91"/>
  <c r="M21" i="91"/>
  <c r="N21" i="91" s="1"/>
  <c r="M314" i="91"/>
  <c r="N314" i="91" s="1"/>
  <c r="L312" i="91"/>
  <c r="M141" i="91"/>
  <c r="N141" i="91" s="1"/>
  <c r="J113" i="91"/>
  <c r="L113" i="91" s="1"/>
  <c r="L114" i="91"/>
  <c r="J47" i="91"/>
  <c r="L47" i="91" s="1"/>
  <c r="F124" i="91"/>
  <c r="F375" i="91"/>
  <c r="L376" i="91"/>
  <c r="J375" i="91"/>
  <c r="L375" i="91" s="1"/>
  <c r="F299" i="91"/>
  <c r="I167" i="91"/>
  <c r="M167" i="91" s="1"/>
  <c r="N167" i="91" s="1"/>
  <c r="G166" i="91"/>
  <c r="F206" i="91"/>
  <c r="F357" i="91"/>
  <c r="I124" i="91"/>
  <c r="G123" i="91"/>
  <c r="N369" i="91"/>
  <c r="M333" i="91"/>
  <c r="N333" i="91" s="1"/>
  <c r="F33" i="91"/>
  <c r="L242" i="91"/>
  <c r="M242" i="91" s="1"/>
  <c r="N242" i="91" s="1"/>
  <c r="J241" i="91"/>
  <c r="I202" i="91"/>
  <c r="M202" i="91" s="1"/>
  <c r="N202" i="91" s="1"/>
  <c r="G201" i="91"/>
  <c r="M48" i="91" l="1"/>
  <c r="M49" i="92"/>
  <c r="N49" i="92" s="1"/>
  <c r="M113" i="91"/>
  <c r="N375" i="91"/>
  <c r="M221" i="91"/>
  <c r="N221" i="91" s="1"/>
  <c r="M122" i="92"/>
  <c r="G343" i="91"/>
  <c r="I343" i="91" s="1"/>
  <c r="M343" i="91" s="1"/>
  <c r="N343" i="91" s="1"/>
  <c r="I344" i="91"/>
  <c r="M344" i="91" s="1"/>
  <c r="N344" i="91" s="1"/>
  <c r="J247" i="91"/>
  <c r="L247" i="91" s="1"/>
  <c r="M173" i="91"/>
  <c r="M313" i="91"/>
  <c r="N313" i="91" s="1"/>
  <c r="I279" i="91"/>
  <c r="M279" i="91" s="1"/>
  <c r="N279" i="91" s="1"/>
  <c r="G278" i="91"/>
  <c r="I278" i="91" s="1"/>
  <c r="M278" i="91" s="1"/>
  <c r="N278" i="91" s="1"/>
  <c r="G173" i="91"/>
  <c r="I173" i="91" s="1"/>
  <c r="I174" i="91"/>
  <c r="M174" i="91" s="1"/>
  <c r="N174" i="91" s="1"/>
  <c r="N173" i="91"/>
  <c r="K48" i="91"/>
  <c r="L48" i="91" s="1"/>
  <c r="L49" i="91"/>
  <c r="M49" i="91" s="1"/>
  <c r="N173" i="92"/>
  <c r="N206" i="92"/>
  <c r="M20" i="92"/>
  <c r="N20" i="92" s="1"/>
  <c r="H357" i="92"/>
  <c r="I358" i="92"/>
  <c r="M358" i="92" s="1"/>
  <c r="N358" i="92" s="1"/>
  <c r="K298" i="92"/>
  <c r="L298" i="92" s="1"/>
  <c r="M298" i="92" s="1"/>
  <c r="N298" i="92" s="1"/>
  <c r="L312" i="92"/>
  <c r="M312" i="92" s="1"/>
  <c r="N312" i="92" s="1"/>
  <c r="K247" i="92"/>
  <c r="L256" i="92"/>
  <c r="M256" i="92" s="1"/>
  <c r="N256" i="92" s="1"/>
  <c r="J138" i="92"/>
  <c r="L138" i="92" s="1"/>
  <c r="L139" i="92"/>
  <c r="L19" i="92"/>
  <c r="J18" i="92"/>
  <c r="F18" i="92"/>
  <c r="I19" i="92"/>
  <c r="M19" i="92" s="1"/>
  <c r="N19" i="92" s="1"/>
  <c r="G18" i="92"/>
  <c r="G47" i="92"/>
  <c r="I47" i="92" s="1"/>
  <c r="M47" i="92" s="1"/>
  <c r="N47" i="92" s="1"/>
  <c r="I48" i="92"/>
  <c r="M48" i="92" s="1"/>
  <c r="N48" i="92" s="1"/>
  <c r="N122" i="92"/>
  <c r="M140" i="92"/>
  <c r="N140" i="92" s="1"/>
  <c r="M123" i="92"/>
  <c r="N123" i="92" s="1"/>
  <c r="F138" i="92"/>
  <c r="I139" i="92"/>
  <c r="M139" i="92" s="1"/>
  <c r="N139" i="92" s="1"/>
  <c r="G138" i="92"/>
  <c r="I138" i="92" s="1"/>
  <c r="L19" i="91"/>
  <c r="L241" i="91"/>
  <c r="M241" i="91" s="1"/>
  <c r="N241" i="91" s="1"/>
  <c r="J240" i="91"/>
  <c r="L357" i="91"/>
  <c r="J350" i="91"/>
  <c r="L350" i="91" s="1"/>
  <c r="F184" i="91"/>
  <c r="N184" i="91" s="1"/>
  <c r="F350" i="91"/>
  <c r="I139" i="91"/>
  <c r="G138" i="91"/>
  <c r="I138" i="91" s="1"/>
  <c r="F312" i="91"/>
  <c r="N312" i="91" s="1"/>
  <c r="J32" i="91"/>
  <c r="L32" i="91" s="1"/>
  <c r="L33" i="91"/>
  <c r="F32" i="91"/>
  <c r="F18" i="91" s="1"/>
  <c r="I123" i="91"/>
  <c r="G122" i="91"/>
  <c r="I122" i="91" s="1"/>
  <c r="M122" i="91" s="1"/>
  <c r="I166" i="91"/>
  <c r="M166" i="91" s="1"/>
  <c r="N166" i="91" s="1"/>
  <c r="G165" i="91"/>
  <c r="I165" i="91" s="1"/>
  <c r="M165" i="91" s="1"/>
  <c r="N165" i="91" s="1"/>
  <c r="F123" i="91"/>
  <c r="J331" i="91"/>
  <c r="L331" i="91" s="1"/>
  <c r="M331" i="91" s="1"/>
  <c r="L332" i="91"/>
  <c r="M332" i="91" s="1"/>
  <c r="N332" i="91" s="1"/>
  <c r="F256" i="91"/>
  <c r="I33" i="91"/>
  <c r="G32" i="91"/>
  <c r="I32" i="91" s="1"/>
  <c r="I19" i="91"/>
  <c r="G18" i="91"/>
  <c r="I351" i="91"/>
  <c r="M351" i="91" s="1"/>
  <c r="N351" i="91" s="1"/>
  <c r="G350" i="91"/>
  <c r="I350" i="91" s="1"/>
  <c r="F331" i="91"/>
  <c r="H405" i="91"/>
  <c r="P21" i="91"/>
  <c r="M357" i="91"/>
  <c r="N357" i="91" s="1"/>
  <c r="M312" i="91"/>
  <c r="M376" i="91"/>
  <c r="N376" i="91" s="1"/>
  <c r="N337" i="91"/>
  <c r="M185" i="91"/>
  <c r="N185" i="91" s="1"/>
  <c r="G206" i="91"/>
  <c r="I206" i="91" s="1"/>
  <c r="M206" i="91" s="1"/>
  <c r="N206" i="91" s="1"/>
  <c r="M257" i="91"/>
  <c r="N257" i="91" s="1"/>
  <c r="M47" i="91"/>
  <c r="I256" i="91"/>
  <c r="M256" i="91" s="1"/>
  <c r="G247" i="91"/>
  <c r="I247" i="91" s="1"/>
  <c r="M247" i="91" s="1"/>
  <c r="L140" i="91"/>
  <c r="M140" i="91" s="1"/>
  <c r="N140" i="91" s="1"/>
  <c r="J139" i="91"/>
  <c r="N49" i="91"/>
  <c r="F48" i="91"/>
  <c r="I201" i="91"/>
  <c r="M201" i="91" s="1"/>
  <c r="N201" i="91" s="1"/>
  <c r="G199" i="91"/>
  <c r="F113" i="91"/>
  <c r="N113" i="91" s="1"/>
  <c r="G299" i="91"/>
  <c r="I300" i="91"/>
  <c r="M300" i="91" s="1"/>
  <c r="N300" i="91" s="1"/>
  <c r="L124" i="91"/>
  <c r="M124" i="91" s="1"/>
  <c r="N124" i="91" s="1"/>
  <c r="J122" i="91"/>
  <c r="L122" i="91" s="1"/>
  <c r="J123" i="91"/>
  <c r="L123" i="91" s="1"/>
  <c r="L299" i="91"/>
  <c r="M114" i="91"/>
  <c r="N114" i="91" s="1"/>
  <c r="M19" i="91" l="1"/>
  <c r="N19" i="91" s="1"/>
  <c r="F138" i="91"/>
  <c r="M32" i="91"/>
  <c r="J18" i="91"/>
  <c r="G17" i="92"/>
  <c r="I18" i="92"/>
  <c r="L18" i="92"/>
  <c r="J17" i="92"/>
  <c r="F17" i="92"/>
  <c r="K17" i="92"/>
  <c r="K386" i="92" s="1"/>
  <c r="K405" i="92" s="1"/>
  <c r="L247" i="92"/>
  <c r="M247" i="92" s="1"/>
  <c r="N247" i="92" s="1"/>
  <c r="H350" i="92"/>
  <c r="I357" i="92"/>
  <c r="M357" i="92" s="1"/>
  <c r="N357" i="92" s="1"/>
  <c r="P18" i="92" s="1"/>
  <c r="M138" i="92"/>
  <c r="N138" i="92" s="1"/>
  <c r="I299" i="91"/>
  <c r="M299" i="91" s="1"/>
  <c r="N299" i="91" s="1"/>
  <c r="G298" i="91"/>
  <c r="I298" i="91" s="1"/>
  <c r="M298" i="91" s="1"/>
  <c r="L240" i="91"/>
  <c r="M240" i="91" s="1"/>
  <c r="N240" i="91" s="1"/>
  <c r="J239" i="91"/>
  <c r="L239" i="91" s="1"/>
  <c r="M239" i="91" s="1"/>
  <c r="N239" i="91" s="1"/>
  <c r="F47" i="91"/>
  <c r="N47" i="91" s="1"/>
  <c r="N48" i="91"/>
  <c r="N256" i="91"/>
  <c r="F247" i="91"/>
  <c r="N247" i="91" s="1"/>
  <c r="F122" i="91"/>
  <c r="N122" i="91" s="1"/>
  <c r="M33" i="91"/>
  <c r="N33" i="91" s="1"/>
  <c r="J298" i="91"/>
  <c r="L298" i="91" s="1"/>
  <c r="M350" i="91"/>
  <c r="N32" i="91"/>
  <c r="N350" i="91"/>
  <c r="N331" i="91"/>
  <c r="M123" i="91"/>
  <c r="N123" i="91" s="1"/>
  <c r="F298" i="91"/>
  <c r="I18" i="91"/>
  <c r="L18" i="91"/>
  <c r="G198" i="91"/>
  <c r="I198" i="91" s="1"/>
  <c r="M198" i="91" s="1"/>
  <c r="N198" i="91" s="1"/>
  <c r="I199" i="91"/>
  <c r="M199" i="91" s="1"/>
  <c r="N199" i="91" s="1"/>
  <c r="L139" i="91"/>
  <c r="M139" i="91" s="1"/>
  <c r="N139" i="91" s="1"/>
  <c r="J138" i="91"/>
  <c r="L138" i="91" s="1"/>
  <c r="M138" i="91" s="1"/>
  <c r="N138" i="91" s="1"/>
  <c r="G17" i="91" l="1"/>
  <c r="M18" i="92"/>
  <c r="N18" i="92" s="1"/>
  <c r="J386" i="92"/>
  <c r="L17" i="92"/>
  <c r="H17" i="92"/>
  <c r="I17" i="92" s="1"/>
  <c r="I350" i="92"/>
  <c r="M350" i="92" s="1"/>
  <c r="N350" i="92" s="1"/>
  <c r="G386" i="92"/>
  <c r="G405" i="92" s="1"/>
  <c r="P18" i="91"/>
  <c r="G386" i="91"/>
  <c r="G405" i="91" s="1"/>
  <c r="I17" i="91"/>
  <c r="J17" i="91"/>
  <c r="N298" i="91"/>
  <c r="F17" i="91"/>
  <c r="M18" i="91"/>
  <c r="N18" i="91" s="1"/>
  <c r="H386" i="92" l="1"/>
  <c r="P22" i="92"/>
  <c r="J405" i="92"/>
  <c r="L386" i="92"/>
  <c r="L405" i="92" s="1"/>
  <c r="I386" i="92"/>
  <c r="M17" i="92"/>
  <c r="N17" i="92" s="1"/>
  <c r="J386" i="91"/>
  <c r="L17" i="91"/>
  <c r="I386" i="91"/>
  <c r="M17" i="91"/>
  <c r="N17" i="91" s="1"/>
  <c r="I405" i="92" l="1"/>
  <c r="M386" i="92"/>
  <c r="H405" i="92"/>
  <c r="P21" i="92"/>
  <c r="J405" i="91"/>
  <c r="L386" i="91"/>
  <c r="L405" i="91" s="1"/>
  <c r="I405" i="91"/>
  <c r="M405" i="92" l="1"/>
  <c r="P387" i="92"/>
  <c r="M386" i="91"/>
  <c r="M405" i="91" l="1"/>
  <c r="P387" i="91"/>
  <c r="H413" i="89" l="1"/>
  <c r="H409" i="89"/>
  <c r="H407" i="89"/>
  <c r="K418" i="89"/>
  <c r="K410" i="89"/>
  <c r="K409" i="89"/>
  <c r="K407" i="89"/>
  <c r="T365" i="89" l="1"/>
  <c r="T266" i="89"/>
  <c r="H365" i="89"/>
  <c r="H388" i="89"/>
  <c r="H266" i="89"/>
  <c r="H394" i="89"/>
  <c r="H390" i="89"/>
  <c r="H274" i="89"/>
  <c r="S261" i="89"/>
  <c r="S183" i="89" l="1"/>
  <c r="S182" i="89"/>
  <c r="S171" i="89"/>
  <c r="S266" i="89"/>
  <c r="S267" i="89"/>
  <c r="S268" i="89"/>
  <c r="S264" i="89"/>
  <c r="S254" i="89"/>
  <c r="S255" i="89"/>
  <c r="S311" i="89"/>
  <c r="S304" i="89"/>
  <c r="S317" i="89"/>
  <c r="S327" i="89"/>
  <c r="S328" i="89"/>
  <c r="S324" i="89"/>
  <c r="S326" i="89"/>
  <c r="S329" i="89"/>
  <c r="K399" i="89"/>
  <c r="K391" i="89"/>
  <c r="K390" i="89"/>
  <c r="K388" i="89"/>
  <c r="K317" i="89" l="1"/>
  <c r="K329" i="89"/>
  <c r="K328" i="89"/>
  <c r="K171" i="89"/>
  <c r="K326" i="89"/>
  <c r="K323" i="89" s="1"/>
  <c r="K311" i="89"/>
  <c r="K267" i="89"/>
  <c r="K265" i="89"/>
  <c r="K268" i="89"/>
  <c r="K183" i="89"/>
  <c r="G181" i="89" l="1"/>
  <c r="G180" i="89" s="1"/>
  <c r="I419" i="89"/>
  <c r="M419" i="89" s="1"/>
  <c r="L418" i="89"/>
  <c r="M418" i="89" s="1"/>
  <c r="I417" i="89"/>
  <c r="M417" i="89" s="1"/>
  <c r="I416" i="89"/>
  <c r="M416" i="89" s="1"/>
  <c r="I415" i="89"/>
  <c r="M415" i="89" s="1"/>
  <c r="I414" i="89"/>
  <c r="M414" i="89" s="1"/>
  <c r="I413" i="89"/>
  <c r="M413" i="89" s="1"/>
  <c r="L412" i="89"/>
  <c r="I412" i="89"/>
  <c r="L410" i="89"/>
  <c r="I410" i="89"/>
  <c r="L409" i="89"/>
  <c r="I409" i="89"/>
  <c r="L408" i="89"/>
  <c r="I408" i="89"/>
  <c r="H406" i="89"/>
  <c r="L407" i="89"/>
  <c r="I407" i="89"/>
  <c r="K406" i="89"/>
  <c r="J406" i="89"/>
  <c r="L406" i="89" s="1"/>
  <c r="G406" i="89"/>
  <c r="I400" i="89"/>
  <c r="M400" i="89" s="1"/>
  <c r="L399" i="89"/>
  <c r="M399" i="89" s="1"/>
  <c r="I398" i="89"/>
  <c r="M398" i="89" s="1"/>
  <c r="I397" i="89"/>
  <c r="M397" i="89" s="1"/>
  <c r="I396" i="89"/>
  <c r="M396" i="89" s="1"/>
  <c r="I395" i="89"/>
  <c r="M395" i="89" s="1"/>
  <c r="L394" i="89"/>
  <c r="H387" i="89"/>
  <c r="L393" i="89"/>
  <c r="I393" i="89"/>
  <c r="M393" i="89" s="1"/>
  <c r="L391" i="89"/>
  <c r="I391" i="89"/>
  <c r="L390" i="89"/>
  <c r="I390" i="89"/>
  <c r="L389" i="89"/>
  <c r="I389" i="89"/>
  <c r="L388" i="89"/>
  <c r="K387" i="89"/>
  <c r="I388" i="89"/>
  <c r="J387" i="89"/>
  <c r="G387" i="89"/>
  <c r="L383" i="89"/>
  <c r="I383" i="89"/>
  <c r="M383" i="89" s="1"/>
  <c r="N383" i="89" s="1"/>
  <c r="K382" i="89"/>
  <c r="K381" i="89" s="1"/>
  <c r="J382" i="89"/>
  <c r="H382" i="89"/>
  <c r="H381" i="89" s="1"/>
  <c r="G382" i="89"/>
  <c r="I382" i="89" s="1"/>
  <c r="F382" i="89"/>
  <c r="F381" i="89" s="1"/>
  <c r="M380" i="89"/>
  <c r="N380" i="89" s="1"/>
  <c r="L380" i="89"/>
  <c r="I380" i="89"/>
  <c r="K379" i="89"/>
  <c r="J379" i="89"/>
  <c r="J378" i="89" s="1"/>
  <c r="H379" i="89"/>
  <c r="H378" i="89" s="1"/>
  <c r="G379" i="89"/>
  <c r="I379" i="89" s="1"/>
  <c r="F379" i="89"/>
  <c r="F378" i="89" s="1"/>
  <c r="K378" i="89"/>
  <c r="L374" i="89"/>
  <c r="I374" i="89"/>
  <c r="M374" i="89" s="1"/>
  <c r="N374" i="89" s="1"/>
  <c r="L373" i="89"/>
  <c r="K373" i="89"/>
  <c r="K372" i="89" s="1"/>
  <c r="K371" i="89" s="1"/>
  <c r="K370" i="89" s="1"/>
  <c r="K369" i="89" s="1"/>
  <c r="J373" i="89"/>
  <c r="J372" i="89" s="1"/>
  <c r="H373" i="89"/>
  <c r="H372" i="89" s="1"/>
  <c r="H371" i="89" s="1"/>
  <c r="H370" i="89" s="1"/>
  <c r="H369" i="89" s="1"/>
  <c r="G373" i="89"/>
  <c r="G372" i="89" s="1"/>
  <c r="F373" i="89"/>
  <c r="M368" i="89"/>
  <c r="N368" i="89" s="1"/>
  <c r="L368" i="89"/>
  <c r="I368" i="89"/>
  <c r="L367" i="89"/>
  <c r="I367" i="89"/>
  <c r="M367" i="89" s="1"/>
  <c r="N367" i="89" s="1"/>
  <c r="L366" i="89"/>
  <c r="K366" i="89"/>
  <c r="J366" i="89"/>
  <c r="H366" i="89"/>
  <c r="G366" i="89"/>
  <c r="I366" i="89" s="1"/>
  <c r="M366" i="89" s="1"/>
  <c r="F366" i="89"/>
  <c r="L365" i="89"/>
  <c r="I365" i="89"/>
  <c r="K364" i="89"/>
  <c r="K363" i="89" s="1"/>
  <c r="K353" i="89" s="1"/>
  <c r="K352" i="89" s="1"/>
  <c r="J364" i="89"/>
  <c r="L364" i="89" s="1"/>
  <c r="H364" i="89"/>
  <c r="H363" i="89" s="1"/>
  <c r="G364" i="89"/>
  <c r="F364" i="89"/>
  <c r="J363" i="89"/>
  <c r="F363" i="89"/>
  <c r="L362" i="89"/>
  <c r="I362" i="89"/>
  <c r="K361" i="89"/>
  <c r="K360" i="89" s="1"/>
  <c r="J361" i="89"/>
  <c r="J360" i="89" s="1"/>
  <c r="H361" i="89"/>
  <c r="H360" i="89" s="1"/>
  <c r="G361" i="89"/>
  <c r="G360" i="89" s="1"/>
  <c r="F361" i="89"/>
  <c r="L356" i="89"/>
  <c r="I356" i="89"/>
  <c r="M356" i="89" s="1"/>
  <c r="N356" i="89" s="1"/>
  <c r="L355" i="89"/>
  <c r="K355" i="89"/>
  <c r="K354" i="89" s="1"/>
  <c r="J355" i="89"/>
  <c r="H355" i="89"/>
  <c r="H354" i="89" s="1"/>
  <c r="H353" i="89" s="1"/>
  <c r="G355" i="89"/>
  <c r="G354" i="89" s="1"/>
  <c r="I354" i="89" s="1"/>
  <c r="F355" i="89"/>
  <c r="F354" i="89" s="1"/>
  <c r="F353" i="89" s="1"/>
  <c r="J354" i="89"/>
  <c r="H352" i="89"/>
  <c r="H351" i="89" s="1"/>
  <c r="M348" i="89"/>
  <c r="N348" i="89" s="1"/>
  <c r="L348" i="89"/>
  <c r="K347" i="89"/>
  <c r="K346" i="89" s="1"/>
  <c r="K345" i="89" s="1"/>
  <c r="K344" i="89" s="1"/>
  <c r="K343" i="89" s="1"/>
  <c r="J347" i="89"/>
  <c r="H347" i="89"/>
  <c r="H346" i="89" s="1"/>
  <c r="H345" i="89" s="1"/>
  <c r="H344" i="89" s="1"/>
  <c r="H343" i="89" s="1"/>
  <c r="G347" i="89"/>
  <c r="G346" i="89" s="1"/>
  <c r="F347" i="89"/>
  <c r="F346" i="89" s="1"/>
  <c r="L342" i="89"/>
  <c r="I342" i="89"/>
  <c r="M342" i="89" s="1"/>
  <c r="N342" i="89" s="1"/>
  <c r="K341" i="89"/>
  <c r="K340" i="89" s="1"/>
  <c r="K339" i="89" s="1"/>
  <c r="K338" i="89" s="1"/>
  <c r="J341" i="89"/>
  <c r="J340" i="89" s="1"/>
  <c r="J339" i="89" s="1"/>
  <c r="L339" i="89" s="1"/>
  <c r="H341" i="89"/>
  <c r="H340" i="89" s="1"/>
  <c r="H339" i="89" s="1"/>
  <c r="H338" i="89" s="1"/>
  <c r="H337" i="89" s="1"/>
  <c r="G341" i="89"/>
  <c r="F341" i="89"/>
  <c r="F340" i="89" s="1"/>
  <c r="J338" i="89"/>
  <c r="K337" i="89"/>
  <c r="L336" i="89"/>
  <c r="I336" i="89"/>
  <c r="K335" i="89"/>
  <c r="K334" i="89" s="1"/>
  <c r="K333" i="89" s="1"/>
  <c r="K332" i="89" s="1"/>
  <c r="K331" i="89" s="1"/>
  <c r="J335" i="89"/>
  <c r="J334" i="89" s="1"/>
  <c r="L334" i="89" s="1"/>
  <c r="H335" i="89"/>
  <c r="H334" i="89" s="1"/>
  <c r="H333" i="89" s="1"/>
  <c r="H332" i="89" s="1"/>
  <c r="H331" i="89" s="1"/>
  <c r="G335" i="89"/>
  <c r="G334" i="89" s="1"/>
  <c r="G333" i="89" s="1"/>
  <c r="F335" i="89"/>
  <c r="J333" i="89"/>
  <c r="G332" i="89"/>
  <c r="L330" i="89"/>
  <c r="I330" i="89"/>
  <c r="M330" i="89" s="1"/>
  <c r="N330" i="89" s="1"/>
  <c r="L329" i="89"/>
  <c r="M329" i="89" s="1"/>
  <c r="N329" i="89" s="1"/>
  <c r="L328" i="89"/>
  <c r="M328" i="89" s="1"/>
  <c r="N328" i="89" s="1"/>
  <c r="L327" i="89"/>
  <c r="M327" i="89" s="1"/>
  <c r="N327" i="89" s="1"/>
  <c r="L326" i="89"/>
  <c r="M326" i="89" s="1"/>
  <c r="N326" i="89" s="1"/>
  <c r="L325" i="89"/>
  <c r="M325" i="89" s="1"/>
  <c r="N325" i="89" s="1"/>
  <c r="L324" i="89"/>
  <c r="M324" i="89" s="1"/>
  <c r="N324" i="89" s="1"/>
  <c r="K322" i="89"/>
  <c r="L322" i="89" s="1"/>
  <c r="J323" i="89"/>
  <c r="J322" i="89" s="1"/>
  <c r="H323" i="89"/>
  <c r="G323" i="89"/>
  <c r="F323" i="89"/>
  <c r="F322" i="89" s="1"/>
  <c r="H322" i="89"/>
  <c r="L321" i="89"/>
  <c r="M321" i="89" s="1"/>
  <c r="N321" i="89" s="1"/>
  <c r="K320" i="89"/>
  <c r="K319" i="89" s="1"/>
  <c r="J320" i="89"/>
  <c r="J319" i="89" s="1"/>
  <c r="H320" i="89"/>
  <c r="H319" i="89" s="1"/>
  <c r="G320" i="89"/>
  <c r="G319" i="89" s="1"/>
  <c r="F320" i="89"/>
  <c r="I319" i="89"/>
  <c r="L318" i="89"/>
  <c r="M318" i="89" s="1"/>
  <c r="N318" i="89" s="1"/>
  <c r="L317" i="89"/>
  <c r="M317" i="89" s="1"/>
  <c r="N317" i="89" s="1"/>
  <c r="K316" i="89"/>
  <c r="K315" i="89" s="1"/>
  <c r="J316" i="89"/>
  <c r="I316" i="89"/>
  <c r="H316" i="89"/>
  <c r="H315" i="89" s="1"/>
  <c r="G316" i="89"/>
  <c r="G315" i="89" s="1"/>
  <c r="I315" i="89" s="1"/>
  <c r="F316" i="89"/>
  <c r="F315" i="89"/>
  <c r="I311" i="89"/>
  <c r="J310" i="89"/>
  <c r="J309" i="89" s="1"/>
  <c r="H310" i="89"/>
  <c r="H309" i="89" s="1"/>
  <c r="G310" i="89"/>
  <c r="G309" i="89" s="1"/>
  <c r="I309" i="89" s="1"/>
  <c r="F310" i="89"/>
  <c r="L308" i="89"/>
  <c r="M308" i="89" s="1"/>
  <c r="N308" i="89" s="1"/>
  <c r="I308" i="89"/>
  <c r="L307" i="89"/>
  <c r="M307" i="89" s="1"/>
  <c r="N307" i="89" s="1"/>
  <c r="I307" i="89"/>
  <c r="K306" i="89"/>
  <c r="K305" i="89" s="1"/>
  <c r="J306" i="89"/>
  <c r="I306" i="89"/>
  <c r="H306" i="89"/>
  <c r="H305" i="89" s="1"/>
  <c r="G306" i="89"/>
  <c r="G305" i="89" s="1"/>
  <c r="I305" i="89" s="1"/>
  <c r="F306" i="89"/>
  <c r="F305" i="89" s="1"/>
  <c r="L304" i="89"/>
  <c r="M304" i="89" s="1"/>
  <c r="N304" i="89" s="1"/>
  <c r="K303" i="89"/>
  <c r="K302" i="89" s="1"/>
  <c r="J303" i="89"/>
  <c r="J302" i="89" s="1"/>
  <c r="I303" i="89"/>
  <c r="H303" i="89"/>
  <c r="H302" i="89" s="1"/>
  <c r="G303" i="89"/>
  <c r="G302" i="89" s="1"/>
  <c r="I302" i="89" s="1"/>
  <c r="F303" i="89"/>
  <c r="F302" i="89"/>
  <c r="L296" i="89"/>
  <c r="M296" i="89" s="1"/>
  <c r="N296" i="89" s="1"/>
  <c r="L295" i="89"/>
  <c r="M295" i="89" s="1"/>
  <c r="N295" i="89" s="1"/>
  <c r="I295" i="89"/>
  <c r="N294" i="89"/>
  <c r="M294" i="89"/>
  <c r="L294" i="89"/>
  <c r="I294" i="89"/>
  <c r="L293" i="89"/>
  <c r="I293" i="89"/>
  <c r="M293" i="89" s="1"/>
  <c r="N293" i="89" s="1"/>
  <c r="K292" i="89"/>
  <c r="J292" i="89"/>
  <c r="H292" i="89"/>
  <c r="H291" i="89" s="1"/>
  <c r="G292" i="89"/>
  <c r="G291" i="89" s="1"/>
  <c r="I291" i="89" s="1"/>
  <c r="F292" i="89"/>
  <c r="F291" i="89" s="1"/>
  <c r="K291" i="89"/>
  <c r="L290" i="89"/>
  <c r="M290" i="89" s="1"/>
  <c r="N290" i="89" s="1"/>
  <c r="M289" i="89"/>
  <c r="N289" i="89" s="1"/>
  <c r="L289" i="89"/>
  <c r="L288" i="89"/>
  <c r="M288" i="89" s="1"/>
  <c r="N288" i="89" s="1"/>
  <c r="L287" i="89"/>
  <c r="I287" i="89"/>
  <c r="M287" i="89" s="1"/>
  <c r="N287" i="89" s="1"/>
  <c r="L286" i="89"/>
  <c r="M286" i="89" s="1"/>
  <c r="N286" i="89" s="1"/>
  <c r="L285" i="89"/>
  <c r="M285" i="89" s="1"/>
  <c r="N285" i="89" s="1"/>
  <c r="M284" i="89"/>
  <c r="N284" i="89" s="1"/>
  <c r="L284" i="89"/>
  <c r="L283" i="89"/>
  <c r="I283" i="89"/>
  <c r="M283" i="89" s="1"/>
  <c r="N283" i="89" s="1"/>
  <c r="K282" i="89"/>
  <c r="K281" i="89" s="1"/>
  <c r="K280" i="89" s="1"/>
  <c r="K279" i="89" s="1"/>
  <c r="K278" i="89" s="1"/>
  <c r="J282" i="89"/>
  <c r="H282" i="89"/>
  <c r="H281" i="89" s="1"/>
  <c r="H280" i="89" s="1"/>
  <c r="H279" i="89" s="1"/>
  <c r="H278" i="89" s="1"/>
  <c r="G282" i="89"/>
  <c r="F282" i="89"/>
  <c r="F281" i="89" s="1"/>
  <c r="G281" i="89"/>
  <c r="G280" i="89" s="1"/>
  <c r="L277" i="89"/>
  <c r="I277" i="89"/>
  <c r="M277" i="89" s="1"/>
  <c r="N277" i="89" s="1"/>
  <c r="I276" i="89"/>
  <c r="M276" i="89" s="1"/>
  <c r="N276" i="89" s="1"/>
  <c r="I275" i="89"/>
  <c r="M275" i="89" s="1"/>
  <c r="N275" i="89" s="1"/>
  <c r="L274" i="89"/>
  <c r="I274" i="89"/>
  <c r="K273" i="89"/>
  <c r="K272" i="89" s="1"/>
  <c r="K271" i="89" s="1"/>
  <c r="K270" i="89" s="1"/>
  <c r="K269" i="89" s="1"/>
  <c r="J273" i="89"/>
  <c r="H273" i="89"/>
  <c r="H272" i="89" s="1"/>
  <c r="H271" i="89" s="1"/>
  <c r="H270" i="89" s="1"/>
  <c r="H269" i="89" s="1"/>
  <c r="G273" i="89"/>
  <c r="G272" i="89" s="1"/>
  <c r="F273" i="89"/>
  <c r="F272" i="89" s="1"/>
  <c r="F271" i="89" s="1"/>
  <c r="J272" i="89"/>
  <c r="L272" i="89" s="1"/>
  <c r="J271" i="89"/>
  <c r="J270" i="89" s="1"/>
  <c r="L268" i="89"/>
  <c r="M268" i="89" s="1"/>
  <c r="N268" i="89" s="1"/>
  <c r="I268" i="89"/>
  <c r="L267" i="89"/>
  <c r="I267" i="89"/>
  <c r="L266" i="89"/>
  <c r="I266" i="89"/>
  <c r="L265" i="89"/>
  <c r="I265" i="89"/>
  <c r="K263" i="89"/>
  <c r="K262" i="89" s="1"/>
  <c r="I264" i="89"/>
  <c r="J263" i="89"/>
  <c r="G263" i="89"/>
  <c r="G262" i="89" s="1"/>
  <c r="G258" i="89" s="1"/>
  <c r="F263" i="89"/>
  <c r="J262" i="89"/>
  <c r="L261" i="89"/>
  <c r="I261" i="89"/>
  <c r="K260" i="89"/>
  <c r="K259" i="89" s="1"/>
  <c r="J260" i="89"/>
  <c r="J259" i="89" s="1"/>
  <c r="I260" i="89"/>
  <c r="H260" i="89"/>
  <c r="G260" i="89"/>
  <c r="G259" i="89" s="1"/>
  <c r="F260" i="89"/>
  <c r="F259" i="89" s="1"/>
  <c r="I259" i="89"/>
  <c r="H259" i="89"/>
  <c r="L255" i="89"/>
  <c r="I255" i="89"/>
  <c r="L254" i="89"/>
  <c r="I254" i="89"/>
  <c r="L253" i="89"/>
  <c r="I253" i="89"/>
  <c r="M253" i="89" s="1"/>
  <c r="N253" i="89" s="1"/>
  <c r="K252" i="89"/>
  <c r="K251" i="89" s="1"/>
  <c r="K250" i="89" s="1"/>
  <c r="K249" i="89" s="1"/>
  <c r="K248" i="89" s="1"/>
  <c r="J252" i="89"/>
  <c r="H252" i="89"/>
  <c r="H251" i="89" s="1"/>
  <c r="I251" i="89" s="1"/>
  <c r="G252" i="89"/>
  <c r="F252" i="89"/>
  <c r="G251" i="89"/>
  <c r="G250" i="89"/>
  <c r="I245" i="89"/>
  <c r="M245" i="89" s="1"/>
  <c r="N245" i="89" s="1"/>
  <c r="K244" i="89"/>
  <c r="J244" i="89"/>
  <c r="H244" i="89"/>
  <c r="H243" i="89" s="1"/>
  <c r="H242" i="89" s="1"/>
  <c r="H241" i="89" s="1"/>
  <c r="H240" i="89" s="1"/>
  <c r="H239" i="89" s="1"/>
  <c r="G244" i="89"/>
  <c r="I244" i="89" s="1"/>
  <c r="F244" i="89"/>
  <c r="F243" i="89" s="1"/>
  <c r="K243" i="89"/>
  <c r="K242" i="89" s="1"/>
  <c r="J243" i="89"/>
  <c r="J242" i="89" s="1"/>
  <c r="J241" i="89"/>
  <c r="L237" i="89"/>
  <c r="I237" i="89"/>
  <c r="M237" i="89" s="1"/>
  <c r="N237" i="89" s="1"/>
  <c r="K236" i="89"/>
  <c r="K235" i="89" s="1"/>
  <c r="K234" i="89" s="1"/>
  <c r="K232" i="89" s="1"/>
  <c r="K231" i="89" s="1"/>
  <c r="J236" i="89"/>
  <c r="H236" i="89"/>
  <c r="H235" i="89" s="1"/>
  <c r="H234" i="89" s="1"/>
  <c r="H232" i="89" s="1"/>
  <c r="H231" i="89" s="1"/>
  <c r="G236" i="89"/>
  <c r="G235" i="89" s="1"/>
  <c r="F236" i="89"/>
  <c r="J235" i="89"/>
  <c r="L235" i="89" s="1"/>
  <c r="F235" i="89"/>
  <c r="L233" i="89"/>
  <c r="I233" i="89"/>
  <c r="F232" i="89"/>
  <c r="F231" i="89" s="1"/>
  <c r="L230" i="89"/>
  <c r="I230" i="89"/>
  <c r="M230" i="89" s="1"/>
  <c r="N230" i="89" s="1"/>
  <c r="L229" i="89"/>
  <c r="I229" i="89"/>
  <c r="M229" i="89" s="1"/>
  <c r="N229" i="89" s="1"/>
  <c r="L228" i="89"/>
  <c r="I228" i="89"/>
  <c r="M228" i="89" s="1"/>
  <c r="N228" i="89" s="1"/>
  <c r="K227" i="89"/>
  <c r="J227" i="89"/>
  <c r="L227" i="89" s="1"/>
  <c r="H227" i="89"/>
  <c r="H226" i="89" s="1"/>
  <c r="G227" i="89"/>
  <c r="I227" i="89" s="1"/>
  <c r="M227" i="89" s="1"/>
  <c r="F227" i="89"/>
  <c r="K226" i="89"/>
  <c r="J226" i="89"/>
  <c r="L226" i="89" s="1"/>
  <c r="L225" i="89"/>
  <c r="I225" i="89"/>
  <c r="K224" i="89"/>
  <c r="J224" i="89"/>
  <c r="J223" i="89" s="1"/>
  <c r="H224" i="89"/>
  <c r="H223" i="89" s="1"/>
  <c r="H222" i="89" s="1"/>
  <c r="G224" i="89"/>
  <c r="I224" i="89" s="1"/>
  <c r="F224" i="89"/>
  <c r="F223" i="89" s="1"/>
  <c r="I220" i="89"/>
  <c r="M220" i="89" s="1"/>
  <c r="N220" i="89" s="1"/>
  <c r="L219" i="89"/>
  <c r="M219" i="89" s="1"/>
  <c r="N219" i="89" s="1"/>
  <c r="L218" i="89"/>
  <c r="M218" i="89" s="1"/>
  <c r="N218" i="89" s="1"/>
  <c r="I218" i="89"/>
  <c r="K217" i="89"/>
  <c r="L217" i="89" s="1"/>
  <c r="J217" i="89"/>
  <c r="H217" i="89"/>
  <c r="H216" i="89" s="1"/>
  <c r="G217" i="89"/>
  <c r="G216" i="89" s="1"/>
  <c r="I216" i="89" s="1"/>
  <c r="F217" i="89"/>
  <c r="F216" i="89" s="1"/>
  <c r="J216" i="89"/>
  <c r="L215" i="89"/>
  <c r="I215" i="89"/>
  <c r="L214" i="89"/>
  <c r="I214" i="89"/>
  <c r="K213" i="89"/>
  <c r="J213" i="89"/>
  <c r="J212" i="89" s="1"/>
  <c r="H213" i="89"/>
  <c r="H212" i="89" s="1"/>
  <c r="G213" i="89"/>
  <c r="G212" i="89" s="1"/>
  <c r="I212" i="89" s="1"/>
  <c r="F213" i="89"/>
  <c r="F212" i="89" s="1"/>
  <c r="K212" i="89"/>
  <c r="L212" i="89" s="1"/>
  <c r="L211" i="89"/>
  <c r="I211" i="89"/>
  <c r="K210" i="89"/>
  <c r="J210" i="89"/>
  <c r="J209" i="89" s="1"/>
  <c r="J208" i="89" s="1"/>
  <c r="H210" i="89"/>
  <c r="H209" i="89" s="1"/>
  <c r="G210" i="89"/>
  <c r="F210" i="89"/>
  <c r="F209" i="89" s="1"/>
  <c r="F208" i="89" s="1"/>
  <c r="K209" i="89"/>
  <c r="G209" i="89"/>
  <c r="I209" i="89" s="1"/>
  <c r="L205" i="89"/>
  <c r="M205" i="89" s="1"/>
  <c r="N205" i="89" s="1"/>
  <c r="I205" i="89"/>
  <c r="K204" i="89"/>
  <c r="K203" i="89" s="1"/>
  <c r="K202" i="89" s="1"/>
  <c r="K201" i="89" s="1"/>
  <c r="K199" i="89" s="1"/>
  <c r="K198" i="89" s="1"/>
  <c r="J204" i="89"/>
  <c r="L204" i="89" s="1"/>
  <c r="H204" i="89"/>
  <c r="H203" i="89" s="1"/>
  <c r="H202" i="89" s="1"/>
  <c r="H201" i="89" s="1"/>
  <c r="H199" i="89" s="1"/>
  <c r="H198" i="89" s="1"/>
  <c r="G204" i="89"/>
  <c r="G203" i="89" s="1"/>
  <c r="F204" i="89"/>
  <c r="F203" i="89"/>
  <c r="F202" i="89" s="1"/>
  <c r="F201" i="89" s="1"/>
  <c r="L200" i="89"/>
  <c r="M200" i="89" s="1"/>
  <c r="N200" i="89" s="1"/>
  <c r="I200" i="89"/>
  <c r="F199" i="89"/>
  <c r="F198" i="89"/>
  <c r="L197" i="89"/>
  <c r="I197" i="89"/>
  <c r="L196" i="89"/>
  <c r="I196" i="89"/>
  <c r="K195" i="89"/>
  <c r="K194" i="89" s="1"/>
  <c r="J195" i="89"/>
  <c r="J194" i="89" s="1"/>
  <c r="H195" i="89"/>
  <c r="G195" i="89"/>
  <c r="I195" i="89" s="1"/>
  <c r="F195" i="89"/>
  <c r="F194" i="89" s="1"/>
  <c r="H194" i="89"/>
  <c r="L193" i="89"/>
  <c r="M193" i="89" s="1"/>
  <c r="N193" i="89" s="1"/>
  <c r="L192" i="89"/>
  <c r="M192" i="89" s="1"/>
  <c r="N192" i="89" s="1"/>
  <c r="M191" i="89"/>
  <c r="N191" i="89" s="1"/>
  <c r="L191" i="89"/>
  <c r="L190" i="89"/>
  <c r="M190" i="89" s="1"/>
  <c r="N190" i="89" s="1"/>
  <c r="L189" i="89"/>
  <c r="M189" i="89" s="1"/>
  <c r="N189" i="89" s="1"/>
  <c r="I189" i="89"/>
  <c r="L188" i="89"/>
  <c r="K188" i="89"/>
  <c r="K187" i="89" s="1"/>
  <c r="J188" i="89"/>
  <c r="H188" i="89"/>
  <c r="H187" i="89" s="1"/>
  <c r="H186" i="89" s="1"/>
  <c r="H185" i="89" s="1"/>
  <c r="G188" i="89"/>
  <c r="G187" i="89" s="1"/>
  <c r="F188" i="89"/>
  <c r="F187" i="89" s="1"/>
  <c r="J187" i="89"/>
  <c r="L183" i="89"/>
  <c r="M183" i="89" s="1"/>
  <c r="N183" i="89" s="1"/>
  <c r="K181" i="89"/>
  <c r="J181" i="89"/>
  <c r="J180" i="89" s="1"/>
  <c r="H181" i="89"/>
  <c r="H180" i="89" s="1"/>
  <c r="F181" i="89"/>
  <c r="F180" i="89" s="1"/>
  <c r="L179" i="89"/>
  <c r="I179" i="89"/>
  <c r="M179" i="89" s="1"/>
  <c r="N179" i="89" s="1"/>
  <c r="L178" i="89"/>
  <c r="I178" i="89"/>
  <c r="M178" i="89" s="1"/>
  <c r="N178" i="89" s="1"/>
  <c r="K177" i="89"/>
  <c r="K176" i="89" s="1"/>
  <c r="J177" i="89"/>
  <c r="J176" i="89" s="1"/>
  <c r="H177" i="89"/>
  <c r="G177" i="89"/>
  <c r="I177" i="89" s="1"/>
  <c r="F177" i="89"/>
  <c r="F176" i="89" s="1"/>
  <c r="H176" i="89"/>
  <c r="L172" i="89"/>
  <c r="M172" i="89" s="1"/>
  <c r="N172" i="89" s="1"/>
  <c r="K169" i="89"/>
  <c r="I171" i="89"/>
  <c r="L170" i="89"/>
  <c r="I170" i="89"/>
  <c r="J169" i="89"/>
  <c r="H169" i="89"/>
  <c r="H168" i="89" s="1"/>
  <c r="H167" i="89" s="1"/>
  <c r="H166" i="89" s="1"/>
  <c r="H165" i="89" s="1"/>
  <c r="G169" i="89"/>
  <c r="G168" i="89" s="1"/>
  <c r="F169" i="89"/>
  <c r="J168" i="89"/>
  <c r="J167" i="89" s="1"/>
  <c r="J166" i="89" s="1"/>
  <c r="F168" i="89"/>
  <c r="F167" i="89" s="1"/>
  <c r="F166" i="89" s="1"/>
  <c r="M164" i="89"/>
  <c r="N164" i="89" s="1"/>
  <c r="L164" i="89"/>
  <c r="I164" i="89"/>
  <c r="L163" i="89"/>
  <c r="M163" i="89" s="1"/>
  <c r="N163" i="89" s="1"/>
  <c r="I163" i="89"/>
  <c r="K162" i="89"/>
  <c r="J162" i="89"/>
  <c r="H162" i="89"/>
  <c r="G162" i="89"/>
  <c r="I162" i="89" s="1"/>
  <c r="F162" i="89"/>
  <c r="L161" i="89"/>
  <c r="I161" i="89"/>
  <c r="M161" i="89" s="1"/>
  <c r="N161" i="89" s="1"/>
  <c r="K160" i="89"/>
  <c r="J160" i="89"/>
  <c r="J159" i="89" s="1"/>
  <c r="H160" i="89"/>
  <c r="H156" i="89" s="1"/>
  <c r="G160" i="89"/>
  <c r="F160" i="89"/>
  <c r="F159" i="89" s="1"/>
  <c r="K159" i="89"/>
  <c r="L158" i="89"/>
  <c r="M158" i="89" s="1"/>
  <c r="N158" i="89" s="1"/>
  <c r="I158" i="89"/>
  <c r="K157" i="89"/>
  <c r="L157" i="89" s="1"/>
  <c r="J157" i="89"/>
  <c r="H157" i="89"/>
  <c r="G157" i="89"/>
  <c r="F157" i="89"/>
  <c r="F156" i="89"/>
  <c r="L155" i="89"/>
  <c r="I155" i="89"/>
  <c r="M155" i="89" s="1"/>
  <c r="N155" i="89" s="1"/>
  <c r="L154" i="89"/>
  <c r="I154" i="89"/>
  <c r="K153" i="89"/>
  <c r="J153" i="89"/>
  <c r="L153" i="89" s="1"/>
  <c r="H153" i="89"/>
  <c r="G153" i="89"/>
  <c r="I153" i="89" s="1"/>
  <c r="M153" i="89" s="1"/>
  <c r="F153" i="89"/>
  <c r="L152" i="89"/>
  <c r="I152" i="89"/>
  <c r="M152" i="89" s="1"/>
  <c r="N152" i="89" s="1"/>
  <c r="L151" i="89"/>
  <c r="I151" i="89"/>
  <c r="K150" i="89"/>
  <c r="J150" i="89"/>
  <c r="H150" i="89"/>
  <c r="G150" i="89"/>
  <c r="I150" i="89" s="1"/>
  <c r="F150" i="89"/>
  <c r="H149" i="89"/>
  <c r="L146" i="89"/>
  <c r="I146" i="89"/>
  <c r="M146" i="89" s="1"/>
  <c r="N146" i="89" s="1"/>
  <c r="L145" i="89"/>
  <c r="I145" i="89"/>
  <c r="M145" i="89" s="1"/>
  <c r="N145" i="89" s="1"/>
  <c r="L144" i="89"/>
  <c r="I144" i="89"/>
  <c r="M144" i="89" s="1"/>
  <c r="N144" i="89" s="1"/>
  <c r="K143" i="89"/>
  <c r="K142" i="89" s="1"/>
  <c r="K141" i="89" s="1"/>
  <c r="K140" i="89" s="1"/>
  <c r="J143" i="89"/>
  <c r="J142" i="89" s="1"/>
  <c r="H143" i="89"/>
  <c r="G143" i="89"/>
  <c r="G142" i="89" s="1"/>
  <c r="F143" i="89"/>
  <c r="H142" i="89"/>
  <c r="H141" i="89" s="1"/>
  <c r="H140" i="89" s="1"/>
  <c r="L136" i="89"/>
  <c r="M136" i="89" s="1"/>
  <c r="N136" i="89" s="1"/>
  <c r="I136" i="89"/>
  <c r="L135" i="89"/>
  <c r="I135" i="89"/>
  <c r="M135" i="89" s="1"/>
  <c r="N135" i="89" s="1"/>
  <c r="L134" i="89"/>
  <c r="M134" i="89" s="1"/>
  <c r="N134" i="89" s="1"/>
  <c r="I134" i="89"/>
  <c r="L133" i="89"/>
  <c r="I133" i="89"/>
  <c r="M133" i="89" s="1"/>
  <c r="N133" i="89" s="1"/>
  <c r="K132" i="89"/>
  <c r="J132" i="89"/>
  <c r="L132" i="89" s="1"/>
  <c r="H132" i="89"/>
  <c r="H131" i="89" s="1"/>
  <c r="G132" i="89"/>
  <c r="I132" i="89" s="1"/>
  <c r="F132" i="89"/>
  <c r="K131" i="89"/>
  <c r="J131" i="89"/>
  <c r="L131" i="89" s="1"/>
  <c r="G131" i="89"/>
  <c r="F131" i="89"/>
  <c r="L130" i="89"/>
  <c r="I130" i="89"/>
  <c r="M130" i="89" s="1"/>
  <c r="N130" i="89" s="1"/>
  <c r="L129" i="89"/>
  <c r="I129" i="89"/>
  <c r="M129" i="89" s="1"/>
  <c r="N129" i="89" s="1"/>
  <c r="L128" i="89"/>
  <c r="I128" i="89"/>
  <c r="K127" i="89"/>
  <c r="K126" i="89" s="1"/>
  <c r="J127" i="89"/>
  <c r="J126" i="89" s="1"/>
  <c r="H127" i="89"/>
  <c r="G127" i="89"/>
  <c r="G126" i="89" s="1"/>
  <c r="F127" i="89"/>
  <c r="H126" i="89"/>
  <c r="H125" i="89" s="1"/>
  <c r="H124" i="89" s="1"/>
  <c r="H123" i="89" s="1"/>
  <c r="H122" i="89" s="1"/>
  <c r="L120" i="89"/>
  <c r="I120" i="89"/>
  <c r="L119" i="89"/>
  <c r="I119" i="89"/>
  <c r="M119" i="89" s="1"/>
  <c r="N119" i="89" s="1"/>
  <c r="L118" i="89"/>
  <c r="I118" i="89"/>
  <c r="K117" i="89"/>
  <c r="K116" i="89" s="1"/>
  <c r="K115" i="89" s="1"/>
  <c r="K114" i="89" s="1"/>
  <c r="J117" i="89"/>
  <c r="J116" i="89" s="1"/>
  <c r="H117" i="89"/>
  <c r="H116" i="89" s="1"/>
  <c r="H115" i="89" s="1"/>
  <c r="H114" i="89" s="1"/>
  <c r="H113" i="89" s="1"/>
  <c r="G117" i="89"/>
  <c r="F117" i="89"/>
  <c r="F116" i="89" s="1"/>
  <c r="G116" i="89"/>
  <c r="L112" i="89"/>
  <c r="I112" i="89"/>
  <c r="L111" i="89"/>
  <c r="I111" i="89"/>
  <c r="L110" i="89"/>
  <c r="I110" i="89"/>
  <c r="L109" i="89"/>
  <c r="I109" i="89"/>
  <c r="L108" i="89"/>
  <c r="I108" i="89"/>
  <c r="L107" i="89"/>
  <c r="I107" i="89"/>
  <c r="L106" i="89"/>
  <c r="I106" i="89"/>
  <c r="L105" i="89"/>
  <c r="I105" i="89"/>
  <c r="L104" i="89"/>
  <c r="I104" i="89"/>
  <c r="L103" i="89"/>
  <c r="I103" i="89"/>
  <c r="K102" i="89"/>
  <c r="K101" i="89" s="1"/>
  <c r="K95" i="89" s="1"/>
  <c r="J102" i="89"/>
  <c r="J101" i="89" s="1"/>
  <c r="L101" i="89" s="1"/>
  <c r="H102" i="89"/>
  <c r="H101" i="89" s="1"/>
  <c r="G102" i="89"/>
  <c r="F102" i="89"/>
  <c r="L100" i="89"/>
  <c r="M100" i="89" s="1"/>
  <c r="N100" i="89" s="1"/>
  <c r="I100" i="89"/>
  <c r="I99" i="89"/>
  <c r="H99" i="89"/>
  <c r="G99" i="89"/>
  <c r="F99" i="89"/>
  <c r="L98" i="89"/>
  <c r="I98" i="89"/>
  <c r="M98" i="89" s="1"/>
  <c r="N98" i="89" s="1"/>
  <c r="L97" i="89"/>
  <c r="M97" i="89" s="1"/>
  <c r="N97" i="89" s="1"/>
  <c r="I97" i="89"/>
  <c r="L96" i="89"/>
  <c r="I96" i="89"/>
  <c r="M96" i="89" s="1"/>
  <c r="N96" i="89" s="1"/>
  <c r="J95" i="89"/>
  <c r="L95" i="89" s="1"/>
  <c r="H95" i="89"/>
  <c r="G95" i="89"/>
  <c r="I95" i="89" s="1"/>
  <c r="M95" i="89" s="1"/>
  <c r="F95" i="89"/>
  <c r="L94" i="89"/>
  <c r="I94" i="89"/>
  <c r="N93" i="89"/>
  <c r="L93" i="89"/>
  <c r="I93" i="89"/>
  <c r="M93" i="89" s="1"/>
  <c r="L92" i="89"/>
  <c r="I92" i="89"/>
  <c r="M92" i="89" s="1"/>
  <c r="N92" i="89" s="1"/>
  <c r="L91" i="89"/>
  <c r="I91" i="89"/>
  <c r="M91" i="89" s="1"/>
  <c r="N91" i="89" s="1"/>
  <c r="L90" i="89"/>
  <c r="I90" i="89"/>
  <c r="M90" i="89" s="1"/>
  <c r="N90" i="89" s="1"/>
  <c r="L89" i="89"/>
  <c r="I89" i="89"/>
  <c r="M89" i="89" s="1"/>
  <c r="N89" i="89" s="1"/>
  <c r="L88" i="89"/>
  <c r="I88" i="89"/>
  <c r="M88" i="89" s="1"/>
  <c r="N88" i="89" s="1"/>
  <c r="L87" i="89"/>
  <c r="I87" i="89"/>
  <c r="M87" i="89" s="1"/>
  <c r="N87" i="89" s="1"/>
  <c r="L86" i="89"/>
  <c r="I86" i="89"/>
  <c r="L85" i="89"/>
  <c r="I85" i="89"/>
  <c r="M85" i="89" s="1"/>
  <c r="N85" i="89" s="1"/>
  <c r="K84" i="89"/>
  <c r="L84" i="89" s="1"/>
  <c r="I84" i="89"/>
  <c r="H84" i="89"/>
  <c r="G84" i="89"/>
  <c r="F84" i="89"/>
  <c r="F83" i="89"/>
  <c r="M82" i="89"/>
  <c r="N82" i="89" s="1"/>
  <c r="I82" i="89"/>
  <c r="K81" i="89"/>
  <c r="L81" i="89" s="1"/>
  <c r="H81" i="89"/>
  <c r="G81" i="89"/>
  <c r="I81" i="89" s="1"/>
  <c r="F81" i="89"/>
  <c r="I80" i="89"/>
  <c r="M80" i="89" s="1"/>
  <c r="N80" i="89" s="1"/>
  <c r="K79" i="89"/>
  <c r="L79" i="89" s="1"/>
  <c r="H79" i="89"/>
  <c r="G79" i="89"/>
  <c r="F79" i="89"/>
  <c r="L78" i="89"/>
  <c r="I78" i="89"/>
  <c r="M78" i="89" s="1"/>
  <c r="N78" i="89" s="1"/>
  <c r="K77" i="89"/>
  <c r="L77" i="89" s="1"/>
  <c r="H77" i="89"/>
  <c r="G77" i="89"/>
  <c r="I77" i="89" s="1"/>
  <c r="F77" i="89"/>
  <c r="H76" i="89"/>
  <c r="F76" i="89"/>
  <c r="L75" i="89"/>
  <c r="I75" i="89"/>
  <c r="I74" i="89" s="1"/>
  <c r="K74" i="89"/>
  <c r="L74" i="89" s="1"/>
  <c r="H74" i="89"/>
  <c r="G74" i="89"/>
  <c r="F74" i="89"/>
  <c r="L73" i="89"/>
  <c r="I73" i="89"/>
  <c r="K72" i="89"/>
  <c r="L72" i="89" s="1"/>
  <c r="H72" i="89"/>
  <c r="G72" i="89"/>
  <c r="F72" i="89"/>
  <c r="L71" i="89"/>
  <c r="I71" i="89"/>
  <c r="M71" i="89" s="1"/>
  <c r="N71" i="89" s="1"/>
  <c r="K70" i="89"/>
  <c r="L70" i="89" s="1"/>
  <c r="H70" i="89"/>
  <c r="G70" i="89"/>
  <c r="F70" i="89"/>
  <c r="L69" i="89"/>
  <c r="I69" i="89"/>
  <c r="L68" i="89"/>
  <c r="K68" i="89"/>
  <c r="H68" i="89"/>
  <c r="G68" i="89"/>
  <c r="F68" i="89"/>
  <c r="L67" i="89"/>
  <c r="I67" i="89"/>
  <c r="M67" i="89" s="1"/>
  <c r="N67" i="89" s="1"/>
  <c r="K66" i="89"/>
  <c r="L66" i="89" s="1"/>
  <c r="H66" i="89"/>
  <c r="G66" i="89"/>
  <c r="F66" i="89"/>
  <c r="L65" i="89"/>
  <c r="I65" i="89"/>
  <c r="L64" i="89"/>
  <c r="K64" i="89"/>
  <c r="H64" i="89"/>
  <c r="G64" i="89"/>
  <c r="I64" i="89" s="1"/>
  <c r="F64" i="89"/>
  <c r="L63" i="89"/>
  <c r="I63" i="89"/>
  <c r="M63" i="89" s="1"/>
  <c r="N63" i="89" s="1"/>
  <c r="K62" i="89"/>
  <c r="L62" i="89" s="1"/>
  <c r="H62" i="89"/>
  <c r="G62" i="89"/>
  <c r="F62" i="89"/>
  <c r="L61" i="89"/>
  <c r="I61" i="89"/>
  <c r="K60" i="89"/>
  <c r="L60" i="89" s="1"/>
  <c r="H60" i="89"/>
  <c r="G60" i="89"/>
  <c r="F60" i="89"/>
  <c r="L59" i="89"/>
  <c r="I59" i="89"/>
  <c r="M59" i="89" s="1"/>
  <c r="N59" i="89" s="1"/>
  <c r="K58" i="89"/>
  <c r="L58" i="89" s="1"/>
  <c r="H58" i="89"/>
  <c r="G58" i="89"/>
  <c r="F58" i="89"/>
  <c r="L57" i="89"/>
  <c r="I57" i="89"/>
  <c r="M57" i="89" s="1"/>
  <c r="N57" i="89" s="1"/>
  <c r="L56" i="89"/>
  <c r="K56" i="89"/>
  <c r="H56" i="89"/>
  <c r="G56" i="89"/>
  <c r="F56" i="89"/>
  <c r="L55" i="89"/>
  <c r="I55" i="89"/>
  <c r="K54" i="89"/>
  <c r="L54" i="89" s="1"/>
  <c r="H54" i="89"/>
  <c r="G54" i="89"/>
  <c r="F54" i="89"/>
  <c r="L53" i="89"/>
  <c r="I53" i="89"/>
  <c r="L52" i="89"/>
  <c r="K52" i="89"/>
  <c r="H52" i="89"/>
  <c r="G52" i="89"/>
  <c r="F52" i="89"/>
  <c r="F51" i="89" s="1"/>
  <c r="K51" i="89"/>
  <c r="L51" i="89" s="1"/>
  <c r="J48" i="89"/>
  <c r="L45" i="89"/>
  <c r="M45" i="89" s="1"/>
  <c r="N45" i="89" s="1"/>
  <c r="I45" i="89"/>
  <c r="L44" i="89"/>
  <c r="I44" i="89"/>
  <c r="M44" i="89" s="1"/>
  <c r="N44" i="89" s="1"/>
  <c r="K43" i="89"/>
  <c r="K42" i="89" s="1"/>
  <c r="J43" i="89"/>
  <c r="J42" i="89" s="1"/>
  <c r="H43" i="89"/>
  <c r="H42" i="89" s="1"/>
  <c r="H34" i="89" s="1"/>
  <c r="H33" i="89" s="1"/>
  <c r="H32" i="89" s="1"/>
  <c r="G43" i="89"/>
  <c r="F43" i="89"/>
  <c r="F42" i="89" s="1"/>
  <c r="G42" i="89"/>
  <c r="L41" i="89"/>
  <c r="I41" i="89"/>
  <c r="L40" i="89"/>
  <c r="M40" i="89" s="1"/>
  <c r="N40" i="89" s="1"/>
  <c r="L39" i="89"/>
  <c r="M39" i="89" s="1"/>
  <c r="N39" i="89" s="1"/>
  <c r="M38" i="89"/>
  <c r="N38" i="89" s="1"/>
  <c r="L38" i="89"/>
  <c r="L37" i="89"/>
  <c r="I37" i="89"/>
  <c r="K36" i="89"/>
  <c r="K35" i="89" s="1"/>
  <c r="J36" i="89"/>
  <c r="J35" i="89" s="1"/>
  <c r="I36" i="89"/>
  <c r="H36" i="89"/>
  <c r="H35" i="89" s="1"/>
  <c r="G36" i="89"/>
  <c r="F36" i="89"/>
  <c r="G35" i="89"/>
  <c r="I35" i="89" s="1"/>
  <c r="L31" i="89"/>
  <c r="I31" i="89"/>
  <c r="K30" i="89"/>
  <c r="J30" i="89"/>
  <c r="J29" i="89" s="1"/>
  <c r="I30" i="89"/>
  <c r="H30" i="89"/>
  <c r="G30" i="89"/>
  <c r="F30" i="89"/>
  <c r="F29" i="89" s="1"/>
  <c r="K29" i="89"/>
  <c r="H29" i="89"/>
  <c r="G29" i="89"/>
  <c r="L28" i="89"/>
  <c r="M28" i="89" s="1"/>
  <c r="N28" i="89" s="1"/>
  <c r="L27" i="89"/>
  <c r="M27" i="89" s="1"/>
  <c r="N27" i="89" s="1"/>
  <c r="S19" i="89"/>
  <c r="P26" i="89"/>
  <c r="L26" i="89"/>
  <c r="M26" i="89" s="1"/>
  <c r="N26" i="89" s="1"/>
  <c r="K23" i="89"/>
  <c r="K22" i="89" s="1"/>
  <c r="I26" i="89"/>
  <c r="L25" i="89"/>
  <c r="M25" i="89" s="1"/>
  <c r="N25" i="89" s="1"/>
  <c r="I25" i="89"/>
  <c r="L24" i="89"/>
  <c r="I24" i="89"/>
  <c r="J23" i="89"/>
  <c r="J22" i="89" s="1"/>
  <c r="H23" i="89"/>
  <c r="H22" i="89" s="1"/>
  <c r="G23" i="89"/>
  <c r="G22" i="89" s="1"/>
  <c r="F23" i="89"/>
  <c r="F22" i="89" s="1"/>
  <c r="T19" i="89"/>
  <c r="U17" i="89"/>
  <c r="M419" i="88"/>
  <c r="I419" i="88"/>
  <c r="K418" i="88"/>
  <c r="L418" i="88" s="1"/>
  <c r="M418" i="88" s="1"/>
  <c r="H417" i="88"/>
  <c r="I417" i="88" s="1"/>
  <c r="M417" i="88" s="1"/>
  <c r="H416" i="88"/>
  <c r="I416" i="88" s="1"/>
  <c r="M416" i="88" s="1"/>
  <c r="I415" i="88"/>
  <c r="M415" i="88" s="1"/>
  <c r="H415" i="88"/>
  <c r="H414" i="88"/>
  <c r="I414" i="88" s="1"/>
  <c r="M414" i="88" s="1"/>
  <c r="H413" i="88"/>
  <c r="H406" i="88" s="1"/>
  <c r="M412" i="88"/>
  <c r="L412" i="88"/>
  <c r="I412" i="88"/>
  <c r="L410" i="88"/>
  <c r="K410" i="88"/>
  <c r="I410" i="88"/>
  <c r="M410" i="88" s="1"/>
  <c r="L409" i="88"/>
  <c r="K409" i="88"/>
  <c r="I409" i="88"/>
  <c r="L408" i="88"/>
  <c r="H408" i="88"/>
  <c r="I408" i="88" s="1"/>
  <c r="L407" i="88"/>
  <c r="K407" i="88"/>
  <c r="I407" i="88"/>
  <c r="J406" i="88"/>
  <c r="G406" i="88"/>
  <c r="I400" i="88"/>
  <c r="M400" i="88" s="1"/>
  <c r="K399" i="88"/>
  <c r="L399" i="88" s="1"/>
  <c r="M399" i="88" s="1"/>
  <c r="H398" i="88"/>
  <c r="I398" i="88" s="1"/>
  <c r="M398" i="88" s="1"/>
  <c r="I397" i="88"/>
  <c r="M397" i="88" s="1"/>
  <c r="H397" i="88"/>
  <c r="H396" i="88"/>
  <c r="I396" i="88" s="1"/>
  <c r="M396" i="88" s="1"/>
  <c r="I395" i="88"/>
  <c r="M395" i="88" s="1"/>
  <c r="H395" i="88"/>
  <c r="L394" i="88"/>
  <c r="I394" i="88"/>
  <c r="M394" i="88" s="1"/>
  <c r="H394" i="88"/>
  <c r="L393" i="88"/>
  <c r="I393" i="88"/>
  <c r="K391" i="88"/>
  <c r="L391" i="88" s="1"/>
  <c r="I391" i="88"/>
  <c r="K390" i="88"/>
  <c r="L390" i="88" s="1"/>
  <c r="I390" i="88"/>
  <c r="L389" i="88"/>
  <c r="H389" i="88"/>
  <c r="I389" i="88" s="1"/>
  <c r="M389" i="88" s="1"/>
  <c r="L388" i="88"/>
  <c r="K388" i="88"/>
  <c r="I388" i="88"/>
  <c r="M388" i="88" s="1"/>
  <c r="J387" i="88"/>
  <c r="G387" i="88"/>
  <c r="L383" i="88"/>
  <c r="M383" i="88" s="1"/>
  <c r="N383" i="88" s="1"/>
  <c r="I383" i="88"/>
  <c r="K382" i="88"/>
  <c r="K381" i="88" s="1"/>
  <c r="J382" i="88"/>
  <c r="H382" i="88"/>
  <c r="H381" i="88" s="1"/>
  <c r="G382" i="88"/>
  <c r="F382" i="88"/>
  <c r="F381" i="88" s="1"/>
  <c r="G381" i="88"/>
  <c r="I381" i="88" s="1"/>
  <c r="L380" i="88"/>
  <c r="I380" i="88"/>
  <c r="M380" i="88" s="1"/>
  <c r="N380" i="88" s="1"/>
  <c r="K379" i="88"/>
  <c r="K378" i="88" s="1"/>
  <c r="J379" i="88"/>
  <c r="J378" i="88" s="1"/>
  <c r="H379" i="88"/>
  <c r="H378" i="88" s="1"/>
  <c r="G379" i="88"/>
  <c r="F379" i="88"/>
  <c r="F378" i="88" s="1"/>
  <c r="G378" i="88"/>
  <c r="L374" i="88"/>
  <c r="I374" i="88"/>
  <c r="M374" i="88" s="1"/>
  <c r="N374" i="88" s="1"/>
  <c r="K373" i="88"/>
  <c r="K372" i="88" s="1"/>
  <c r="K371" i="88" s="1"/>
  <c r="K370" i="88" s="1"/>
  <c r="K369" i="88" s="1"/>
  <c r="J373" i="88"/>
  <c r="H373" i="88"/>
  <c r="G373" i="88"/>
  <c r="G372" i="88" s="1"/>
  <c r="F373" i="88"/>
  <c r="J372" i="88"/>
  <c r="H372" i="88"/>
  <c r="H371" i="88" s="1"/>
  <c r="H370" i="88" s="1"/>
  <c r="H369" i="88" s="1"/>
  <c r="F372" i="88"/>
  <c r="F371" i="88" s="1"/>
  <c r="L368" i="88"/>
  <c r="I368" i="88"/>
  <c r="L367" i="88"/>
  <c r="I367" i="88"/>
  <c r="K366" i="88"/>
  <c r="J366" i="88"/>
  <c r="H366" i="88"/>
  <c r="G366" i="88"/>
  <c r="F366" i="88"/>
  <c r="L365" i="88"/>
  <c r="I365" i="88"/>
  <c r="M365" i="88" s="1"/>
  <c r="N365" i="88" s="1"/>
  <c r="K364" i="88"/>
  <c r="K363" i="88" s="1"/>
  <c r="J364" i="88"/>
  <c r="L364" i="88" s="1"/>
  <c r="H364" i="88"/>
  <c r="H363" i="88" s="1"/>
  <c r="G364" i="88"/>
  <c r="F364" i="88"/>
  <c r="J363" i="88"/>
  <c r="F363" i="88"/>
  <c r="M362" i="88"/>
  <c r="N362" i="88" s="1"/>
  <c r="L362" i="88"/>
  <c r="I362" i="88"/>
  <c r="K361" i="88"/>
  <c r="K360" i="88" s="1"/>
  <c r="J361" i="88"/>
  <c r="H361" i="88"/>
  <c r="H360" i="88" s="1"/>
  <c r="G361" i="88"/>
  <c r="G360" i="88" s="1"/>
  <c r="F361" i="88"/>
  <c r="J360" i="88"/>
  <c r="L360" i="88" s="1"/>
  <c r="F360" i="88"/>
  <c r="L356" i="88"/>
  <c r="M356" i="88" s="1"/>
  <c r="N356" i="88" s="1"/>
  <c r="I356" i="88"/>
  <c r="K355" i="88"/>
  <c r="J355" i="88"/>
  <c r="L355" i="88" s="1"/>
  <c r="H355" i="88"/>
  <c r="H354" i="88" s="1"/>
  <c r="H353" i="88" s="1"/>
  <c r="H352" i="88" s="1"/>
  <c r="H351" i="88" s="1"/>
  <c r="G355" i="88"/>
  <c r="G354" i="88" s="1"/>
  <c r="I354" i="88" s="1"/>
  <c r="F355" i="88"/>
  <c r="F354" i="88" s="1"/>
  <c r="K354" i="88"/>
  <c r="K353" i="88" s="1"/>
  <c r="K352" i="88" s="1"/>
  <c r="L348" i="88"/>
  <c r="M348" i="88" s="1"/>
  <c r="N348" i="88" s="1"/>
  <c r="K347" i="88"/>
  <c r="K346" i="88" s="1"/>
  <c r="J347" i="88"/>
  <c r="H347" i="88"/>
  <c r="H346" i="88" s="1"/>
  <c r="H345" i="88" s="1"/>
  <c r="H344" i="88" s="1"/>
  <c r="H343" i="88" s="1"/>
  <c r="G347" i="88"/>
  <c r="F347" i="88"/>
  <c r="J346" i="88"/>
  <c r="J345" i="88" s="1"/>
  <c r="F346" i="88"/>
  <c r="F345" i="88" s="1"/>
  <c r="L342" i="88"/>
  <c r="I342" i="88"/>
  <c r="K341" i="88"/>
  <c r="K340" i="88" s="1"/>
  <c r="K339" i="88" s="1"/>
  <c r="K338" i="88" s="1"/>
  <c r="K337" i="88" s="1"/>
  <c r="J341" i="88"/>
  <c r="J340" i="88" s="1"/>
  <c r="H341" i="88"/>
  <c r="H340" i="88" s="1"/>
  <c r="G341" i="88"/>
  <c r="I341" i="88" s="1"/>
  <c r="F341" i="88"/>
  <c r="F340" i="88" s="1"/>
  <c r="L336" i="88"/>
  <c r="I336" i="88"/>
  <c r="M336" i="88" s="1"/>
  <c r="N336" i="88" s="1"/>
  <c r="K335" i="88"/>
  <c r="K334" i="88" s="1"/>
  <c r="K333" i="88" s="1"/>
  <c r="K332" i="88" s="1"/>
  <c r="K331" i="88" s="1"/>
  <c r="J335" i="88"/>
  <c r="H335" i="88"/>
  <c r="H334" i="88" s="1"/>
  <c r="H333" i="88" s="1"/>
  <c r="H332" i="88" s="1"/>
  <c r="H331" i="88" s="1"/>
  <c r="G335" i="88"/>
  <c r="G334" i="88" s="1"/>
  <c r="F335" i="88"/>
  <c r="F334" i="88" s="1"/>
  <c r="F333" i="88" s="1"/>
  <c r="J334" i="88"/>
  <c r="L334" i="88" s="1"/>
  <c r="L330" i="88"/>
  <c r="M330" i="88" s="1"/>
  <c r="N330" i="88" s="1"/>
  <c r="I330" i="88"/>
  <c r="S329" i="88"/>
  <c r="K329" i="88"/>
  <c r="L329" i="88" s="1"/>
  <c r="M329" i="88" s="1"/>
  <c r="N329" i="88" s="1"/>
  <c r="S328" i="88"/>
  <c r="K328" i="88"/>
  <c r="L328" i="88" s="1"/>
  <c r="M328" i="88" s="1"/>
  <c r="N328" i="88" s="1"/>
  <c r="S327" i="88"/>
  <c r="K327" i="88"/>
  <c r="L327" i="88" s="1"/>
  <c r="M327" i="88" s="1"/>
  <c r="N327" i="88" s="1"/>
  <c r="S326" i="88"/>
  <c r="K326" i="88"/>
  <c r="L326" i="88" s="1"/>
  <c r="M326" i="88" s="1"/>
  <c r="N326" i="88" s="1"/>
  <c r="L325" i="88"/>
  <c r="M325" i="88" s="1"/>
  <c r="N325" i="88" s="1"/>
  <c r="L324" i="88"/>
  <c r="M324" i="88" s="1"/>
  <c r="N324" i="88" s="1"/>
  <c r="J323" i="88"/>
  <c r="J322" i="88" s="1"/>
  <c r="H323" i="88"/>
  <c r="H322" i="88" s="1"/>
  <c r="I322" i="88" s="1"/>
  <c r="G323" i="88"/>
  <c r="I323" i="88" s="1"/>
  <c r="F323" i="88"/>
  <c r="F322" i="88" s="1"/>
  <c r="G322" i="88"/>
  <c r="L321" i="88"/>
  <c r="M321" i="88" s="1"/>
  <c r="N321" i="88" s="1"/>
  <c r="K320" i="88"/>
  <c r="K319" i="88" s="1"/>
  <c r="J320" i="88"/>
  <c r="H320" i="88"/>
  <c r="H319" i="88" s="1"/>
  <c r="G320" i="88"/>
  <c r="G319" i="88" s="1"/>
  <c r="F320" i="88"/>
  <c r="F319" i="88" s="1"/>
  <c r="J319" i="88"/>
  <c r="L319" i="88" s="1"/>
  <c r="M318" i="88"/>
  <c r="N318" i="88" s="1"/>
  <c r="L318" i="88"/>
  <c r="S317" i="88"/>
  <c r="M317" i="88"/>
  <c r="N317" i="88" s="1"/>
  <c r="L317" i="88"/>
  <c r="K316" i="88"/>
  <c r="J316" i="88"/>
  <c r="L316" i="88" s="1"/>
  <c r="H316" i="88"/>
  <c r="H315" i="88" s="1"/>
  <c r="G316" i="88"/>
  <c r="G315" i="88" s="1"/>
  <c r="I315" i="88" s="1"/>
  <c r="F316" i="88"/>
  <c r="F315" i="88" s="1"/>
  <c r="K315" i="88"/>
  <c r="S311" i="88"/>
  <c r="K311" i="88"/>
  <c r="K310" i="88" s="1"/>
  <c r="K309" i="88" s="1"/>
  <c r="I311" i="88"/>
  <c r="J310" i="88"/>
  <c r="H310" i="88"/>
  <c r="H309" i="88" s="1"/>
  <c r="G310" i="88"/>
  <c r="G309" i="88" s="1"/>
  <c r="F310" i="88"/>
  <c r="J309" i="88"/>
  <c r="F309" i="88"/>
  <c r="L308" i="88"/>
  <c r="I308" i="88"/>
  <c r="M308" i="88" s="1"/>
  <c r="N308" i="88" s="1"/>
  <c r="L307" i="88"/>
  <c r="I307" i="88"/>
  <c r="K306" i="88"/>
  <c r="K305" i="88" s="1"/>
  <c r="J306" i="88"/>
  <c r="L306" i="88" s="1"/>
  <c r="H306" i="88"/>
  <c r="G306" i="88"/>
  <c r="I306" i="88" s="1"/>
  <c r="F306" i="88"/>
  <c r="H305" i="88"/>
  <c r="F305" i="88"/>
  <c r="S304" i="88"/>
  <c r="L304" i="88"/>
  <c r="M304" i="88" s="1"/>
  <c r="N304" i="88" s="1"/>
  <c r="K304" i="88"/>
  <c r="K303" i="88" s="1"/>
  <c r="K302" i="88" s="1"/>
  <c r="J303" i="88"/>
  <c r="H303" i="88"/>
  <c r="H302" i="88" s="1"/>
  <c r="G303" i="88"/>
  <c r="F303" i="88"/>
  <c r="F302" i="88" s="1"/>
  <c r="G302" i="88"/>
  <c r="I302" i="88" s="1"/>
  <c r="L296" i="88"/>
  <c r="M296" i="88" s="1"/>
  <c r="N296" i="88" s="1"/>
  <c r="L295" i="88"/>
  <c r="I295" i="88"/>
  <c r="L294" i="88"/>
  <c r="I294" i="88"/>
  <c r="L293" i="88"/>
  <c r="I293" i="88"/>
  <c r="M293" i="88" s="1"/>
  <c r="N293" i="88" s="1"/>
  <c r="K292" i="88"/>
  <c r="K291" i="88" s="1"/>
  <c r="J292" i="88"/>
  <c r="H292" i="88"/>
  <c r="H291" i="88" s="1"/>
  <c r="G292" i="88"/>
  <c r="F292" i="88"/>
  <c r="J291" i="88"/>
  <c r="F291" i="88"/>
  <c r="M290" i="88"/>
  <c r="N290" i="88" s="1"/>
  <c r="L290" i="88"/>
  <c r="L289" i="88"/>
  <c r="M289" i="88" s="1"/>
  <c r="N289" i="88" s="1"/>
  <c r="L288" i="88"/>
  <c r="M288" i="88" s="1"/>
  <c r="N288" i="88" s="1"/>
  <c r="L287" i="88"/>
  <c r="I287" i="88"/>
  <c r="L286" i="88"/>
  <c r="M286" i="88" s="1"/>
  <c r="N286" i="88" s="1"/>
  <c r="L285" i="88"/>
  <c r="M285" i="88" s="1"/>
  <c r="N285" i="88" s="1"/>
  <c r="L284" i="88"/>
  <c r="M284" i="88" s="1"/>
  <c r="N284" i="88" s="1"/>
  <c r="L283" i="88"/>
  <c r="I283" i="88"/>
  <c r="M283" i="88" s="1"/>
  <c r="N283" i="88" s="1"/>
  <c r="K282" i="88"/>
  <c r="K281" i="88" s="1"/>
  <c r="J282" i="88"/>
  <c r="L282" i="88" s="1"/>
  <c r="H282" i="88"/>
  <c r="H281" i="88" s="1"/>
  <c r="H280" i="88" s="1"/>
  <c r="H279" i="88" s="1"/>
  <c r="H278" i="88" s="1"/>
  <c r="G282" i="88"/>
  <c r="I282" i="88" s="1"/>
  <c r="M282" i="88" s="1"/>
  <c r="F282" i="88"/>
  <c r="J281" i="88"/>
  <c r="J280" i="88" s="1"/>
  <c r="F281" i="88"/>
  <c r="F280" i="88" s="1"/>
  <c r="L277" i="88"/>
  <c r="I277" i="88"/>
  <c r="M277" i="88" s="1"/>
  <c r="N277" i="88" s="1"/>
  <c r="I276" i="88"/>
  <c r="M276" i="88" s="1"/>
  <c r="N276" i="88" s="1"/>
  <c r="M275" i="88"/>
  <c r="N275" i="88" s="1"/>
  <c r="I275" i="88"/>
  <c r="L274" i="88"/>
  <c r="M274" i="88" s="1"/>
  <c r="N274" i="88" s="1"/>
  <c r="I274" i="88"/>
  <c r="K273" i="88"/>
  <c r="K272" i="88" s="1"/>
  <c r="K271" i="88" s="1"/>
  <c r="K270" i="88" s="1"/>
  <c r="K269" i="88" s="1"/>
  <c r="J273" i="88"/>
  <c r="H273" i="88"/>
  <c r="H272" i="88" s="1"/>
  <c r="H271" i="88" s="1"/>
  <c r="H270" i="88" s="1"/>
  <c r="H269" i="88" s="1"/>
  <c r="G273" i="88"/>
  <c r="F273" i="88"/>
  <c r="F272" i="88" s="1"/>
  <c r="G272" i="88"/>
  <c r="S268" i="88"/>
  <c r="L268" i="88"/>
  <c r="K268" i="88"/>
  <c r="I268" i="88"/>
  <c r="S267" i="88"/>
  <c r="L267" i="88"/>
  <c r="K267" i="88"/>
  <c r="I267" i="88"/>
  <c r="M267" i="88" s="1"/>
  <c r="N267" i="88" s="1"/>
  <c r="T266" i="88"/>
  <c r="L266" i="88"/>
  <c r="H266" i="88"/>
  <c r="H263" i="88" s="1"/>
  <c r="L265" i="88"/>
  <c r="I265" i="88"/>
  <c r="M265" i="88" s="1"/>
  <c r="N265" i="88" s="1"/>
  <c r="S264" i="88"/>
  <c r="L264" i="88"/>
  <c r="K264" i="88"/>
  <c r="K263" i="88" s="1"/>
  <c r="K262" i="88" s="1"/>
  <c r="I264" i="88"/>
  <c r="M264" i="88" s="1"/>
  <c r="N264" i="88" s="1"/>
  <c r="J263" i="88"/>
  <c r="J262" i="88" s="1"/>
  <c r="G263" i="88"/>
  <c r="F263" i="88"/>
  <c r="H262" i="88"/>
  <c r="F262" i="88"/>
  <c r="K261" i="88"/>
  <c r="K260" i="88" s="1"/>
  <c r="I261" i="88"/>
  <c r="J260" i="88"/>
  <c r="H260" i="88"/>
  <c r="H259" i="88" s="1"/>
  <c r="H258" i="88" s="1"/>
  <c r="H257" i="88" s="1"/>
  <c r="H256" i="88" s="1"/>
  <c r="G260" i="88"/>
  <c r="F260" i="88"/>
  <c r="F259" i="88" s="1"/>
  <c r="K259" i="88"/>
  <c r="G259" i="88"/>
  <c r="L255" i="88"/>
  <c r="I255" i="88"/>
  <c r="M255" i="88" s="1"/>
  <c r="N255" i="88" s="1"/>
  <c r="L254" i="88"/>
  <c r="I254" i="88"/>
  <c r="M254" i="88" s="1"/>
  <c r="N254" i="88" s="1"/>
  <c r="L253" i="88"/>
  <c r="I253" i="88"/>
  <c r="M253" i="88" s="1"/>
  <c r="N253" i="88" s="1"/>
  <c r="K252" i="88"/>
  <c r="K251" i="88" s="1"/>
  <c r="J252" i="88"/>
  <c r="H252" i="88"/>
  <c r="H251" i="88" s="1"/>
  <c r="H250" i="88" s="1"/>
  <c r="H249" i="88" s="1"/>
  <c r="H248" i="88" s="1"/>
  <c r="G252" i="88"/>
  <c r="G251" i="88" s="1"/>
  <c r="F252" i="88"/>
  <c r="F251" i="88" s="1"/>
  <c r="F250" i="88" s="1"/>
  <c r="F249" i="88" s="1"/>
  <c r="J251" i="88"/>
  <c r="J250" i="88" s="1"/>
  <c r="K250" i="88"/>
  <c r="K249" i="88" s="1"/>
  <c r="K248" i="88" s="1"/>
  <c r="G250" i="88"/>
  <c r="G249" i="88" s="1"/>
  <c r="G248" i="88" s="1"/>
  <c r="I245" i="88"/>
  <c r="M245" i="88" s="1"/>
  <c r="N245" i="88" s="1"/>
  <c r="K244" i="88"/>
  <c r="J244" i="88"/>
  <c r="J243" i="88" s="1"/>
  <c r="L243" i="88" s="1"/>
  <c r="H244" i="88"/>
  <c r="H243" i="88" s="1"/>
  <c r="G244" i="88"/>
  <c r="I244" i="88" s="1"/>
  <c r="F244" i="88"/>
  <c r="F243" i="88" s="1"/>
  <c r="K243" i="88"/>
  <c r="K242" i="88" s="1"/>
  <c r="K241" i="88" s="1"/>
  <c r="K240" i="88" s="1"/>
  <c r="K239" i="88" s="1"/>
  <c r="H242" i="88"/>
  <c r="H241" i="88" s="1"/>
  <c r="H240" i="88" s="1"/>
  <c r="H239" i="88" s="1"/>
  <c r="F242" i="88"/>
  <c r="F241" i="88" s="1"/>
  <c r="F240" i="88" s="1"/>
  <c r="L237" i="88"/>
  <c r="M237" i="88" s="1"/>
  <c r="N237" i="88" s="1"/>
  <c r="I237" i="88"/>
  <c r="K236" i="88"/>
  <c r="J236" i="88"/>
  <c r="J235" i="88" s="1"/>
  <c r="L235" i="88" s="1"/>
  <c r="H236" i="88"/>
  <c r="G236" i="88"/>
  <c r="F236" i="88"/>
  <c r="F235" i="88" s="1"/>
  <c r="F234" i="88" s="1"/>
  <c r="K235" i="88"/>
  <c r="K234" i="88" s="1"/>
  <c r="G235" i="88"/>
  <c r="G234" i="88" s="1"/>
  <c r="J234" i="88"/>
  <c r="J232" i="88" s="1"/>
  <c r="L232" i="88" s="1"/>
  <c r="L233" i="88"/>
  <c r="I233" i="88"/>
  <c r="M233" i="88" s="1"/>
  <c r="N233" i="88" s="1"/>
  <c r="K232" i="88"/>
  <c r="K231" i="88" s="1"/>
  <c r="G232" i="88"/>
  <c r="G231" i="88" s="1"/>
  <c r="F232" i="88"/>
  <c r="F231" i="88" s="1"/>
  <c r="F222" i="88" s="1"/>
  <c r="F221" i="88" s="1"/>
  <c r="L230" i="88"/>
  <c r="I230" i="88"/>
  <c r="L229" i="88"/>
  <c r="I229" i="88"/>
  <c r="M229" i="88" s="1"/>
  <c r="N229" i="88" s="1"/>
  <c r="L228" i="88"/>
  <c r="I228" i="88"/>
  <c r="M228" i="88" s="1"/>
  <c r="N228" i="88" s="1"/>
  <c r="K227" i="88"/>
  <c r="K226" i="88" s="1"/>
  <c r="J227" i="88"/>
  <c r="H227" i="88"/>
  <c r="H226" i="88" s="1"/>
  <c r="G227" i="88"/>
  <c r="G226" i="88" s="1"/>
  <c r="F227" i="88"/>
  <c r="L226" i="88"/>
  <c r="J226" i="88"/>
  <c r="F226" i="88"/>
  <c r="L225" i="88"/>
  <c r="I225" i="88"/>
  <c r="M225" i="88" s="1"/>
  <c r="N225" i="88" s="1"/>
  <c r="K224" i="88"/>
  <c r="J224" i="88"/>
  <c r="H224" i="88"/>
  <c r="H223" i="88" s="1"/>
  <c r="G224" i="88"/>
  <c r="G223" i="88" s="1"/>
  <c r="F224" i="88"/>
  <c r="J223" i="88"/>
  <c r="J222" i="88" s="1"/>
  <c r="J221" i="88" s="1"/>
  <c r="F223" i="88"/>
  <c r="I220" i="88"/>
  <c r="M220" i="88" s="1"/>
  <c r="N220" i="88" s="1"/>
  <c r="L219" i="88"/>
  <c r="M219" i="88" s="1"/>
  <c r="N219" i="88" s="1"/>
  <c r="L218" i="88"/>
  <c r="I218" i="88"/>
  <c r="M218" i="88" s="1"/>
  <c r="N218" i="88" s="1"/>
  <c r="K217" i="88"/>
  <c r="J217" i="88"/>
  <c r="H217" i="88"/>
  <c r="G217" i="88"/>
  <c r="F217" i="88"/>
  <c r="K216" i="88"/>
  <c r="L216" i="88" s="1"/>
  <c r="J216" i="88"/>
  <c r="H216" i="88"/>
  <c r="G216" i="88"/>
  <c r="F216" i="88"/>
  <c r="L215" i="88"/>
  <c r="I215" i="88"/>
  <c r="M215" i="88" s="1"/>
  <c r="N215" i="88" s="1"/>
  <c r="L214" i="88"/>
  <c r="I214" i="88"/>
  <c r="M214" i="88" s="1"/>
  <c r="N214" i="88" s="1"/>
  <c r="K213" i="88"/>
  <c r="K212" i="88" s="1"/>
  <c r="J213" i="88"/>
  <c r="L213" i="88" s="1"/>
  <c r="H213" i="88"/>
  <c r="H212" i="88" s="1"/>
  <c r="I212" i="88" s="1"/>
  <c r="G213" i="88"/>
  <c r="G212" i="88" s="1"/>
  <c r="F213" i="88"/>
  <c r="F212" i="88"/>
  <c r="L211" i="88"/>
  <c r="I211" i="88"/>
  <c r="M211" i="88" s="1"/>
  <c r="N211" i="88" s="1"/>
  <c r="K210" i="88"/>
  <c r="J210" i="88"/>
  <c r="H210" i="88"/>
  <c r="G210" i="88"/>
  <c r="F210" i="88"/>
  <c r="K209" i="88"/>
  <c r="L209" i="88" s="1"/>
  <c r="J209" i="88"/>
  <c r="H209" i="88"/>
  <c r="G209" i="88"/>
  <c r="F209" i="88"/>
  <c r="L205" i="88"/>
  <c r="I205" i="88"/>
  <c r="L204" i="88"/>
  <c r="K204" i="88"/>
  <c r="K203" i="88" s="1"/>
  <c r="J204" i="88"/>
  <c r="H204" i="88"/>
  <c r="H203" i="88" s="1"/>
  <c r="H202" i="88" s="1"/>
  <c r="H201" i="88" s="1"/>
  <c r="H199" i="88" s="1"/>
  <c r="H198" i="88" s="1"/>
  <c r="G204" i="88"/>
  <c r="I204" i="88" s="1"/>
  <c r="F204" i="88"/>
  <c r="J203" i="88"/>
  <c r="J202" i="88" s="1"/>
  <c r="J201" i="88" s="1"/>
  <c r="F203" i="88"/>
  <c r="F202" i="88"/>
  <c r="F201" i="88" s="1"/>
  <c r="L200" i="88"/>
  <c r="I200" i="88"/>
  <c r="F199" i="88"/>
  <c r="F198" i="88" s="1"/>
  <c r="M197" i="88"/>
  <c r="N197" i="88" s="1"/>
  <c r="L197" i="88"/>
  <c r="I197" i="88"/>
  <c r="L196" i="88"/>
  <c r="I196" i="88"/>
  <c r="M196" i="88" s="1"/>
  <c r="N196" i="88" s="1"/>
  <c r="K195" i="88"/>
  <c r="J195" i="88"/>
  <c r="J194" i="88" s="1"/>
  <c r="I195" i="88"/>
  <c r="H195" i="88"/>
  <c r="G195" i="88"/>
  <c r="F195" i="88"/>
  <c r="F194" i="88" s="1"/>
  <c r="K194" i="88"/>
  <c r="H194" i="88"/>
  <c r="G194" i="88"/>
  <c r="I194" i="88" s="1"/>
  <c r="L193" i="88"/>
  <c r="M193" i="88" s="1"/>
  <c r="N193" i="88" s="1"/>
  <c r="L192" i="88"/>
  <c r="M192" i="88" s="1"/>
  <c r="N192" i="88" s="1"/>
  <c r="N191" i="88"/>
  <c r="M191" i="88"/>
  <c r="L191" i="88"/>
  <c r="M190" i="88"/>
  <c r="N190" i="88" s="1"/>
  <c r="L190" i="88"/>
  <c r="L189" i="88"/>
  <c r="I189" i="88"/>
  <c r="M189" i="88" s="1"/>
  <c r="N189" i="88" s="1"/>
  <c r="K188" i="88"/>
  <c r="K187" i="88" s="1"/>
  <c r="J188" i="88"/>
  <c r="L188" i="88" s="1"/>
  <c r="H188" i="88"/>
  <c r="H187" i="88" s="1"/>
  <c r="H186" i="88" s="1"/>
  <c r="H185" i="88" s="1"/>
  <c r="H184" i="88" s="1"/>
  <c r="G188" i="88"/>
  <c r="I188" i="88" s="1"/>
  <c r="F188" i="88"/>
  <c r="F187" i="88" s="1"/>
  <c r="S183" i="88"/>
  <c r="K183" i="88"/>
  <c r="L183" i="88" s="1"/>
  <c r="M183" i="88" s="1"/>
  <c r="N183" i="88" s="1"/>
  <c r="S182" i="88"/>
  <c r="K182" i="88"/>
  <c r="K181" i="88" s="1"/>
  <c r="I182" i="88"/>
  <c r="J181" i="88"/>
  <c r="H181" i="88"/>
  <c r="H180" i="88" s="1"/>
  <c r="H175" i="88" s="1"/>
  <c r="H174" i="88" s="1"/>
  <c r="H173" i="88" s="1"/>
  <c r="G181" i="88"/>
  <c r="F181" i="88"/>
  <c r="F180" i="88" s="1"/>
  <c r="J180" i="88"/>
  <c r="M179" i="88"/>
  <c r="N179" i="88" s="1"/>
  <c r="L179" i="88"/>
  <c r="I179" i="88"/>
  <c r="L178" i="88"/>
  <c r="I178" i="88"/>
  <c r="M178" i="88" s="1"/>
  <c r="N178" i="88" s="1"/>
  <c r="K177" i="88"/>
  <c r="J177" i="88"/>
  <c r="J176" i="88" s="1"/>
  <c r="I177" i="88"/>
  <c r="H177" i="88"/>
  <c r="G177" i="88"/>
  <c r="F177" i="88"/>
  <c r="F176" i="88" s="1"/>
  <c r="K176" i="88"/>
  <c r="H176" i="88"/>
  <c r="G176" i="88"/>
  <c r="I176" i="88" s="1"/>
  <c r="L172" i="88"/>
  <c r="M172" i="88" s="1"/>
  <c r="N172" i="88" s="1"/>
  <c r="S171" i="88"/>
  <c r="K171" i="88"/>
  <c r="K169" i="88" s="1"/>
  <c r="I171" i="88"/>
  <c r="L170" i="88"/>
  <c r="I170" i="88"/>
  <c r="M170" i="88" s="1"/>
  <c r="N170" i="88" s="1"/>
  <c r="J169" i="88"/>
  <c r="J168" i="88" s="1"/>
  <c r="J167" i="88" s="1"/>
  <c r="J166" i="88" s="1"/>
  <c r="H169" i="88"/>
  <c r="H168" i="88" s="1"/>
  <c r="H167" i="88" s="1"/>
  <c r="H166" i="88" s="1"/>
  <c r="H165" i="88" s="1"/>
  <c r="G169" i="88"/>
  <c r="I169" i="88" s="1"/>
  <c r="F169" i="88"/>
  <c r="F168" i="88"/>
  <c r="F167" i="88"/>
  <c r="F166" i="88" s="1"/>
  <c r="M164" i="88"/>
  <c r="N164" i="88" s="1"/>
  <c r="L164" i="88"/>
  <c r="I164" i="88"/>
  <c r="L163" i="88"/>
  <c r="I163" i="88"/>
  <c r="M163" i="88" s="1"/>
  <c r="N163" i="88" s="1"/>
  <c r="L162" i="88"/>
  <c r="K162" i="88"/>
  <c r="J162" i="88"/>
  <c r="H162" i="88"/>
  <c r="G162" i="88"/>
  <c r="I162" i="88" s="1"/>
  <c r="M162" i="88" s="1"/>
  <c r="F162" i="88"/>
  <c r="L161" i="88"/>
  <c r="I161" i="88"/>
  <c r="M161" i="88" s="1"/>
  <c r="N161" i="88" s="1"/>
  <c r="K160" i="88"/>
  <c r="J160" i="88"/>
  <c r="J159" i="88" s="1"/>
  <c r="L159" i="88" s="1"/>
  <c r="I160" i="88"/>
  <c r="H160" i="88"/>
  <c r="G160" i="88"/>
  <c r="G156" i="88" s="1"/>
  <c r="F160" i="88"/>
  <c r="K159" i="88"/>
  <c r="H159" i="88"/>
  <c r="G159" i="88"/>
  <c r="L158" i="88"/>
  <c r="I158" i="88"/>
  <c r="M158" i="88" s="1"/>
  <c r="N158" i="88" s="1"/>
  <c r="K157" i="88"/>
  <c r="J157" i="88"/>
  <c r="L157" i="88" s="1"/>
  <c r="H157" i="88"/>
  <c r="G157" i="88"/>
  <c r="F157" i="88"/>
  <c r="F156" i="88" s="1"/>
  <c r="H156" i="88"/>
  <c r="L155" i="88"/>
  <c r="I155" i="88"/>
  <c r="M155" i="88" s="1"/>
  <c r="N155" i="88" s="1"/>
  <c r="L154" i="88"/>
  <c r="I154" i="88"/>
  <c r="M154" i="88" s="1"/>
  <c r="N154" i="88" s="1"/>
  <c r="K153" i="88"/>
  <c r="J153" i="88"/>
  <c r="L153" i="88" s="1"/>
  <c r="H153" i="88"/>
  <c r="G153" i="88"/>
  <c r="G149" i="88" s="1"/>
  <c r="I149" i="88" s="1"/>
  <c r="F153" i="88"/>
  <c r="L152" i="88"/>
  <c r="I152" i="88"/>
  <c r="M152" i="88" s="1"/>
  <c r="N152" i="88" s="1"/>
  <c r="L151" i="88"/>
  <c r="I151" i="88"/>
  <c r="M151" i="88" s="1"/>
  <c r="N151" i="88" s="1"/>
  <c r="K150" i="88"/>
  <c r="K149" i="88" s="1"/>
  <c r="K148" i="88" s="1"/>
  <c r="K147" i="88" s="1"/>
  <c r="J150" i="88"/>
  <c r="H150" i="88"/>
  <c r="G150" i="88"/>
  <c r="I150" i="88" s="1"/>
  <c r="F150" i="88"/>
  <c r="H149" i="88"/>
  <c r="L146" i="88"/>
  <c r="I146" i="88"/>
  <c r="L145" i="88"/>
  <c r="I145" i="88"/>
  <c r="L144" i="88"/>
  <c r="I144" i="88"/>
  <c r="M144" i="88" s="1"/>
  <c r="N144" i="88" s="1"/>
  <c r="K143" i="88"/>
  <c r="K142" i="88" s="1"/>
  <c r="K141" i="88" s="1"/>
  <c r="K140" i="88" s="1"/>
  <c r="J143" i="88"/>
  <c r="L143" i="88" s="1"/>
  <c r="H143" i="88"/>
  <c r="G143" i="88"/>
  <c r="G142" i="88" s="1"/>
  <c r="F143" i="88"/>
  <c r="H142" i="88"/>
  <c r="H141" i="88" s="1"/>
  <c r="H140" i="88" s="1"/>
  <c r="L136" i="88"/>
  <c r="I136" i="88"/>
  <c r="M136" i="88" s="1"/>
  <c r="N136" i="88" s="1"/>
  <c r="L135" i="88"/>
  <c r="I135" i="88"/>
  <c r="M135" i="88" s="1"/>
  <c r="N135" i="88" s="1"/>
  <c r="L134" i="88"/>
  <c r="I134" i="88"/>
  <c r="M134" i="88" s="1"/>
  <c r="N134" i="88" s="1"/>
  <c r="L133" i="88"/>
  <c r="I133" i="88"/>
  <c r="M133" i="88" s="1"/>
  <c r="N133" i="88" s="1"/>
  <c r="K132" i="88"/>
  <c r="J132" i="88"/>
  <c r="L132" i="88" s="1"/>
  <c r="H132" i="88"/>
  <c r="H131" i="88" s="1"/>
  <c r="G132" i="88"/>
  <c r="I132" i="88" s="1"/>
  <c r="M132" i="88" s="1"/>
  <c r="F132" i="88"/>
  <c r="K131" i="88"/>
  <c r="J131" i="88"/>
  <c r="L131" i="88" s="1"/>
  <c r="F131" i="88"/>
  <c r="L130" i="88"/>
  <c r="I130" i="88"/>
  <c r="L129" i="88"/>
  <c r="I129" i="88"/>
  <c r="M129" i="88" s="1"/>
  <c r="N129" i="88" s="1"/>
  <c r="L128" i="88"/>
  <c r="I128" i="88"/>
  <c r="M128" i="88" s="1"/>
  <c r="N128" i="88" s="1"/>
  <c r="K127" i="88"/>
  <c r="K126" i="88" s="1"/>
  <c r="J127" i="88"/>
  <c r="H127" i="88"/>
  <c r="G127" i="88"/>
  <c r="G126" i="88" s="1"/>
  <c r="F127" i="88"/>
  <c r="H126" i="88"/>
  <c r="M120" i="88"/>
  <c r="N120" i="88" s="1"/>
  <c r="L120" i="88"/>
  <c r="I120" i="88"/>
  <c r="M119" i="88"/>
  <c r="N119" i="88" s="1"/>
  <c r="L119" i="88"/>
  <c r="I119" i="88"/>
  <c r="S118" i="88"/>
  <c r="S19" i="88" s="1"/>
  <c r="L118" i="88"/>
  <c r="I118" i="88"/>
  <c r="M118" i="88" s="1"/>
  <c r="N118" i="88" s="1"/>
  <c r="K117" i="88"/>
  <c r="J117" i="88"/>
  <c r="H117" i="88"/>
  <c r="G117" i="88"/>
  <c r="I117" i="88" s="1"/>
  <c r="F117" i="88"/>
  <c r="F116" i="88" s="1"/>
  <c r="K116" i="88"/>
  <c r="K115" i="88" s="1"/>
  <c r="K114" i="88" s="1"/>
  <c r="H116" i="88"/>
  <c r="H115" i="88" s="1"/>
  <c r="H114" i="88" s="1"/>
  <c r="H113" i="88" s="1"/>
  <c r="L112" i="88"/>
  <c r="I112" i="88"/>
  <c r="M112" i="88" s="1"/>
  <c r="N112" i="88" s="1"/>
  <c r="L111" i="88"/>
  <c r="I111" i="88"/>
  <c r="L110" i="88"/>
  <c r="I110" i="88"/>
  <c r="M110" i="88" s="1"/>
  <c r="N110" i="88" s="1"/>
  <c r="L109" i="88"/>
  <c r="I109" i="88"/>
  <c r="L108" i="88"/>
  <c r="I108" i="88"/>
  <c r="L107" i="88"/>
  <c r="I107" i="88"/>
  <c r="L106" i="88"/>
  <c r="I106" i="88"/>
  <c r="M106" i="88" s="1"/>
  <c r="N106" i="88" s="1"/>
  <c r="L105" i="88"/>
  <c r="I105" i="88"/>
  <c r="L104" i="88"/>
  <c r="I104" i="88"/>
  <c r="L103" i="88"/>
  <c r="I103" i="88"/>
  <c r="K102" i="88"/>
  <c r="K101" i="88" s="1"/>
  <c r="K95" i="88" s="1"/>
  <c r="J102" i="88"/>
  <c r="J101" i="88" s="1"/>
  <c r="H102" i="88"/>
  <c r="G102" i="88"/>
  <c r="F102" i="88"/>
  <c r="F101" i="88" s="1"/>
  <c r="I101" i="88"/>
  <c r="H101" i="88"/>
  <c r="G101" i="88"/>
  <c r="L100" i="88"/>
  <c r="I100" i="88"/>
  <c r="M100" i="88" s="1"/>
  <c r="N100" i="88" s="1"/>
  <c r="H99" i="88"/>
  <c r="G99" i="88"/>
  <c r="F99" i="88"/>
  <c r="L98" i="88"/>
  <c r="I98" i="88"/>
  <c r="L97" i="88"/>
  <c r="I97" i="88"/>
  <c r="L96" i="88"/>
  <c r="M96" i="88" s="1"/>
  <c r="N96" i="88" s="1"/>
  <c r="I96" i="88"/>
  <c r="J95" i="88"/>
  <c r="H95" i="88"/>
  <c r="G95" i="88"/>
  <c r="I95" i="88" s="1"/>
  <c r="F95" i="88"/>
  <c r="L94" i="88"/>
  <c r="I94" i="88"/>
  <c r="M94" i="88" s="1"/>
  <c r="N94" i="88" s="1"/>
  <c r="L93" i="88"/>
  <c r="I93" i="88"/>
  <c r="M93" i="88" s="1"/>
  <c r="N93" i="88" s="1"/>
  <c r="L92" i="88"/>
  <c r="I92" i="88"/>
  <c r="L91" i="88"/>
  <c r="I91" i="88"/>
  <c r="M91" i="88" s="1"/>
  <c r="N91" i="88" s="1"/>
  <c r="L90" i="88"/>
  <c r="I90" i="88"/>
  <c r="M90" i="88" s="1"/>
  <c r="N90" i="88" s="1"/>
  <c r="L89" i="88"/>
  <c r="I89" i="88"/>
  <c r="L88" i="88"/>
  <c r="I88" i="88"/>
  <c r="M88" i="88" s="1"/>
  <c r="N88" i="88" s="1"/>
  <c r="L87" i="88"/>
  <c r="I87" i="88"/>
  <c r="M87" i="88" s="1"/>
  <c r="N87" i="88" s="1"/>
  <c r="L86" i="88"/>
  <c r="I86" i="88"/>
  <c r="L85" i="88"/>
  <c r="I85" i="88"/>
  <c r="M85" i="88" s="1"/>
  <c r="N85" i="88" s="1"/>
  <c r="K84" i="88"/>
  <c r="L84" i="88" s="1"/>
  <c r="H84" i="88"/>
  <c r="H83" i="88" s="1"/>
  <c r="G84" i="88"/>
  <c r="I84" i="88" s="1"/>
  <c r="M84" i="88" s="1"/>
  <c r="F84" i="88"/>
  <c r="I82" i="88"/>
  <c r="M82" i="88" s="1"/>
  <c r="N82" i="88" s="1"/>
  <c r="L81" i="88"/>
  <c r="K81" i="88"/>
  <c r="H81" i="88"/>
  <c r="G81" i="88"/>
  <c r="F81" i="88"/>
  <c r="I80" i="88"/>
  <c r="M80" i="88" s="1"/>
  <c r="N80" i="88" s="1"/>
  <c r="L79" i="88"/>
  <c r="K79" i="88"/>
  <c r="H79" i="88"/>
  <c r="G79" i="88"/>
  <c r="F79" i="88"/>
  <c r="L78" i="88"/>
  <c r="I78" i="88"/>
  <c r="K77" i="88"/>
  <c r="K76" i="88" s="1"/>
  <c r="L76" i="88" s="1"/>
  <c r="H77" i="88"/>
  <c r="H76" i="88" s="1"/>
  <c r="G77" i="88"/>
  <c r="F77" i="88"/>
  <c r="G76" i="88"/>
  <c r="F76" i="88"/>
  <c r="L75" i="88"/>
  <c r="I75" i="88"/>
  <c r="I74" i="88" s="1"/>
  <c r="M74" i="88" s="1"/>
  <c r="L74" i="88"/>
  <c r="K74" i="88"/>
  <c r="H74" i="88"/>
  <c r="G74" i="88"/>
  <c r="F74" i="88"/>
  <c r="L73" i="88"/>
  <c r="I73" i="88"/>
  <c r="K72" i="88"/>
  <c r="L72" i="88" s="1"/>
  <c r="H72" i="88"/>
  <c r="G72" i="88"/>
  <c r="F72" i="88"/>
  <c r="M71" i="88"/>
  <c r="N71" i="88" s="1"/>
  <c r="L71" i="88"/>
  <c r="I71" i="88"/>
  <c r="L70" i="88"/>
  <c r="K70" i="88"/>
  <c r="H70" i="88"/>
  <c r="G70" i="88"/>
  <c r="F70" i="88"/>
  <c r="L69" i="88"/>
  <c r="I69" i="88"/>
  <c r="M69" i="88" s="1"/>
  <c r="N69" i="88" s="1"/>
  <c r="K68" i="88"/>
  <c r="L68" i="88" s="1"/>
  <c r="H68" i="88"/>
  <c r="G68" i="88"/>
  <c r="I68" i="88" s="1"/>
  <c r="F68" i="88"/>
  <c r="L67" i="88"/>
  <c r="I67" i="88"/>
  <c r="L66" i="88"/>
  <c r="K66" i="88"/>
  <c r="H66" i="88"/>
  <c r="G66" i="88"/>
  <c r="F66" i="88"/>
  <c r="L65" i="88"/>
  <c r="I65" i="88"/>
  <c r="M65" i="88" s="1"/>
  <c r="N65" i="88" s="1"/>
  <c r="K64" i="88"/>
  <c r="L64" i="88" s="1"/>
  <c r="H64" i="88"/>
  <c r="G64" i="88"/>
  <c r="F64" i="88"/>
  <c r="L63" i="88"/>
  <c r="I63" i="88"/>
  <c r="M63" i="88" s="1"/>
  <c r="N63" i="88" s="1"/>
  <c r="K62" i="88"/>
  <c r="L62" i="88" s="1"/>
  <c r="H62" i="88"/>
  <c r="G62" i="88"/>
  <c r="F62" i="88"/>
  <c r="L61" i="88"/>
  <c r="I61" i="88"/>
  <c r="M61" i="88" s="1"/>
  <c r="N61" i="88" s="1"/>
  <c r="L60" i="88"/>
  <c r="K60" i="88"/>
  <c r="H60" i="88"/>
  <c r="G60" i="88"/>
  <c r="F60" i="88"/>
  <c r="L59" i="88"/>
  <c r="I59" i="88"/>
  <c r="K58" i="88"/>
  <c r="L58" i="88" s="1"/>
  <c r="H58" i="88"/>
  <c r="G58" i="88"/>
  <c r="F58" i="88"/>
  <c r="L57" i="88"/>
  <c r="I57" i="88"/>
  <c r="K56" i="88"/>
  <c r="L56" i="88" s="1"/>
  <c r="H56" i="88"/>
  <c r="G56" i="88"/>
  <c r="F56" i="88"/>
  <c r="L55" i="88"/>
  <c r="I55" i="88"/>
  <c r="M55" i="88" s="1"/>
  <c r="N55" i="88" s="1"/>
  <c r="L54" i="88"/>
  <c r="K54" i="88"/>
  <c r="H54" i="88"/>
  <c r="G54" i="88"/>
  <c r="F54" i="88"/>
  <c r="M53" i="88"/>
  <c r="N53" i="88" s="1"/>
  <c r="L53" i="88"/>
  <c r="I53" i="88"/>
  <c r="L52" i="88"/>
  <c r="K52" i="88"/>
  <c r="K51" i="88" s="1"/>
  <c r="L51" i="88" s="1"/>
  <c r="H52" i="88"/>
  <c r="G52" i="88"/>
  <c r="I52" i="88" s="1"/>
  <c r="F52" i="88"/>
  <c r="H51" i="88"/>
  <c r="J48" i="88"/>
  <c r="L45" i="88"/>
  <c r="I45" i="88"/>
  <c r="M45" i="88" s="1"/>
  <c r="N45" i="88" s="1"/>
  <c r="L44" i="88"/>
  <c r="I44" i="88"/>
  <c r="M44" i="88" s="1"/>
  <c r="N44" i="88" s="1"/>
  <c r="K43" i="88"/>
  <c r="K42" i="88" s="1"/>
  <c r="K34" i="88" s="1"/>
  <c r="K33" i="88" s="1"/>
  <c r="K32" i="88" s="1"/>
  <c r="J43" i="88"/>
  <c r="H43" i="88"/>
  <c r="G43" i="88"/>
  <c r="I43" i="88" s="1"/>
  <c r="F43" i="88"/>
  <c r="F42" i="88" s="1"/>
  <c r="J42" i="88"/>
  <c r="H42" i="88"/>
  <c r="M41" i="88"/>
  <c r="N41" i="88" s="1"/>
  <c r="L41" i="88"/>
  <c r="I41" i="88"/>
  <c r="M40" i="88"/>
  <c r="N40" i="88" s="1"/>
  <c r="L40" i="88"/>
  <c r="L39" i="88"/>
  <c r="M39" i="88" s="1"/>
  <c r="N39" i="88" s="1"/>
  <c r="L38" i="88"/>
  <c r="M38" i="88" s="1"/>
  <c r="N38" i="88" s="1"/>
  <c r="L37" i="88"/>
  <c r="I37" i="88"/>
  <c r="M37" i="88" s="1"/>
  <c r="N37" i="88" s="1"/>
  <c r="K36" i="88"/>
  <c r="J36" i="88"/>
  <c r="J35" i="88" s="1"/>
  <c r="H36" i="88"/>
  <c r="H35" i="88" s="1"/>
  <c r="H34" i="88" s="1"/>
  <c r="H33" i="88" s="1"/>
  <c r="H32" i="88" s="1"/>
  <c r="G36" i="88"/>
  <c r="G35" i="88" s="1"/>
  <c r="I35" i="88" s="1"/>
  <c r="F36" i="88"/>
  <c r="K35" i="88"/>
  <c r="F35" i="88"/>
  <c r="F34" i="88" s="1"/>
  <c r="F33" i="88" s="1"/>
  <c r="F32" i="88" s="1"/>
  <c r="L31" i="88"/>
  <c r="I31" i="88"/>
  <c r="K30" i="88"/>
  <c r="K29" i="88" s="1"/>
  <c r="J30" i="88"/>
  <c r="J29" i="88" s="1"/>
  <c r="H30" i="88"/>
  <c r="H29" i="88" s="1"/>
  <c r="G30" i="88"/>
  <c r="I30" i="88" s="1"/>
  <c r="F30" i="88"/>
  <c r="F29" i="88" s="1"/>
  <c r="M28" i="88"/>
  <c r="N28" i="88" s="1"/>
  <c r="L28" i="88"/>
  <c r="L27" i="88"/>
  <c r="M27" i="88" s="1"/>
  <c r="N27" i="88" s="1"/>
  <c r="S26" i="88"/>
  <c r="P26" i="88"/>
  <c r="L26" i="88"/>
  <c r="K26" i="88"/>
  <c r="I26" i="88"/>
  <c r="L25" i="88"/>
  <c r="I25" i="88"/>
  <c r="L24" i="88"/>
  <c r="I24" i="88"/>
  <c r="M24" i="88" s="1"/>
  <c r="N24" i="88" s="1"/>
  <c r="K23" i="88"/>
  <c r="K22" i="88" s="1"/>
  <c r="J23" i="88"/>
  <c r="L23" i="88" s="1"/>
  <c r="H23" i="88"/>
  <c r="G23" i="88"/>
  <c r="F23" i="88"/>
  <c r="H22" i="88"/>
  <c r="T19" i="88"/>
  <c r="U17" i="88"/>
  <c r="K301" i="88" l="1"/>
  <c r="K300" i="88" s="1"/>
  <c r="K299" i="88" s="1"/>
  <c r="K377" i="88"/>
  <c r="K376" i="88" s="1"/>
  <c r="K375" i="88" s="1"/>
  <c r="H222" i="88"/>
  <c r="H247" i="88"/>
  <c r="H359" i="88"/>
  <c r="H358" i="88" s="1"/>
  <c r="H357" i="88" s="1"/>
  <c r="M81" i="89"/>
  <c r="N81" i="89" s="1"/>
  <c r="H221" i="89"/>
  <c r="K241" i="89"/>
  <c r="K240" i="89" s="1"/>
  <c r="K239" i="89" s="1"/>
  <c r="L242" i="89"/>
  <c r="L262" i="88"/>
  <c r="L42" i="88"/>
  <c r="K21" i="88"/>
  <c r="K20" i="88" s="1"/>
  <c r="K19" i="88" s="1"/>
  <c r="K18" i="88" s="1"/>
  <c r="L29" i="88"/>
  <c r="I36" i="88"/>
  <c r="M36" i="88" s="1"/>
  <c r="N36" i="88" s="1"/>
  <c r="M59" i="88"/>
  <c r="N59" i="88" s="1"/>
  <c r="M78" i="88"/>
  <c r="N78" i="88" s="1"/>
  <c r="M86" i="88"/>
  <c r="N86" i="88" s="1"/>
  <c r="M89" i="88"/>
  <c r="N89" i="88" s="1"/>
  <c r="M92" i="88"/>
  <c r="N92" i="88" s="1"/>
  <c r="G83" i="88"/>
  <c r="I83" i="88" s="1"/>
  <c r="L95" i="88"/>
  <c r="G116" i="88"/>
  <c r="L127" i="88"/>
  <c r="M130" i="88"/>
  <c r="N130" i="88" s="1"/>
  <c r="N132" i="88"/>
  <c r="L150" i="88"/>
  <c r="M150" i="88" s="1"/>
  <c r="N150" i="88" s="1"/>
  <c r="I159" i="88"/>
  <c r="M159" i="88" s="1"/>
  <c r="I181" i="88"/>
  <c r="I209" i="88"/>
  <c r="M209" i="88" s="1"/>
  <c r="I210" i="88"/>
  <c r="I216" i="88"/>
  <c r="M216" i="88" s="1"/>
  <c r="N216" i="88" s="1"/>
  <c r="I217" i="88"/>
  <c r="M217" i="88" s="1"/>
  <c r="N217" i="88" s="1"/>
  <c r="M230" i="88"/>
  <c r="N230" i="88" s="1"/>
  <c r="K258" i="88"/>
  <c r="K257" i="88" s="1"/>
  <c r="K256" i="88" s="1"/>
  <c r="I292" i="88"/>
  <c r="M294" i="88"/>
  <c r="N294" i="88" s="1"/>
  <c r="M342" i="88"/>
  <c r="N342" i="88" s="1"/>
  <c r="I347" i="88"/>
  <c r="M347" i="88" s="1"/>
  <c r="I360" i="88"/>
  <c r="M360" i="88" s="1"/>
  <c r="I364" i="88"/>
  <c r="M364" i="88" s="1"/>
  <c r="M367" i="88"/>
  <c r="N367" i="88" s="1"/>
  <c r="I379" i="88"/>
  <c r="M379" i="88" s="1"/>
  <c r="L382" i="88"/>
  <c r="K387" i="88"/>
  <c r="M390" i="88"/>
  <c r="M393" i="88"/>
  <c r="I56" i="89"/>
  <c r="M56" i="89" s="1"/>
  <c r="N56" i="89" s="1"/>
  <c r="M73" i="89"/>
  <c r="N73" i="89" s="1"/>
  <c r="K76" i="89"/>
  <c r="L76" i="89" s="1"/>
  <c r="M86" i="89"/>
  <c r="N86" i="89" s="1"/>
  <c r="H83" i="89"/>
  <c r="M112" i="89"/>
  <c r="N112" i="89" s="1"/>
  <c r="I117" i="89"/>
  <c r="I131" i="89"/>
  <c r="M131" i="89" s="1"/>
  <c r="N131" i="89" s="1"/>
  <c r="M154" i="89"/>
  <c r="N154" i="89" s="1"/>
  <c r="I160" i="89"/>
  <c r="G176" i="89"/>
  <c r="I176" i="89" s="1"/>
  <c r="L176" i="89"/>
  <c r="M196" i="89"/>
  <c r="N196" i="89" s="1"/>
  <c r="L210" i="89"/>
  <c r="M215" i="89"/>
  <c r="N215" i="89" s="1"/>
  <c r="I235" i="89"/>
  <c r="L244" i="89"/>
  <c r="M244" i="89" s="1"/>
  <c r="N244" i="89" s="1"/>
  <c r="L282" i="89"/>
  <c r="I360" i="89"/>
  <c r="I364" i="89"/>
  <c r="L382" i="89"/>
  <c r="M390" i="89"/>
  <c r="H208" i="88"/>
  <c r="H207" i="88" s="1"/>
  <c r="I309" i="88"/>
  <c r="M341" i="88"/>
  <c r="N341" i="88" s="1"/>
  <c r="M74" i="89"/>
  <c r="L30" i="88"/>
  <c r="M68" i="88"/>
  <c r="M97" i="88"/>
  <c r="N97" i="88" s="1"/>
  <c r="I131" i="88"/>
  <c r="M131" i="88" s="1"/>
  <c r="N131" i="88" s="1"/>
  <c r="H148" i="88"/>
  <c r="H147" i="88" s="1"/>
  <c r="H139" i="88" s="1"/>
  <c r="K156" i="88"/>
  <c r="M200" i="88"/>
  <c r="N200" i="88" s="1"/>
  <c r="M205" i="88"/>
  <c r="N205" i="88" s="1"/>
  <c r="I213" i="88"/>
  <c r="M213" i="88" s="1"/>
  <c r="G243" i="88"/>
  <c r="I251" i="88"/>
  <c r="M251" i="88" s="1"/>
  <c r="N251" i="88" s="1"/>
  <c r="L273" i="88"/>
  <c r="M287" i="88"/>
  <c r="N287" i="88" s="1"/>
  <c r="L292" i="88"/>
  <c r="M295" i="88"/>
  <c r="N295" i="88" s="1"/>
  <c r="L311" i="88"/>
  <c r="M311" i="88" s="1"/>
  <c r="N311" i="88" s="1"/>
  <c r="H314" i="88"/>
  <c r="H313" i="88" s="1"/>
  <c r="H312" i="88" s="1"/>
  <c r="I319" i="88"/>
  <c r="M319" i="88" s="1"/>
  <c r="N319" i="88" s="1"/>
  <c r="L347" i="88"/>
  <c r="N360" i="88"/>
  <c r="I361" i="88"/>
  <c r="I366" i="88"/>
  <c r="M366" i="88" s="1"/>
  <c r="N366" i="88" s="1"/>
  <c r="M368" i="88"/>
  <c r="N368" i="88" s="1"/>
  <c r="I406" i="88"/>
  <c r="M408" i="88"/>
  <c r="I413" i="88"/>
  <c r="M413" i="88" s="1"/>
  <c r="I23" i="89"/>
  <c r="M31" i="89"/>
  <c r="N31" i="89" s="1"/>
  <c r="M37" i="89"/>
  <c r="N37" i="89" s="1"/>
  <c r="M41" i="89"/>
  <c r="N41" i="89" s="1"/>
  <c r="I43" i="89"/>
  <c r="M65" i="89"/>
  <c r="N65" i="89" s="1"/>
  <c r="I72" i="89"/>
  <c r="M72" i="89" s="1"/>
  <c r="M94" i="89"/>
  <c r="N94" i="89" s="1"/>
  <c r="L150" i="89"/>
  <c r="M150" i="89" s="1"/>
  <c r="N150" i="89" s="1"/>
  <c r="I157" i="89"/>
  <c r="M157" i="89" s="1"/>
  <c r="G159" i="89"/>
  <c r="L159" i="89"/>
  <c r="M170" i="89"/>
  <c r="N170" i="89" s="1"/>
  <c r="H175" i="89"/>
  <c r="H174" i="89" s="1"/>
  <c r="H173" i="89" s="1"/>
  <c r="M211" i="89"/>
  <c r="N211" i="89" s="1"/>
  <c r="G226" i="89"/>
  <c r="I226" i="89" s="1"/>
  <c r="M226" i="89" s="1"/>
  <c r="M254" i="89"/>
  <c r="N254" i="89" s="1"/>
  <c r="I334" i="89"/>
  <c r="M334" i="89" s="1"/>
  <c r="G363" i="89"/>
  <c r="I363" i="89" s="1"/>
  <c r="I23" i="88"/>
  <c r="M23" i="88" s="1"/>
  <c r="N23" i="88" s="1"/>
  <c r="M25" i="88"/>
  <c r="N25" i="88" s="1"/>
  <c r="M31" i="88"/>
  <c r="N31" i="88" s="1"/>
  <c r="L36" i="88"/>
  <c r="F51" i="88"/>
  <c r="I60" i="88"/>
  <c r="M60" i="88" s="1"/>
  <c r="M73" i="88"/>
  <c r="N73" i="88" s="1"/>
  <c r="I81" i="88"/>
  <c r="M81" i="88" s="1"/>
  <c r="N81" i="88" s="1"/>
  <c r="G131" i="88"/>
  <c r="M145" i="88"/>
  <c r="N145" i="88" s="1"/>
  <c r="I153" i="88"/>
  <c r="F159" i="88"/>
  <c r="J187" i="88"/>
  <c r="J186" i="88" s="1"/>
  <c r="M204" i="88"/>
  <c r="I223" i="88"/>
  <c r="I226" i="88"/>
  <c r="J231" i="88"/>
  <c r="L231" i="88" s="1"/>
  <c r="I272" i="88"/>
  <c r="L291" i="88"/>
  <c r="H301" i="88"/>
  <c r="H300" i="88" s="1"/>
  <c r="H299" i="88" s="1"/>
  <c r="I310" i="88"/>
  <c r="L366" i="88"/>
  <c r="I373" i="88"/>
  <c r="G377" i="88"/>
  <c r="G376" i="88" s="1"/>
  <c r="M391" i="88"/>
  <c r="M55" i="89"/>
  <c r="N55" i="89" s="1"/>
  <c r="M75" i="89"/>
  <c r="N75" i="89" s="1"/>
  <c r="M77" i="89"/>
  <c r="H148" i="89"/>
  <c r="H147" i="89" s="1"/>
  <c r="H139" i="89" s="1"/>
  <c r="M151" i="89"/>
  <c r="N151" i="89" s="1"/>
  <c r="H159" i="89"/>
  <c r="K156" i="89"/>
  <c r="H208" i="89"/>
  <c r="H207" i="89" s="1"/>
  <c r="I292" i="89"/>
  <c r="L335" i="89"/>
  <c r="L340" i="89"/>
  <c r="I347" i="89"/>
  <c r="I355" i="89"/>
  <c r="M355" i="89" s="1"/>
  <c r="L363" i="89"/>
  <c r="G378" i="89"/>
  <c r="M30" i="88"/>
  <c r="M52" i="88"/>
  <c r="N52" i="88" s="1"/>
  <c r="M98" i="88"/>
  <c r="N98" i="88" s="1"/>
  <c r="I156" i="88"/>
  <c r="M176" i="88"/>
  <c r="N176" i="88" s="1"/>
  <c r="K208" i="88"/>
  <c r="K207" i="88" s="1"/>
  <c r="J212" i="88"/>
  <c r="L212" i="88" s="1"/>
  <c r="M212" i="88" s="1"/>
  <c r="N212" i="88" s="1"/>
  <c r="I252" i="88"/>
  <c r="L303" i="88"/>
  <c r="I320" i="88"/>
  <c r="I335" i="88"/>
  <c r="G340" i="88"/>
  <c r="G339" i="88" s="1"/>
  <c r="J359" i="88"/>
  <c r="L379" i="88"/>
  <c r="M409" i="88"/>
  <c r="M64" i="89"/>
  <c r="M111" i="89"/>
  <c r="N111" i="89" s="1"/>
  <c r="M118" i="89"/>
  <c r="N118" i="89" s="1"/>
  <c r="M120" i="89"/>
  <c r="N120" i="89" s="1"/>
  <c r="L162" i="89"/>
  <c r="G243" i="89"/>
  <c r="G242" i="89" s="1"/>
  <c r="G241" i="89" s="1"/>
  <c r="I241" i="89" s="1"/>
  <c r="M255" i="89"/>
  <c r="N255" i="89" s="1"/>
  <c r="M267" i="89"/>
  <c r="N267" i="89" s="1"/>
  <c r="J359" i="89"/>
  <c r="L361" i="89"/>
  <c r="M365" i="89"/>
  <c r="N365" i="89" s="1"/>
  <c r="M382" i="89"/>
  <c r="M26" i="88"/>
  <c r="N26" i="88" s="1"/>
  <c r="M57" i="88"/>
  <c r="N57" i="88" s="1"/>
  <c r="M67" i="88"/>
  <c r="N67" i="88" s="1"/>
  <c r="M146" i="88"/>
  <c r="N146" i="88" s="1"/>
  <c r="I157" i="88"/>
  <c r="M157" i="88" s="1"/>
  <c r="N157" i="88" s="1"/>
  <c r="L176" i="88"/>
  <c r="M188" i="88"/>
  <c r="F208" i="88"/>
  <c r="F207" i="88" s="1"/>
  <c r="F206" i="88" s="1"/>
  <c r="M268" i="88"/>
  <c r="N268" i="88" s="1"/>
  <c r="J305" i="88"/>
  <c r="L305" i="88" s="1"/>
  <c r="M307" i="88"/>
  <c r="N307" i="88" s="1"/>
  <c r="L309" i="88"/>
  <c r="L341" i="88"/>
  <c r="L387" i="88"/>
  <c r="M407" i="88"/>
  <c r="M24" i="89"/>
  <c r="N24" i="89" s="1"/>
  <c r="H21" i="89"/>
  <c r="H20" i="89" s="1"/>
  <c r="H19" i="89" s="1"/>
  <c r="H18" i="89" s="1"/>
  <c r="I42" i="89"/>
  <c r="N95" i="89"/>
  <c r="G83" i="89"/>
  <c r="I83" i="89" s="1"/>
  <c r="L102" i="89"/>
  <c r="K149" i="89"/>
  <c r="K148" i="89" s="1"/>
  <c r="K147" i="89" s="1"/>
  <c r="G194" i="89"/>
  <c r="I194" i="89" s="1"/>
  <c r="J203" i="89"/>
  <c r="J202" i="89" s="1"/>
  <c r="J201" i="89" s="1"/>
  <c r="K216" i="89"/>
  <c r="L224" i="89"/>
  <c r="M362" i="89"/>
  <c r="N362" i="89" s="1"/>
  <c r="K377" i="89"/>
  <c r="K376" i="89" s="1"/>
  <c r="K375" i="89" s="1"/>
  <c r="H377" i="89"/>
  <c r="H376" i="89" s="1"/>
  <c r="H375" i="89" s="1"/>
  <c r="M407" i="89"/>
  <c r="M391" i="89"/>
  <c r="H250" i="89"/>
  <c r="H249" i="89" s="1"/>
  <c r="H248" i="89" s="1"/>
  <c r="I252" i="89"/>
  <c r="M252" i="89" s="1"/>
  <c r="N252" i="89" s="1"/>
  <c r="I282" i="89"/>
  <c r="M282" i="89" s="1"/>
  <c r="N282" i="89" s="1"/>
  <c r="M274" i="89"/>
  <c r="N274" i="89" s="1"/>
  <c r="I272" i="89"/>
  <c r="M272" i="89" s="1"/>
  <c r="L35" i="89"/>
  <c r="M35" i="89"/>
  <c r="K34" i="89"/>
  <c r="K33" i="89" s="1"/>
  <c r="K32" i="89" s="1"/>
  <c r="L36" i="89"/>
  <c r="M36" i="89" s="1"/>
  <c r="N36" i="89" s="1"/>
  <c r="K314" i="89"/>
  <c r="K313" i="89" s="1"/>
  <c r="K312" i="89" s="1"/>
  <c r="L263" i="89"/>
  <c r="L252" i="89"/>
  <c r="L319" i="89"/>
  <c r="M319" i="89" s="1"/>
  <c r="L320" i="89"/>
  <c r="L316" i="89"/>
  <c r="M316" i="89" s="1"/>
  <c r="N316" i="89" s="1"/>
  <c r="J315" i="89"/>
  <c r="L303" i="89"/>
  <c r="M303" i="89" s="1"/>
  <c r="N303" i="89" s="1"/>
  <c r="L262" i="89"/>
  <c r="M266" i="89"/>
  <c r="N266" i="89" s="1"/>
  <c r="M265" i="89"/>
  <c r="N265" i="89" s="1"/>
  <c r="L259" i="89"/>
  <c r="K258" i="89"/>
  <c r="K257" i="89" s="1"/>
  <c r="K256" i="89" s="1"/>
  <c r="K247" i="89" s="1"/>
  <c r="L260" i="89"/>
  <c r="M260" i="89" s="1"/>
  <c r="N260" i="89" s="1"/>
  <c r="M259" i="89"/>
  <c r="N259" i="89" s="1"/>
  <c r="M261" i="89"/>
  <c r="N261" i="89" s="1"/>
  <c r="J251" i="89"/>
  <c r="L251" i="89" s="1"/>
  <c r="M251" i="89" s="1"/>
  <c r="K208" i="89"/>
  <c r="K207" i="89" s="1"/>
  <c r="M212" i="89"/>
  <c r="N212" i="89" s="1"/>
  <c r="M214" i="89"/>
  <c r="N214" i="89" s="1"/>
  <c r="J207" i="89"/>
  <c r="L207" i="89" s="1"/>
  <c r="K186" i="89"/>
  <c r="K185" i="89" s="1"/>
  <c r="K184" i="89" s="1"/>
  <c r="M197" i="89"/>
  <c r="N197" i="89" s="1"/>
  <c r="I182" i="89"/>
  <c r="M128" i="89"/>
  <c r="N128" i="89" s="1"/>
  <c r="M69" i="89"/>
  <c r="N69" i="89" s="1"/>
  <c r="M61" i="89"/>
  <c r="N61" i="89" s="1"/>
  <c r="G51" i="89"/>
  <c r="H51" i="89"/>
  <c r="H50" i="89" s="1"/>
  <c r="H49" i="89" s="1"/>
  <c r="H48" i="89" s="1"/>
  <c r="H47" i="89" s="1"/>
  <c r="M53" i="89"/>
  <c r="N53" i="89" s="1"/>
  <c r="L42" i="89"/>
  <c r="L29" i="89"/>
  <c r="K21" i="89"/>
  <c r="K20" i="89" s="1"/>
  <c r="K19" i="89" s="1"/>
  <c r="M388" i="89"/>
  <c r="I387" i="89"/>
  <c r="M389" i="89"/>
  <c r="L387" i="89"/>
  <c r="M408" i="89"/>
  <c r="M410" i="89"/>
  <c r="M412" i="89"/>
  <c r="J21" i="89"/>
  <c r="L22" i="89"/>
  <c r="I22" i="89"/>
  <c r="G21" i="89"/>
  <c r="F115" i="89"/>
  <c r="I126" i="89"/>
  <c r="G125" i="89"/>
  <c r="L142" i="89"/>
  <c r="J141" i="89"/>
  <c r="J165" i="89"/>
  <c r="I168" i="89"/>
  <c r="G167" i="89"/>
  <c r="G175" i="89"/>
  <c r="I180" i="89"/>
  <c r="L181" i="89"/>
  <c r="K180" i="89"/>
  <c r="K175" i="89" s="1"/>
  <c r="K174" i="89" s="1"/>
  <c r="K173" i="89" s="1"/>
  <c r="F186" i="89"/>
  <c r="F21" i="89"/>
  <c r="L23" i="89"/>
  <c r="M23" i="89" s="1"/>
  <c r="N23" i="89" s="1"/>
  <c r="L30" i="89"/>
  <c r="M30" i="89" s="1"/>
  <c r="N30" i="89" s="1"/>
  <c r="J34" i="89"/>
  <c r="F35" i="89"/>
  <c r="I58" i="89"/>
  <c r="M58" i="89" s="1"/>
  <c r="I66" i="89"/>
  <c r="M66" i="89" s="1"/>
  <c r="N66" i="89" s="1"/>
  <c r="I79" i="89"/>
  <c r="M79" i="89" s="1"/>
  <c r="M104" i="89"/>
  <c r="N104" i="89" s="1"/>
  <c r="M106" i="89"/>
  <c r="N106" i="89" s="1"/>
  <c r="M108" i="89"/>
  <c r="N108" i="89" s="1"/>
  <c r="M110" i="89"/>
  <c r="N110" i="89" s="1"/>
  <c r="H184" i="89"/>
  <c r="N227" i="89"/>
  <c r="M235" i="89"/>
  <c r="N235" i="89" s="1"/>
  <c r="K113" i="89"/>
  <c r="K99" i="89" s="1"/>
  <c r="L99" i="89" s="1"/>
  <c r="M99" i="89" s="1"/>
  <c r="N99" i="89" s="1"/>
  <c r="K47" i="89"/>
  <c r="L116" i="89"/>
  <c r="J115" i="89"/>
  <c r="F165" i="89"/>
  <c r="I187" i="89"/>
  <c r="J186" i="89"/>
  <c r="L194" i="89"/>
  <c r="F207" i="89"/>
  <c r="F270" i="89"/>
  <c r="N58" i="89"/>
  <c r="N74" i="89"/>
  <c r="N79" i="89"/>
  <c r="L126" i="89"/>
  <c r="J125" i="89"/>
  <c r="I142" i="89"/>
  <c r="M142" i="89" s="1"/>
  <c r="G141" i="89"/>
  <c r="L169" i="89"/>
  <c r="K168" i="89"/>
  <c r="K167" i="89" s="1"/>
  <c r="K166" i="89" s="1"/>
  <c r="K165" i="89" s="1"/>
  <c r="L201" i="89"/>
  <c r="J199" i="89"/>
  <c r="I203" i="89"/>
  <c r="G202" i="89"/>
  <c r="F242" i="89"/>
  <c r="J269" i="89"/>
  <c r="L269" i="89" s="1"/>
  <c r="L270" i="89"/>
  <c r="I29" i="89"/>
  <c r="M29" i="89" s="1"/>
  <c r="N29" i="89" s="1"/>
  <c r="G34" i="89"/>
  <c r="I54" i="89"/>
  <c r="M54" i="89" s="1"/>
  <c r="N54" i="89" s="1"/>
  <c r="I62" i="89"/>
  <c r="M62" i="89" s="1"/>
  <c r="N62" i="89" s="1"/>
  <c r="N64" i="89"/>
  <c r="I70" i="89"/>
  <c r="M70" i="89" s="1"/>
  <c r="N70" i="89" s="1"/>
  <c r="N72" i="89"/>
  <c r="N77" i="89"/>
  <c r="M84" i="89"/>
  <c r="N84" i="89" s="1"/>
  <c r="M103" i="89"/>
  <c r="N103" i="89" s="1"/>
  <c r="M105" i="89"/>
  <c r="N105" i="89" s="1"/>
  <c r="M107" i="89"/>
  <c r="N107" i="89" s="1"/>
  <c r="M109" i="89"/>
  <c r="N109" i="89" s="1"/>
  <c r="N153" i="89"/>
  <c r="M162" i="89"/>
  <c r="N162" i="89" s="1"/>
  <c r="G101" i="89"/>
  <c r="I101" i="89" s="1"/>
  <c r="M101" i="89" s="1"/>
  <c r="I102" i="89"/>
  <c r="M102" i="89" s="1"/>
  <c r="N102" i="89" s="1"/>
  <c r="G115" i="89"/>
  <c r="I116" i="89"/>
  <c r="M116" i="89" s="1"/>
  <c r="N116" i="89" s="1"/>
  <c r="L43" i="89"/>
  <c r="M43" i="89" s="1"/>
  <c r="N43" i="89" s="1"/>
  <c r="I52" i="89"/>
  <c r="M52" i="89" s="1"/>
  <c r="N52" i="89" s="1"/>
  <c r="I60" i="89"/>
  <c r="M60" i="89" s="1"/>
  <c r="N60" i="89" s="1"/>
  <c r="I68" i="89"/>
  <c r="M68" i="89" s="1"/>
  <c r="N68" i="89" s="1"/>
  <c r="G76" i="89"/>
  <c r="I76" i="89" s="1"/>
  <c r="M76" i="89" s="1"/>
  <c r="N76" i="89" s="1"/>
  <c r="K83" i="89"/>
  <c r="K125" i="89"/>
  <c r="K124" i="89" s="1"/>
  <c r="K123" i="89" s="1"/>
  <c r="K122" i="89" s="1"/>
  <c r="M132" i="89"/>
  <c r="N132" i="89" s="1"/>
  <c r="K139" i="89"/>
  <c r="N157" i="89"/>
  <c r="M176" i="89"/>
  <c r="N176" i="89" s="1"/>
  <c r="L187" i="89"/>
  <c r="L292" i="89"/>
  <c r="M292" i="89" s="1"/>
  <c r="N292" i="89" s="1"/>
  <c r="J291" i="89"/>
  <c r="L291" i="89" s="1"/>
  <c r="M291" i="89" s="1"/>
  <c r="N291" i="89" s="1"/>
  <c r="L302" i="89"/>
  <c r="M302" i="89" s="1"/>
  <c r="N302" i="89" s="1"/>
  <c r="L306" i="89"/>
  <c r="J305" i="89"/>
  <c r="L305" i="89" s="1"/>
  <c r="M305" i="89" s="1"/>
  <c r="N305" i="89" s="1"/>
  <c r="L315" i="89"/>
  <c r="J314" i="89"/>
  <c r="I332" i="89"/>
  <c r="G331" i="89"/>
  <c r="I331" i="89" s="1"/>
  <c r="F339" i="89"/>
  <c r="F345" i="89"/>
  <c r="L347" i="89"/>
  <c r="M347" i="89" s="1"/>
  <c r="N347" i="89" s="1"/>
  <c r="J346" i="89"/>
  <c r="L354" i="89"/>
  <c r="M354" i="89" s="1"/>
  <c r="N354" i="89" s="1"/>
  <c r="J353" i="89"/>
  <c r="L372" i="89"/>
  <c r="J371" i="89"/>
  <c r="F377" i="89"/>
  <c r="F101" i="89"/>
  <c r="N101" i="89" s="1"/>
  <c r="L117" i="89"/>
  <c r="M117" i="89" s="1"/>
  <c r="N117" i="89" s="1"/>
  <c r="F126" i="89"/>
  <c r="I127" i="89"/>
  <c r="F142" i="89"/>
  <c r="I143" i="89"/>
  <c r="F149" i="89"/>
  <c r="J149" i="89"/>
  <c r="G156" i="89"/>
  <c r="I156" i="89" s="1"/>
  <c r="L160" i="89"/>
  <c r="M160" i="89" s="1"/>
  <c r="N160" i="89" s="1"/>
  <c r="L167" i="89"/>
  <c r="F175" i="89"/>
  <c r="J175" i="89"/>
  <c r="L177" i="89"/>
  <c r="M177" i="89" s="1"/>
  <c r="N177" i="89" s="1"/>
  <c r="L195" i="89"/>
  <c r="M195" i="89" s="1"/>
  <c r="N195" i="89" s="1"/>
  <c r="L202" i="89"/>
  <c r="G208" i="89"/>
  <c r="I210" i="89"/>
  <c r="L216" i="89"/>
  <c r="M216" i="89" s="1"/>
  <c r="N216" i="89" s="1"/>
  <c r="J222" i="89"/>
  <c r="G223" i="89"/>
  <c r="F226" i="89"/>
  <c r="N226" i="89" s="1"/>
  <c r="F234" i="89"/>
  <c r="L236" i="89"/>
  <c r="I242" i="89"/>
  <c r="M242" i="89" s="1"/>
  <c r="J250" i="89"/>
  <c r="F251" i="89"/>
  <c r="J258" i="89"/>
  <c r="H263" i="89"/>
  <c r="L264" i="89"/>
  <c r="M264" i="89" s="1"/>
  <c r="N264" i="89" s="1"/>
  <c r="G271" i="89"/>
  <c r="N272" i="89"/>
  <c r="I273" i="89"/>
  <c r="I281" i="89"/>
  <c r="H301" i="89"/>
  <c r="H300" i="89" s="1"/>
  <c r="H299" i="89" s="1"/>
  <c r="H314" i="89"/>
  <c r="H313" i="89" s="1"/>
  <c r="H312" i="89" s="1"/>
  <c r="I333" i="89"/>
  <c r="H359" i="89"/>
  <c r="H358" i="89" s="1"/>
  <c r="H357" i="89" s="1"/>
  <c r="N366" i="89"/>
  <c r="I406" i="89"/>
  <c r="M406" i="89" s="1"/>
  <c r="M409" i="89"/>
  <c r="G279" i="89"/>
  <c r="I280" i="89"/>
  <c r="F280" i="89"/>
  <c r="K310" i="89"/>
  <c r="L311" i="89"/>
  <c r="M311" i="89" s="1"/>
  <c r="N311" i="89" s="1"/>
  <c r="L333" i="89"/>
  <c r="J332" i="89"/>
  <c r="F352" i="89"/>
  <c r="L378" i="89"/>
  <c r="L127" i="89"/>
  <c r="L143" i="89"/>
  <c r="J156" i="89"/>
  <c r="L156" i="89" s="1"/>
  <c r="I169" i="89"/>
  <c r="M169" i="89" s="1"/>
  <c r="N169" i="89" s="1"/>
  <c r="L171" i="89"/>
  <c r="M171" i="89" s="1"/>
  <c r="N171" i="89" s="1"/>
  <c r="I181" i="89"/>
  <c r="L182" i="89"/>
  <c r="M182" i="89" s="1"/>
  <c r="N182" i="89" s="1"/>
  <c r="I188" i="89"/>
  <c r="M188" i="89" s="1"/>
  <c r="N188" i="89" s="1"/>
  <c r="I204" i="89"/>
  <c r="M204" i="89" s="1"/>
  <c r="N204" i="89" s="1"/>
  <c r="I217" i="89"/>
  <c r="M217" i="89" s="1"/>
  <c r="N217" i="89" s="1"/>
  <c r="K223" i="89"/>
  <c r="K222" i="89" s="1"/>
  <c r="K221" i="89" s="1"/>
  <c r="K206" i="89" s="1"/>
  <c r="M224" i="89"/>
  <c r="N224" i="89" s="1"/>
  <c r="J234" i="89"/>
  <c r="J240" i="89"/>
  <c r="G249" i="89"/>
  <c r="G257" i="89"/>
  <c r="F262" i="89"/>
  <c r="L273" i="89"/>
  <c r="M306" i="89"/>
  <c r="N306" i="89" s="1"/>
  <c r="F314" i="89"/>
  <c r="M315" i="89"/>
  <c r="N315" i="89" s="1"/>
  <c r="I323" i="89"/>
  <c r="G322" i="89"/>
  <c r="I322" i="89" s="1"/>
  <c r="M322" i="89" s="1"/>
  <c r="N322" i="89" s="1"/>
  <c r="L338" i="89"/>
  <c r="J337" i="89"/>
  <c r="L337" i="89" s="1"/>
  <c r="I346" i="89"/>
  <c r="G345" i="89"/>
  <c r="K351" i="89"/>
  <c r="K350" i="89"/>
  <c r="J358" i="89"/>
  <c r="I372" i="89"/>
  <c r="M372" i="89" s="1"/>
  <c r="G371" i="89"/>
  <c r="L271" i="89"/>
  <c r="N355" i="89"/>
  <c r="N361" i="89"/>
  <c r="I341" i="89"/>
  <c r="G340" i="89"/>
  <c r="G149" i="89"/>
  <c r="L209" i="89"/>
  <c r="M209" i="89" s="1"/>
  <c r="N209" i="89" s="1"/>
  <c r="I213" i="89"/>
  <c r="L213" i="89"/>
  <c r="F222" i="89"/>
  <c r="M225" i="89"/>
  <c r="N225" i="89" s="1"/>
  <c r="M233" i="89"/>
  <c r="N233" i="89" s="1"/>
  <c r="G234" i="89"/>
  <c r="I236" i="89"/>
  <c r="M236" i="89" s="1"/>
  <c r="N236" i="89" s="1"/>
  <c r="G240" i="89"/>
  <c r="I243" i="89"/>
  <c r="M243" i="89" s="1"/>
  <c r="N243" i="89" s="1"/>
  <c r="L243" i="89"/>
  <c r="J281" i="89"/>
  <c r="G301" i="89"/>
  <c r="G314" i="89"/>
  <c r="M336" i="89"/>
  <c r="N336" i="89" s="1"/>
  <c r="G353" i="89"/>
  <c r="L360" i="89"/>
  <c r="K359" i="89"/>
  <c r="K358" i="89" s="1"/>
  <c r="K357" i="89" s="1"/>
  <c r="M364" i="89"/>
  <c r="N364" i="89" s="1"/>
  <c r="F309" i="89"/>
  <c r="I310" i="89"/>
  <c r="F319" i="89"/>
  <c r="I320" i="89"/>
  <c r="M320" i="89" s="1"/>
  <c r="N320" i="89" s="1"/>
  <c r="L323" i="89"/>
  <c r="F334" i="89"/>
  <c r="I335" i="89"/>
  <c r="M335" i="89" s="1"/>
  <c r="N335" i="89" s="1"/>
  <c r="L341" i="89"/>
  <c r="G359" i="89"/>
  <c r="F360" i="89"/>
  <c r="I361" i="89"/>
  <c r="M361" i="89" s="1"/>
  <c r="F372" i="89"/>
  <c r="I373" i="89"/>
  <c r="M373" i="89" s="1"/>
  <c r="N373" i="89" s="1"/>
  <c r="I378" i="89"/>
  <c r="M378" i="89" s="1"/>
  <c r="N378" i="89" s="1"/>
  <c r="L379" i="89"/>
  <c r="M379" i="89" s="1"/>
  <c r="N379" i="89" s="1"/>
  <c r="G381" i="89"/>
  <c r="I381" i="89" s="1"/>
  <c r="N382" i="89"/>
  <c r="I394" i="89"/>
  <c r="M394" i="89" s="1"/>
  <c r="J381" i="89"/>
  <c r="L381" i="89" s="1"/>
  <c r="H21" i="88"/>
  <c r="H20" i="88" s="1"/>
  <c r="H19" i="88" s="1"/>
  <c r="H18" i="88" s="1"/>
  <c r="H50" i="88"/>
  <c r="H49" i="88" s="1"/>
  <c r="H48" i="88" s="1"/>
  <c r="H47" i="88" s="1"/>
  <c r="N84" i="88"/>
  <c r="M95" i="88"/>
  <c r="N95" i="88" s="1"/>
  <c r="L101" i="88"/>
  <c r="M101" i="88" s="1"/>
  <c r="N101" i="88" s="1"/>
  <c r="L169" i="88"/>
  <c r="K168" i="88"/>
  <c r="G22" i="88"/>
  <c r="G29" i="88"/>
  <c r="I29" i="88" s="1"/>
  <c r="N30" i="88"/>
  <c r="J34" i="88"/>
  <c r="G51" i="88"/>
  <c r="F22" i="88"/>
  <c r="J22" i="88"/>
  <c r="L35" i="88"/>
  <c r="M35" i="88" s="1"/>
  <c r="N35" i="88" s="1"/>
  <c r="G42" i="88"/>
  <c r="I54" i="88"/>
  <c r="M54" i="88" s="1"/>
  <c r="I62" i="88"/>
  <c r="M62" i="88" s="1"/>
  <c r="I70" i="88"/>
  <c r="M70" i="88" s="1"/>
  <c r="N70" i="88" s="1"/>
  <c r="L77" i="88"/>
  <c r="K83" i="88"/>
  <c r="L83" i="88" s="1"/>
  <c r="I102" i="88"/>
  <c r="L102" i="88"/>
  <c r="M105" i="88"/>
  <c r="N105" i="88" s="1"/>
  <c r="M109" i="88"/>
  <c r="N109" i="88" s="1"/>
  <c r="K125" i="88"/>
  <c r="K124" i="88" s="1"/>
  <c r="K123" i="88" s="1"/>
  <c r="K122" i="88" s="1"/>
  <c r="N162" i="88"/>
  <c r="F115" i="88"/>
  <c r="J116" i="88"/>
  <c r="L117" i="88"/>
  <c r="M117" i="88" s="1"/>
  <c r="N117" i="88" s="1"/>
  <c r="I126" i="88"/>
  <c r="G125" i="88"/>
  <c r="L181" i="88"/>
  <c r="M181" i="88" s="1"/>
  <c r="N181" i="88" s="1"/>
  <c r="K180" i="88"/>
  <c r="F186" i="88"/>
  <c r="L194" i="88"/>
  <c r="M194" i="88" s="1"/>
  <c r="N194" i="88" s="1"/>
  <c r="F248" i="88"/>
  <c r="N54" i="88"/>
  <c r="N62" i="88"/>
  <c r="I76" i="88"/>
  <c r="M76" i="88" s="1"/>
  <c r="N153" i="88"/>
  <c r="K113" i="88"/>
  <c r="K99" i="88" s="1"/>
  <c r="L99" i="88" s="1"/>
  <c r="K47" i="88"/>
  <c r="I142" i="88"/>
  <c r="G141" i="88"/>
  <c r="J165" i="88"/>
  <c r="J199" i="88"/>
  <c r="L43" i="88"/>
  <c r="M43" i="88" s="1"/>
  <c r="N43" i="88" s="1"/>
  <c r="I58" i="88"/>
  <c r="M58" i="88" s="1"/>
  <c r="N60" i="88"/>
  <c r="I66" i="88"/>
  <c r="M66" i="88" s="1"/>
  <c r="N68" i="88"/>
  <c r="N76" i="88"/>
  <c r="I79" i="88"/>
  <c r="M79" i="88" s="1"/>
  <c r="N79" i="88" s="1"/>
  <c r="M103" i="88"/>
  <c r="N103" i="88" s="1"/>
  <c r="M107" i="88"/>
  <c r="N107" i="88" s="1"/>
  <c r="M111" i="88"/>
  <c r="N111" i="88" s="1"/>
  <c r="M153" i="88"/>
  <c r="N159" i="88"/>
  <c r="M169" i="88"/>
  <c r="N169" i="88" s="1"/>
  <c r="F165" i="88"/>
  <c r="K186" i="88"/>
  <c r="K185" i="88" s="1"/>
  <c r="L203" i="88"/>
  <c r="K202" i="88"/>
  <c r="K201" i="88" s="1"/>
  <c r="K199" i="88" s="1"/>
  <c r="K198" i="88" s="1"/>
  <c r="I248" i="88"/>
  <c r="I56" i="88"/>
  <c r="M56" i="88" s="1"/>
  <c r="N56" i="88" s="1"/>
  <c r="N58" i="88"/>
  <c r="I64" i="88"/>
  <c r="M64" i="88" s="1"/>
  <c r="N64" i="88" s="1"/>
  <c r="N66" i="88"/>
  <c r="I72" i="88"/>
  <c r="M72" i="88" s="1"/>
  <c r="N72" i="88" s="1"/>
  <c r="N74" i="88"/>
  <c r="M75" i="88"/>
  <c r="N75" i="88" s="1"/>
  <c r="I77" i="88"/>
  <c r="M77" i="88" s="1"/>
  <c r="N77" i="88" s="1"/>
  <c r="F83" i="88"/>
  <c r="I99" i="88"/>
  <c r="M99" i="88" s="1"/>
  <c r="N99" i="88" s="1"/>
  <c r="M104" i="88"/>
  <c r="N104" i="88" s="1"/>
  <c r="M108" i="88"/>
  <c r="N108" i="88" s="1"/>
  <c r="H125" i="88"/>
  <c r="H124" i="88" s="1"/>
  <c r="H123" i="88" s="1"/>
  <c r="H122" i="88" s="1"/>
  <c r="K139" i="88"/>
  <c r="J175" i="88"/>
  <c r="N188" i="88"/>
  <c r="N204" i="88"/>
  <c r="H235" i="88"/>
  <c r="H234" i="88" s="1"/>
  <c r="I236" i="88"/>
  <c r="I259" i="88"/>
  <c r="J279" i="88"/>
  <c r="F301" i="88"/>
  <c r="L340" i="88"/>
  <c r="J339" i="88"/>
  <c r="K345" i="88"/>
  <c r="K344" i="88" s="1"/>
  <c r="K343" i="88" s="1"/>
  <c r="L346" i="88"/>
  <c r="F353" i="88"/>
  <c r="F377" i="88"/>
  <c r="F126" i="88"/>
  <c r="J126" i="88"/>
  <c r="I127" i="88"/>
  <c r="M127" i="88" s="1"/>
  <c r="N127" i="88" s="1"/>
  <c r="F142" i="88"/>
  <c r="J142" i="88"/>
  <c r="I143" i="88"/>
  <c r="M143" i="88" s="1"/>
  <c r="N143" i="88" s="1"/>
  <c r="G148" i="88"/>
  <c r="F149" i="88"/>
  <c r="J149" i="88"/>
  <c r="L160" i="88"/>
  <c r="M160" i="88" s="1"/>
  <c r="N160" i="88" s="1"/>
  <c r="G168" i="88"/>
  <c r="F175" i="88"/>
  <c r="L177" i="88"/>
  <c r="M177" i="88" s="1"/>
  <c r="N177" i="88" s="1"/>
  <c r="G180" i="88"/>
  <c r="G187" i="88"/>
  <c r="L195" i="88"/>
  <c r="M195" i="88" s="1"/>
  <c r="N195" i="88" s="1"/>
  <c r="G203" i="88"/>
  <c r="J208" i="88"/>
  <c r="L210" i="88"/>
  <c r="M210" i="88" s="1"/>
  <c r="N210" i="88" s="1"/>
  <c r="L217" i="88"/>
  <c r="G222" i="88"/>
  <c r="I224" i="88"/>
  <c r="L227" i="88"/>
  <c r="L234" i="88"/>
  <c r="L251" i="88"/>
  <c r="L263" i="88"/>
  <c r="M306" i="88"/>
  <c r="M309" i="88"/>
  <c r="N309" i="88" s="1"/>
  <c r="N347" i="88"/>
  <c r="L372" i="88"/>
  <c r="I263" i="88"/>
  <c r="M263" i="88" s="1"/>
  <c r="N263" i="88" s="1"/>
  <c r="G262" i="88"/>
  <c r="I262" i="88" s="1"/>
  <c r="M262" i="88" s="1"/>
  <c r="F314" i="88"/>
  <c r="F332" i="88"/>
  <c r="I334" i="88"/>
  <c r="M334" i="88" s="1"/>
  <c r="N334" i="88" s="1"/>
  <c r="G333" i="88"/>
  <c r="G338" i="88"/>
  <c r="H339" i="88"/>
  <c r="H338" i="88" s="1"/>
  <c r="H337" i="88" s="1"/>
  <c r="I340" i="88"/>
  <c r="L345" i="88"/>
  <c r="J344" i="88"/>
  <c r="K351" i="88"/>
  <c r="K350" i="88"/>
  <c r="L378" i="88"/>
  <c r="F125" i="88"/>
  <c r="J156" i="88"/>
  <c r="L156" i="88" s="1"/>
  <c r="M156" i="88" s="1"/>
  <c r="N156" i="88" s="1"/>
  <c r="L171" i="88"/>
  <c r="M171" i="88" s="1"/>
  <c r="N171" i="88" s="1"/>
  <c r="L182" i="88"/>
  <c r="M182" i="88" s="1"/>
  <c r="N182" i="88" s="1"/>
  <c r="G208" i="88"/>
  <c r="N209" i="88"/>
  <c r="N213" i="88"/>
  <c r="I227" i="88"/>
  <c r="I235" i="88"/>
  <c r="M235" i="88" s="1"/>
  <c r="N235" i="88" s="1"/>
  <c r="L236" i="88"/>
  <c r="J242" i="88"/>
  <c r="L244" i="88"/>
  <c r="M244" i="88" s="1"/>
  <c r="N244" i="88" s="1"/>
  <c r="L250" i="88"/>
  <c r="N306" i="88"/>
  <c r="K223" i="88"/>
  <c r="K222" i="88" s="1"/>
  <c r="K221" i="88" s="1"/>
  <c r="L221" i="88" s="1"/>
  <c r="L224" i="88"/>
  <c r="F258" i="88"/>
  <c r="F271" i="88"/>
  <c r="F279" i="88"/>
  <c r="L363" i="88"/>
  <c r="K359" i="88"/>
  <c r="K358" i="88" s="1"/>
  <c r="K357" i="88" s="1"/>
  <c r="F370" i="88"/>
  <c r="I372" i="88"/>
  <c r="M372" i="88" s="1"/>
  <c r="N372" i="88" s="1"/>
  <c r="G371" i="88"/>
  <c r="H377" i="88"/>
  <c r="H376" i="88" s="1"/>
  <c r="H375" i="88" s="1"/>
  <c r="H350" i="88" s="1"/>
  <c r="I378" i="88"/>
  <c r="I234" i="88"/>
  <c r="M234" i="88" s="1"/>
  <c r="N234" i="88" s="1"/>
  <c r="J249" i="88"/>
  <c r="I250" i="88"/>
  <c r="M250" i="88" s="1"/>
  <c r="N250" i="88" s="1"/>
  <c r="L252" i="88"/>
  <c r="M252" i="88" s="1"/>
  <c r="N252" i="88" s="1"/>
  <c r="N262" i="88"/>
  <c r="N364" i="88"/>
  <c r="F239" i="88"/>
  <c r="L260" i="88"/>
  <c r="J259" i="88"/>
  <c r="K280" i="88"/>
  <c r="K279" i="88" s="1"/>
  <c r="K278" i="88" s="1"/>
  <c r="K247" i="88" s="1"/>
  <c r="L281" i="88"/>
  <c r="F339" i="88"/>
  <c r="F344" i="88"/>
  <c r="J358" i="88"/>
  <c r="M226" i="88"/>
  <c r="N226" i="88" s="1"/>
  <c r="I249" i="88"/>
  <c r="N282" i="88"/>
  <c r="I260" i="88"/>
  <c r="L261" i="88"/>
  <c r="M261" i="88" s="1"/>
  <c r="N261" i="88" s="1"/>
  <c r="I266" i="88"/>
  <c r="M266" i="88" s="1"/>
  <c r="N266" i="88" s="1"/>
  <c r="G271" i="88"/>
  <c r="J272" i="88"/>
  <c r="I273" i="88"/>
  <c r="M273" i="88" s="1"/>
  <c r="N273" i="88" s="1"/>
  <c r="G281" i="88"/>
  <c r="G291" i="88"/>
  <c r="I291" i="88" s="1"/>
  <c r="J302" i="88"/>
  <c r="I303" i="88"/>
  <c r="M303" i="88" s="1"/>
  <c r="N303" i="88" s="1"/>
  <c r="G305" i="88"/>
  <c r="I305" i="88" s="1"/>
  <c r="L310" i="88"/>
  <c r="M310" i="88" s="1"/>
  <c r="N310" i="88" s="1"/>
  <c r="G314" i="88"/>
  <c r="J315" i="88"/>
  <c r="I316" i="88"/>
  <c r="M316" i="88" s="1"/>
  <c r="N316" i="88" s="1"/>
  <c r="L320" i="88"/>
  <c r="K323" i="88"/>
  <c r="J333" i="88"/>
  <c r="L335" i="88"/>
  <c r="G346" i="88"/>
  <c r="G353" i="88"/>
  <c r="J354" i="88"/>
  <c r="I355" i="88"/>
  <c r="M355" i="88" s="1"/>
  <c r="N355" i="88" s="1"/>
  <c r="F359" i="88"/>
  <c r="L361" i="88"/>
  <c r="M361" i="88" s="1"/>
  <c r="N361" i="88" s="1"/>
  <c r="G363" i="88"/>
  <c r="J371" i="88"/>
  <c r="L373" i="88"/>
  <c r="M373" i="88" s="1"/>
  <c r="N373" i="88" s="1"/>
  <c r="J381" i="88"/>
  <c r="L381" i="88" s="1"/>
  <c r="M381" i="88" s="1"/>
  <c r="N381" i="88" s="1"/>
  <c r="I382" i="88"/>
  <c r="M382" i="88" s="1"/>
  <c r="N382" i="88" s="1"/>
  <c r="K406" i="88"/>
  <c r="L406" i="88" s="1"/>
  <c r="M406" i="88" s="1"/>
  <c r="N379" i="88"/>
  <c r="H387" i="88"/>
  <c r="I387" i="88" s="1"/>
  <c r="M387" i="88" s="1"/>
  <c r="K18" i="89" l="1"/>
  <c r="M320" i="88"/>
  <c r="N320" i="88" s="1"/>
  <c r="M227" i="88"/>
  <c r="N227" i="88" s="1"/>
  <c r="K50" i="88"/>
  <c r="L50" i="88" s="1"/>
  <c r="H350" i="89"/>
  <c r="L187" i="88"/>
  <c r="M378" i="88"/>
  <c r="N378" i="88" s="1"/>
  <c r="M29" i="88"/>
  <c r="N29" i="88" s="1"/>
  <c r="L359" i="89"/>
  <c r="M194" i="89"/>
  <c r="N194" i="89" s="1"/>
  <c r="L203" i="89"/>
  <c r="M203" i="89" s="1"/>
  <c r="N203" i="89" s="1"/>
  <c r="I250" i="89"/>
  <c r="M363" i="89"/>
  <c r="N363" i="89" s="1"/>
  <c r="M291" i="88"/>
  <c r="N291" i="88" s="1"/>
  <c r="H298" i="88"/>
  <c r="G242" i="88"/>
  <c r="I243" i="88"/>
  <c r="M243" i="88" s="1"/>
  <c r="N243" i="88" s="1"/>
  <c r="M260" i="88"/>
  <c r="N260" i="88" s="1"/>
  <c r="I339" i="88"/>
  <c r="M381" i="89"/>
  <c r="N381" i="89" s="1"/>
  <c r="M360" i="89"/>
  <c r="H138" i="89"/>
  <c r="M42" i="89"/>
  <c r="N42" i="89" s="1"/>
  <c r="H206" i="89"/>
  <c r="L241" i="89"/>
  <c r="M241" i="89" s="1"/>
  <c r="M292" i="88"/>
  <c r="N292" i="88" s="1"/>
  <c r="M83" i="88"/>
  <c r="M210" i="89"/>
  <c r="N210" i="89" s="1"/>
  <c r="M335" i="88"/>
  <c r="N335" i="88" s="1"/>
  <c r="M305" i="88"/>
  <c r="N305" i="88" s="1"/>
  <c r="N319" i="89"/>
  <c r="J377" i="89"/>
  <c r="L377" i="89" s="1"/>
  <c r="M127" i="89"/>
  <c r="N127" i="89" s="1"/>
  <c r="G186" i="89"/>
  <c r="I159" i="89"/>
  <c r="M159" i="89" s="1"/>
  <c r="N159" i="89" s="1"/>
  <c r="I116" i="88"/>
  <c r="G115" i="88"/>
  <c r="M387" i="89"/>
  <c r="L168" i="89"/>
  <c r="M181" i="89"/>
  <c r="N181" i="89" s="1"/>
  <c r="L208" i="89"/>
  <c r="M213" i="89"/>
  <c r="N213" i="89" s="1"/>
  <c r="L180" i="89"/>
  <c r="M180" i="89" s="1"/>
  <c r="N180" i="89" s="1"/>
  <c r="I51" i="89"/>
  <c r="M51" i="89" s="1"/>
  <c r="N51" i="89" s="1"/>
  <c r="I240" i="89"/>
  <c r="M240" i="89" s="1"/>
  <c r="G239" i="89"/>
  <c r="I239" i="89" s="1"/>
  <c r="I371" i="89"/>
  <c r="G370" i="89"/>
  <c r="F258" i="89"/>
  <c r="L240" i="89"/>
  <c r="J239" i="89"/>
  <c r="L239" i="89" s="1"/>
  <c r="J249" i="89"/>
  <c r="L250" i="89"/>
  <c r="M250" i="89" s="1"/>
  <c r="L222" i="89"/>
  <c r="J221" i="89"/>
  <c r="F148" i="89"/>
  <c r="F125" i="89"/>
  <c r="F344" i="89"/>
  <c r="I202" i="89"/>
  <c r="M202" i="89" s="1"/>
  <c r="N202" i="89" s="1"/>
  <c r="G201" i="89"/>
  <c r="L125" i="89"/>
  <c r="J124" i="89"/>
  <c r="J185" i="89"/>
  <c r="L186" i="89"/>
  <c r="J33" i="89"/>
  <c r="L34" i="89"/>
  <c r="F185" i="89"/>
  <c r="I125" i="89"/>
  <c r="G124" i="89"/>
  <c r="I21" i="89"/>
  <c r="G20" i="89"/>
  <c r="L21" i="89"/>
  <c r="J20" i="89"/>
  <c r="K138" i="89"/>
  <c r="L165" i="89"/>
  <c r="F371" i="89"/>
  <c r="N372" i="89"/>
  <c r="I353" i="89"/>
  <c r="G352" i="89"/>
  <c r="I314" i="89"/>
  <c r="G313" i="89"/>
  <c r="J280" i="89"/>
  <c r="L281" i="89"/>
  <c r="M281" i="89" s="1"/>
  <c r="N281" i="89" s="1"/>
  <c r="G248" i="89"/>
  <c r="I249" i="89"/>
  <c r="F279" i="89"/>
  <c r="I271" i="89"/>
  <c r="M271" i="89" s="1"/>
  <c r="N271" i="89" s="1"/>
  <c r="G270" i="89"/>
  <c r="F250" i="89"/>
  <c r="N251" i="89"/>
  <c r="G222" i="89"/>
  <c r="I223" i="89"/>
  <c r="M223" i="89" s="1"/>
  <c r="N223" i="89" s="1"/>
  <c r="F174" i="89"/>
  <c r="L149" i="89"/>
  <c r="J148" i="89"/>
  <c r="F376" i="89"/>
  <c r="J352" i="89"/>
  <c r="L353" i="89"/>
  <c r="I115" i="89"/>
  <c r="G114" i="89"/>
  <c r="N242" i="89"/>
  <c r="F241" i="89"/>
  <c r="F269" i="89"/>
  <c r="F34" i="89"/>
  <c r="N35" i="89"/>
  <c r="F20" i="89"/>
  <c r="M341" i="89"/>
  <c r="N341" i="89" s="1"/>
  <c r="M323" i="89"/>
  <c r="N323" i="89" s="1"/>
  <c r="M168" i="89"/>
  <c r="N168" i="89" s="1"/>
  <c r="I359" i="89"/>
  <c r="G358" i="89"/>
  <c r="I301" i="89"/>
  <c r="G300" i="89"/>
  <c r="I234" i="89"/>
  <c r="M234" i="89" s="1"/>
  <c r="N234" i="89" s="1"/>
  <c r="G232" i="89"/>
  <c r="G339" i="89"/>
  <c r="I340" i="89"/>
  <c r="M340" i="89" s="1"/>
  <c r="N340" i="89" s="1"/>
  <c r="J357" i="89"/>
  <c r="L357" i="89" s="1"/>
  <c r="L358" i="89"/>
  <c r="G344" i="89"/>
  <c r="I345" i="89"/>
  <c r="F313" i="89"/>
  <c r="G256" i="89"/>
  <c r="J331" i="89"/>
  <c r="L331" i="89" s="1"/>
  <c r="M331" i="89" s="1"/>
  <c r="L332" i="89"/>
  <c r="M332" i="89" s="1"/>
  <c r="L258" i="89"/>
  <c r="J257" i="89"/>
  <c r="L175" i="89"/>
  <c r="J174" i="89"/>
  <c r="F141" i="89"/>
  <c r="N142" i="89"/>
  <c r="I34" i="89"/>
  <c r="G33" i="89"/>
  <c r="L199" i="89"/>
  <c r="J198" i="89"/>
  <c r="L198" i="89" s="1"/>
  <c r="I141" i="89"/>
  <c r="G140" i="89"/>
  <c r="I167" i="89"/>
  <c r="M167" i="89" s="1"/>
  <c r="N167" i="89" s="1"/>
  <c r="G166" i="89"/>
  <c r="L141" i="89"/>
  <c r="J140" i="89"/>
  <c r="F114" i="89"/>
  <c r="M333" i="89"/>
  <c r="H298" i="89"/>
  <c r="M156" i="89"/>
  <c r="N156" i="89" s="1"/>
  <c r="M187" i="89"/>
  <c r="N187" i="89" s="1"/>
  <c r="L223" i="89"/>
  <c r="F50" i="89"/>
  <c r="N360" i="89"/>
  <c r="F359" i="89"/>
  <c r="N334" i="89"/>
  <c r="F333" i="89"/>
  <c r="F221" i="89"/>
  <c r="I149" i="89"/>
  <c r="G148" i="89"/>
  <c r="L234" i="89"/>
  <c r="J232" i="89"/>
  <c r="F351" i="89"/>
  <c r="K309" i="89"/>
  <c r="L310" i="89"/>
  <c r="M310" i="89" s="1"/>
  <c r="N310" i="89" s="1"/>
  <c r="G278" i="89"/>
  <c r="I278" i="89" s="1"/>
  <c r="I279" i="89"/>
  <c r="H262" i="89"/>
  <c r="I263" i="89"/>
  <c r="M263" i="89" s="1"/>
  <c r="N263" i="89" s="1"/>
  <c r="I208" i="89"/>
  <c r="G207" i="89"/>
  <c r="L371" i="89"/>
  <c r="J370" i="89"/>
  <c r="J345" i="89"/>
  <c r="L346" i="89"/>
  <c r="M346" i="89" s="1"/>
  <c r="N346" i="89" s="1"/>
  <c r="F338" i="89"/>
  <c r="J313" i="89"/>
  <c r="L314" i="89"/>
  <c r="K50" i="89"/>
  <c r="L83" i="89"/>
  <c r="M83" i="89" s="1"/>
  <c r="N83" i="89" s="1"/>
  <c r="I186" i="89"/>
  <c r="G185" i="89"/>
  <c r="J114" i="89"/>
  <c r="L115" i="89"/>
  <c r="I175" i="89"/>
  <c r="M175" i="89" s="1"/>
  <c r="N175" i="89" s="1"/>
  <c r="G174" i="89"/>
  <c r="G377" i="89"/>
  <c r="F301" i="89"/>
  <c r="M273" i="89"/>
  <c r="N273" i="89" s="1"/>
  <c r="M143" i="89"/>
  <c r="N143" i="89" s="1"/>
  <c r="J301" i="89"/>
  <c r="G50" i="89"/>
  <c r="L166" i="89"/>
  <c r="M126" i="89"/>
  <c r="N126" i="89" s="1"/>
  <c r="M22" i="89"/>
  <c r="N22" i="89" s="1"/>
  <c r="F358" i="88"/>
  <c r="I353" i="88"/>
  <c r="G352" i="88"/>
  <c r="I314" i="88"/>
  <c r="G313" i="88"/>
  <c r="L302" i="88"/>
  <c r="M302" i="88" s="1"/>
  <c r="N302" i="88" s="1"/>
  <c r="J301" i="88"/>
  <c r="F343" i="88"/>
  <c r="F369" i="88"/>
  <c r="F257" i="88"/>
  <c r="G207" i="88"/>
  <c r="I208" i="88"/>
  <c r="F124" i="88"/>
  <c r="L142" i="88"/>
  <c r="J141" i="88"/>
  <c r="I363" i="88"/>
  <c r="M363" i="88" s="1"/>
  <c r="N363" i="88" s="1"/>
  <c r="G359" i="88"/>
  <c r="L354" i="88"/>
  <c r="M354" i="88" s="1"/>
  <c r="N354" i="88" s="1"/>
  <c r="J353" i="88"/>
  <c r="L333" i="88"/>
  <c r="J332" i="88"/>
  <c r="L315" i="88"/>
  <c r="M315" i="88" s="1"/>
  <c r="N315" i="88" s="1"/>
  <c r="J314" i="88"/>
  <c r="I281" i="88"/>
  <c r="M281" i="88" s="1"/>
  <c r="N281" i="88" s="1"/>
  <c r="G280" i="88"/>
  <c r="J248" i="88"/>
  <c r="L249" i="88"/>
  <c r="I376" i="88"/>
  <c r="G375" i="88"/>
  <c r="I375" i="88" s="1"/>
  <c r="F278" i="88"/>
  <c r="J241" i="88"/>
  <c r="L242" i="88"/>
  <c r="I333" i="88"/>
  <c r="G332" i="88"/>
  <c r="L126" i="88"/>
  <c r="J125" i="88"/>
  <c r="L339" i="88"/>
  <c r="M339" i="88" s="1"/>
  <c r="N339" i="88" s="1"/>
  <c r="J338" i="88"/>
  <c r="L279" i="88"/>
  <c r="J278" i="88"/>
  <c r="L278" i="88" s="1"/>
  <c r="J185" i="88"/>
  <c r="L186" i="88"/>
  <c r="L116" i="88"/>
  <c r="M116" i="88" s="1"/>
  <c r="N116" i="88" s="1"/>
  <c r="J115" i="88"/>
  <c r="L22" i="88"/>
  <c r="J21" i="88"/>
  <c r="J33" i="88"/>
  <c r="L34" i="88"/>
  <c r="L168" i="88"/>
  <c r="K167" i="88"/>
  <c r="M249" i="88"/>
  <c r="N249" i="88" s="1"/>
  <c r="L359" i="88"/>
  <c r="L222" i="88"/>
  <c r="M340" i="88"/>
  <c r="N340" i="88" s="1"/>
  <c r="L202" i="88"/>
  <c r="M236" i="88"/>
  <c r="N236" i="88" s="1"/>
  <c r="K206" i="88"/>
  <c r="M102" i="88"/>
  <c r="N102" i="88" s="1"/>
  <c r="I271" i="88"/>
  <c r="G270" i="88"/>
  <c r="J357" i="88"/>
  <c r="L357" i="88" s="1"/>
  <c r="L358" i="88"/>
  <c r="F338" i="88"/>
  <c r="L259" i="88"/>
  <c r="J258" i="88"/>
  <c r="F270" i="88"/>
  <c r="F331" i="88"/>
  <c r="I222" i="88"/>
  <c r="G221" i="88"/>
  <c r="I203" i="88"/>
  <c r="M203" i="88" s="1"/>
  <c r="N203" i="88" s="1"/>
  <c r="G202" i="88"/>
  <c r="G175" i="88"/>
  <c r="I180" i="88"/>
  <c r="M180" i="88" s="1"/>
  <c r="N180" i="88" s="1"/>
  <c r="I148" i="88"/>
  <c r="G147" i="88"/>
  <c r="I147" i="88" s="1"/>
  <c r="F300" i="88"/>
  <c r="L180" i="88"/>
  <c r="K175" i="88"/>
  <c r="K174" i="88" s="1"/>
  <c r="K173" i="88" s="1"/>
  <c r="K49" i="88"/>
  <c r="G21" i="88"/>
  <c r="I22" i="88"/>
  <c r="M22" i="88" s="1"/>
  <c r="N22" i="88" s="1"/>
  <c r="M259" i="88"/>
  <c r="N259" i="88" s="1"/>
  <c r="N83" i="88"/>
  <c r="F50" i="88"/>
  <c r="L371" i="88"/>
  <c r="J370" i="88"/>
  <c r="I371" i="88"/>
  <c r="G370" i="88"/>
  <c r="L344" i="88"/>
  <c r="J343" i="88"/>
  <c r="L343" i="88" s="1"/>
  <c r="I338" i="88"/>
  <c r="G337" i="88"/>
  <c r="I337" i="88" s="1"/>
  <c r="L208" i="88"/>
  <c r="J207" i="88"/>
  <c r="I187" i="88"/>
  <c r="M187" i="88" s="1"/>
  <c r="N187" i="88" s="1"/>
  <c r="G186" i="88"/>
  <c r="I168" i="88"/>
  <c r="G167" i="88"/>
  <c r="F148" i="88"/>
  <c r="F141" i="88"/>
  <c r="F376" i="88"/>
  <c r="I42" i="88"/>
  <c r="M42" i="88" s="1"/>
  <c r="N42" i="88" s="1"/>
  <c r="G34" i="88"/>
  <c r="I51" i="88"/>
  <c r="M51" i="88" s="1"/>
  <c r="N51" i="88" s="1"/>
  <c r="G50" i="88"/>
  <c r="G301" i="88"/>
  <c r="J377" i="88"/>
  <c r="M224" i="88"/>
  <c r="N224" i="88" s="1"/>
  <c r="G258" i="88"/>
  <c r="L201" i="88"/>
  <c r="M142" i="88"/>
  <c r="N142" i="88" s="1"/>
  <c r="M126" i="88"/>
  <c r="N126" i="88" s="1"/>
  <c r="I346" i="88"/>
  <c r="M346" i="88" s="1"/>
  <c r="N346" i="88" s="1"/>
  <c r="G345" i="88"/>
  <c r="L272" i="88"/>
  <c r="M272" i="88" s="1"/>
  <c r="N272" i="88" s="1"/>
  <c r="J271" i="88"/>
  <c r="K322" i="88"/>
  <c r="L323" i="88"/>
  <c r="M323" i="88" s="1"/>
  <c r="N323" i="88" s="1"/>
  <c r="F313" i="88"/>
  <c r="F174" i="88"/>
  <c r="L149" i="88"/>
  <c r="M149" i="88" s="1"/>
  <c r="N149" i="88" s="1"/>
  <c r="J148" i="88"/>
  <c r="F352" i="88"/>
  <c r="H232" i="88"/>
  <c r="H221" i="88"/>
  <c r="H206" i="88" s="1"/>
  <c r="H138" i="88" s="1"/>
  <c r="J174" i="88"/>
  <c r="L199" i="88"/>
  <c r="J198" i="88"/>
  <c r="L198" i="88" s="1"/>
  <c r="I141" i="88"/>
  <c r="G140" i="88"/>
  <c r="F185" i="88"/>
  <c r="I125" i="88"/>
  <c r="G124" i="88"/>
  <c r="F114" i="88"/>
  <c r="F21" i="88"/>
  <c r="I377" i="88"/>
  <c r="L223" i="88"/>
  <c r="M223" i="88" s="1"/>
  <c r="N223" i="88" s="1"/>
  <c r="L280" i="88"/>
  <c r="K184" i="88"/>
  <c r="H17" i="88" l="1"/>
  <c r="M222" i="88"/>
  <c r="N222" i="88" s="1"/>
  <c r="M359" i="89"/>
  <c r="M239" i="89"/>
  <c r="G241" i="88"/>
  <c r="I242" i="88"/>
  <c r="M242" i="88" s="1"/>
  <c r="N242" i="88" s="1"/>
  <c r="J376" i="89"/>
  <c r="I115" i="88"/>
  <c r="G114" i="88"/>
  <c r="M168" i="88"/>
  <c r="N168" i="88" s="1"/>
  <c r="M208" i="89"/>
  <c r="N208" i="89" s="1"/>
  <c r="M186" i="89"/>
  <c r="N186" i="89" s="1"/>
  <c r="M125" i="89"/>
  <c r="N125" i="89" s="1"/>
  <c r="J300" i="89"/>
  <c r="I207" i="89"/>
  <c r="M207" i="89" s="1"/>
  <c r="N207" i="89" s="1"/>
  <c r="I50" i="89"/>
  <c r="G49" i="89"/>
  <c r="F300" i="89"/>
  <c r="K49" i="89"/>
  <c r="L50" i="89"/>
  <c r="I262" i="89"/>
  <c r="M262" i="89" s="1"/>
  <c r="N262" i="89" s="1"/>
  <c r="H258" i="89"/>
  <c r="K301" i="89"/>
  <c r="K300" i="89" s="1"/>
  <c r="K299" i="89" s="1"/>
  <c r="K298" i="89" s="1"/>
  <c r="K17" i="89" s="1"/>
  <c r="K386" i="89" s="1"/>
  <c r="K405" i="89" s="1"/>
  <c r="L309" i="89"/>
  <c r="M309" i="89" s="1"/>
  <c r="N309" i="89" s="1"/>
  <c r="J256" i="89"/>
  <c r="L256" i="89" s="1"/>
  <c r="L257" i="89"/>
  <c r="L376" i="89"/>
  <c r="J375" i="89"/>
  <c r="L375" i="89" s="1"/>
  <c r="I358" i="89"/>
  <c r="M358" i="89" s="1"/>
  <c r="G357" i="89"/>
  <c r="I357" i="89" s="1"/>
  <c r="M357" i="89" s="1"/>
  <c r="J351" i="89"/>
  <c r="L352" i="89"/>
  <c r="I222" i="89"/>
  <c r="M222" i="89" s="1"/>
  <c r="N222" i="89" s="1"/>
  <c r="G221" i="89"/>
  <c r="I221" i="89" s="1"/>
  <c r="I248" i="89"/>
  <c r="I124" i="89"/>
  <c r="G123" i="89"/>
  <c r="I174" i="89"/>
  <c r="G173" i="89"/>
  <c r="I173" i="89" s="1"/>
  <c r="G184" i="89"/>
  <c r="I184" i="89" s="1"/>
  <c r="I185" i="89"/>
  <c r="F337" i="89"/>
  <c r="J369" i="89"/>
  <c r="L369" i="89" s="1"/>
  <c r="L370" i="89"/>
  <c r="J231" i="89"/>
  <c r="L231" i="89" s="1"/>
  <c r="L232" i="89"/>
  <c r="F358" i="89"/>
  <c r="N359" i="89"/>
  <c r="G343" i="89"/>
  <c r="I343" i="89" s="1"/>
  <c r="I344" i="89"/>
  <c r="N241" i="89"/>
  <c r="F239" i="89"/>
  <c r="N239" i="89" s="1"/>
  <c r="F240" i="89"/>
  <c r="N240" i="89" s="1"/>
  <c r="L148" i="89"/>
  <c r="J147" i="89"/>
  <c r="L147" i="89" s="1"/>
  <c r="I270" i="89"/>
  <c r="M270" i="89" s="1"/>
  <c r="N270" i="89" s="1"/>
  <c r="G269" i="89"/>
  <c r="I269" i="89" s="1"/>
  <c r="M269" i="89" s="1"/>
  <c r="N269" i="89" s="1"/>
  <c r="G312" i="89"/>
  <c r="I312" i="89" s="1"/>
  <c r="I313" i="89"/>
  <c r="F184" i="89"/>
  <c r="L185" i="89"/>
  <c r="J184" i="89"/>
  <c r="L184" i="89" s="1"/>
  <c r="F124" i="89"/>
  <c r="L114" i="89"/>
  <c r="J113" i="89"/>
  <c r="L113" i="89" s="1"/>
  <c r="J47" i="89"/>
  <c r="L47" i="89" s="1"/>
  <c r="J312" i="89"/>
  <c r="L312" i="89" s="1"/>
  <c r="L313" i="89"/>
  <c r="J344" i="89"/>
  <c r="L345" i="89"/>
  <c r="J139" i="89"/>
  <c r="L140" i="89"/>
  <c r="I140" i="89"/>
  <c r="G32" i="89"/>
  <c r="I32" i="89" s="1"/>
  <c r="I33" i="89"/>
  <c r="L174" i="89"/>
  <c r="J173" i="89"/>
  <c r="L173" i="89" s="1"/>
  <c r="G299" i="89"/>
  <c r="I300" i="89"/>
  <c r="F19" i="89"/>
  <c r="F375" i="89"/>
  <c r="F173" i="89"/>
  <c r="F249" i="89"/>
  <c r="N250" i="89"/>
  <c r="J279" i="89"/>
  <c r="L280" i="89"/>
  <c r="M280" i="89" s="1"/>
  <c r="N280" i="89" s="1"/>
  <c r="G19" i="89"/>
  <c r="I20" i="89"/>
  <c r="G199" i="89"/>
  <c r="I201" i="89"/>
  <c r="M201" i="89" s="1"/>
  <c r="N201" i="89" s="1"/>
  <c r="L221" i="89"/>
  <c r="J206" i="89"/>
  <c r="L206" i="89" s="1"/>
  <c r="I370" i="89"/>
  <c r="M370" i="89" s="1"/>
  <c r="G369" i="89"/>
  <c r="I369" i="89" s="1"/>
  <c r="M141" i="89"/>
  <c r="N141" i="89" s="1"/>
  <c r="M34" i="89"/>
  <c r="N34" i="89" s="1"/>
  <c r="M21" i="89"/>
  <c r="N21" i="89" s="1"/>
  <c r="M371" i="89"/>
  <c r="N371" i="89" s="1"/>
  <c r="F206" i="89"/>
  <c r="M149" i="89"/>
  <c r="N149" i="89" s="1"/>
  <c r="M345" i="89"/>
  <c r="N345" i="89" s="1"/>
  <c r="M115" i="89"/>
  <c r="N115" i="89" s="1"/>
  <c r="M353" i="89"/>
  <c r="N353" i="89" s="1"/>
  <c r="I148" i="89"/>
  <c r="G147" i="89"/>
  <c r="I147" i="89" s="1"/>
  <c r="M147" i="89" s="1"/>
  <c r="F332" i="89"/>
  <c r="N333" i="89"/>
  <c r="F49" i="89"/>
  <c r="F113" i="89"/>
  <c r="F140" i="89"/>
  <c r="F312" i="89"/>
  <c r="G113" i="89"/>
  <c r="I113" i="89" s="1"/>
  <c r="I114" i="89"/>
  <c r="F278" i="89"/>
  <c r="G351" i="89"/>
  <c r="I352" i="89"/>
  <c r="M352" i="89" s="1"/>
  <c r="N352" i="89" s="1"/>
  <c r="L33" i="89"/>
  <c r="J32" i="89"/>
  <c r="L32" i="89" s="1"/>
  <c r="F147" i="89"/>
  <c r="L249" i="89"/>
  <c r="M249" i="89" s="1"/>
  <c r="J248" i="89"/>
  <c r="G165" i="89"/>
  <c r="I165" i="89" s="1"/>
  <c r="M165" i="89" s="1"/>
  <c r="N165" i="89" s="1"/>
  <c r="I166" i="89"/>
  <c r="M166" i="89" s="1"/>
  <c r="N166" i="89" s="1"/>
  <c r="I232" i="89"/>
  <c r="G231" i="89"/>
  <c r="I231" i="89" s="1"/>
  <c r="F33" i="89"/>
  <c r="F370" i="89"/>
  <c r="L20" i="89"/>
  <c r="J19" i="89"/>
  <c r="J123" i="89"/>
  <c r="L123" i="89" s="1"/>
  <c r="L124" i="89"/>
  <c r="J122" i="89"/>
  <c r="L122" i="89" s="1"/>
  <c r="F343" i="89"/>
  <c r="F257" i="89"/>
  <c r="M314" i="89"/>
  <c r="N314" i="89" s="1"/>
  <c r="I377" i="89"/>
  <c r="M377" i="89" s="1"/>
  <c r="N377" i="89" s="1"/>
  <c r="G376" i="89"/>
  <c r="G338" i="89"/>
  <c r="I339" i="89"/>
  <c r="M339" i="89" s="1"/>
  <c r="N339" i="89" s="1"/>
  <c r="H386" i="88"/>
  <c r="I258" i="88"/>
  <c r="G257" i="88"/>
  <c r="I50" i="88"/>
  <c r="M50" i="88" s="1"/>
  <c r="G49" i="88"/>
  <c r="I124" i="88"/>
  <c r="G123" i="88"/>
  <c r="L148" i="88"/>
  <c r="J147" i="88"/>
  <c r="L147" i="88" s="1"/>
  <c r="M147" i="88" s="1"/>
  <c r="J270" i="88"/>
  <c r="L271" i="88"/>
  <c r="I301" i="88"/>
  <c r="G300" i="88"/>
  <c r="F375" i="88"/>
  <c r="F147" i="88"/>
  <c r="G269" i="88"/>
  <c r="I269" i="88" s="1"/>
  <c r="I270" i="88"/>
  <c r="L185" i="88"/>
  <c r="J184" i="88"/>
  <c r="L184" i="88" s="1"/>
  <c r="I207" i="88"/>
  <c r="G206" i="88"/>
  <c r="I206" i="88" s="1"/>
  <c r="F113" i="88"/>
  <c r="F184" i="88"/>
  <c r="F351" i="88"/>
  <c r="F173" i="88"/>
  <c r="L322" i="88"/>
  <c r="M322" i="88" s="1"/>
  <c r="N322" i="88" s="1"/>
  <c r="K314" i="88"/>
  <c r="K313" i="88" s="1"/>
  <c r="K312" i="88" s="1"/>
  <c r="K298" i="88" s="1"/>
  <c r="I34" i="88"/>
  <c r="M34" i="88" s="1"/>
  <c r="N34" i="88" s="1"/>
  <c r="G33" i="88"/>
  <c r="I186" i="88"/>
  <c r="M186" i="88" s="1"/>
  <c r="N186" i="88" s="1"/>
  <c r="G185" i="88"/>
  <c r="I370" i="88"/>
  <c r="G369" i="88"/>
  <c r="I369" i="88" s="1"/>
  <c r="N50" i="88"/>
  <c r="F49" i="88"/>
  <c r="I21" i="88"/>
  <c r="M21" i="88" s="1"/>
  <c r="G20" i="88"/>
  <c r="K166" i="88"/>
  <c r="L167" i="88"/>
  <c r="J20" i="88"/>
  <c r="L21" i="88"/>
  <c r="L338" i="88"/>
  <c r="M338" i="88" s="1"/>
  <c r="N338" i="88" s="1"/>
  <c r="J337" i="88"/>
  <c r="L337" i="88" s="1"/>
  <c r="I332" i="88"/>
  <c r="G331" i="88"/>
  <c r="I331" i="88" s="1"/>
  <c r="J313" i="88"/>
  <c r="J352" i="88"/>
  <c r="L353" i="88"/>
  <c r="M353" i="88" s="1"/>
  <c r="N353" i="88" s="1"/>
  <c r="L141" i="88"/>
  <c r="M141" i="88" s="1"/>
  <c r="N141" i="88" s="1"/>
  <c r="J140" i="88"/>
  <c r="J300" i="88"/>
  <c r="L301" i="88"/>
  <c r="G351" i="88"/>
  <c r="I352" i="88"/>
  <c r="M371" i="88"/>
  <c r="N371" i="88" s="1"/>
  <c r="I221" i="88"/>
  <c r="M221" i="88" s="1"/>
  <c r="N221" i="88" s="1"/>
  <c r="M333" i="88"/>
  <c r="N333" i="88" s="1"/>
  <c r="L175" i="88"/>
  <c r="M337" i="88"/>
  <c r="M148" i="88"/>
  <c r="N148" i="88" s="1"/>
  <c r="M208" i="88"/>
  <c r="N208" i="88" s="1"/>
  <c r="F140" i="88"/>
  <c r="I202" i="88"/>
  <c r="M202" i="88" s="1"/>
  <c r="N202" i="88" s="1"/>
  <c r="G201" i="88"/>
  <c r="J257" i="88"/>
  <c r="L258" i="88"/>
  <c r="J32" i="88"/>
  <c r="L32" i="88" s="1"/>
  <c r="L33" i="88"/>
  <c r="L241" i="88"/>
  <c r="J240" i="88"/>
  <c r="F123" i="88"/>
  <c r="F256" i="88"/>
  <c r="F357" i="88"/>
  <c r="L174" i="88"/>
  <c r="J173" i="88"/>
  <c r="L173" i="88" s="1"/>
  <c r="I167" i="88"/>
  <c r="M167" i="88" s="1"/>
  <c r="N167" i="88" s="1"/>
  <c r="G166" i="88"/>
  <c r="L207" i="88"/>
  <c r="J206" i="88"/>
  <c r="L206" i="88" s="1"/>
  <c r="J369" i="88"/>
  <c r="L369" i="88" s="1"/>
  <c r="L370" i="88"/>
  <c r="L49" i="88"/>
  <c r="K48" i="88"/>
  <c r="L48" i="88" s="1"/>
  <c r="F299" i="88"/>
  <c r="I175" i="88"/>
  <c r="G174" i="88"/>
  <c r="F269" i="88"/>
  <c r="F337" i="88"/>
  <c r="N337" i="88" s="1"/>
  <c r="J114" i="88"/>
  <c r="L115" i="88"/>
  <c r="M115" i="88" s="1"/>
  <c r="N115" i="88" s="1"/>
  <c r="L125" i="88"/>
  <c r="J124" i="88"/>
  <c r="G279" i="88"/>
  <c r="I280" i="88"/>
  <c r="M280" i="88" s="1"/>
  <c r="N280" i="88" s="1"/>
  <c r="J331" i="88"/>
  <c r="L331" i="88" s="1"/>
  <c r="L332" i="88"/>
  <c r="I359" i="88"/>
  <c r="M359" i="88" s="1"/>
  <c r="N359" i="88" s="1"/>
  <c r="G358" i="88"/>
  <c r="G312" i="88"/>
  <c r="I312" i="88" s="1"/>
  <c r="I313" i="88"/>
  <c r="M125" i="88"/>
  <c r="N125" i="88" s="1"/>
  <c r="M271" i="88"/>
  <c r="N271" i="88" s="1"/>
  <c r="G344" i="88"/>
  <c r="I345" i="88"/>
  <c r="M345" i="88" s="1"/>
  <c r="N345" i="88" s="1"/>
  <c r="N21" i="88"/>
  <c r="F20" i="88"/>
  <c r="H231" i="88"/>
  <c r="I231" i="88" s="1"/>
  <c r="M231" i="88" s="1"/>
  <c r="N231" i="88" s="1"/>
  <c r="I232" i="88"/>
  <c r="M232" i="88" s="1"/>
  <c r="N232" i="88" s="1"/>
  <c r="F312" i="88"/>
  <c r="I140" i="88"/>
  <c r="G139" i="88"/>
  <c r="L377" i="88"/>
  <c r="M377" i="88" s="1"/>
  <c r="N377" i="88" s="1"/>
  <c r="J376" i="88"/>
  <c r="L248" i="88"/>
  <c r="M248" i="88" s="1"/>
  <c r="N248" i="88" s="1"/>
  <c r="M232" i="89" l="1"/>
  <c r="N232" i="89" s="1"/>
  <c r="G113" i="88"/>
  <c r="I113" i="88" s="1"/>
  <c r="I114" i="88"/>
  <c r="G240" i="88"/>
  <c r="I241" i="88"/>
  <c r="M241" i="88" s="1"/>
  <c r="N241" i="88" s="1"/>
  <c r="M175" i="88"/>
  <c r="N175" i="88" s="1"/>
  <c r="L314" i="88"/>
  <c r="M314" i="88" s="1"/>
  <c r="N314" i="88" s="1"/>
  <c r="M114" i="89"/>
  <c r="N114" i="89" s="1"/>
  <c r="M32" i="89"/>
  <c r="M174" i="89"/>
  <c r="N174" i="89" s="1"/>
  <c r="M173" i="89"/>
  <c r="L19" i="89"/>
  <c r="J18" i="89"/>
  <c r="F331" i="89"/>
  <c r="N331" i="89" s="1"/>
  <c r="N332" i="89"/>
  <c r="F369" i="89"/>
  <c r="N370" i="89"/>
  <c r="L248" i="89"/>
  <c r="M248" i="89" s="1"/>
  <c r="I376" i="89"/>
  <c r="M376" i="89" s="1"/>
  <c r="N376" i="89" s="1"/>
  <c r="G375" i="89"/>
  <c r="I375" i="89" s="1"/>
  <c r="M375" i="89" s="1"/>
  <c r="N375" i="89" s="1"/>
  <c r="F256" i="89"/>
  <c r="I351" i="89"/>
  <c r="F139" i="89"/>
  <c r="F123" i="89"/>
  <c r="G122" i="89"/>
  <c r="I122" i="89" s="1"/>
  <c r="M122" i="89" s="1"/>
  <c r="I123" i="89"/>
  <c r="M123" i="89" s="1"/>
  <c r="H257" i="89"/>
  <c r="I258" i="89"/>
  <c r="M258" i="89" s="1"/>
  <c r="N258" i="89" s="1"/>
  <c r="M231" i="89"/>
  <c r="N231" i="89" s="1"/>
  <c r="N147" i="89"/>
  <c r="M113" i="89"/>
  <c r="N113" i="89" s="1"/>
  <c r="M148" i="89"/>
  <c r="N148" i="89" s="1"/>
  <c r="M369" i="89"/>
  <c r="G139" i="89"/>
  <c r="M185" i="89"/>
  <c r="N185" i="89" s="1"/>
  <c r="M221" i="89"/>
  <c r="N221" i="89" s="1"/>
  <c r="G206" i="89"/>
  <c r="I206" i="89" s="1"/>
  <c r="M206" i="89" s="1"/>
  <c r="N206" i="89" s="1"/>
  <c r="F32" i="89"/>
  <c r="F48" i="89"/>
  <c r="G18" i="89"/>
  <c r="I19" i="89"/>
  <c r="M19" i="89" s="1"/>
  <c r="N19" i="89" s="1"/>
  <c r="N249" i="89"/>
  <c r="F248" i="89"/>
  <c r="G298" i="89"/>
  <c r="I298" i="89" s="1"/>
  <c r="I299" i="89"/>
  <c r="L139" i="89"/>
  <c r="J138" i="89"/>
  <c r="L138" i="89" s="1"/>
  <c r="L351" i="89"/>
  <c r="J350" i="89"/>
  <c r="L350" i="89" s="1"/>
  <c r="L49" i="89"/>
  <c r="K48" i="89"/>
  <c r="L48" i="89" s="1"/>
  <c r="J299" i="89"/>
  <c r="L300" i="89"/>
  <c r="M300" i="89" s="1"/>
  <c r="N300" i="89" s="1"/>
  <c r="M343" i="89"/>
  <c r="N343" i="89" s="1"/>
  <c r="N337" i="89"/>
  <c r="M50" i="89"/>
  <c r="N50" i="89" s="1"/>
  <c r="I49" i="89"/>
  <c r="M49" i="89" s="1"/>
  <c r="N49" i="89" s="1"/>
  <c r="G48" i="89"/>
  <c r="M20" i="89"/>
  <c r="N20" i="89" s="1"/>
  <c r="M33" i="89"/>
  <c r="N33" i="89" s="1"/>
  <c r="M312" i="89"/>
  <c r="N312" i="89" s="1"/>
  <c r="G247" i="89"/>
  <c r="L301" i="89"/>
  <c r="M301" i="89" s="1"/>
  <c r="N301" i="89" s="1"/>
  <c r="I338" i="89"/>
  <c r="M338" i="89" s="1"/>
  <c r="N338" i="89" s="1"/>
  <c r="G337" i="89"/>
  <c r="I337" i="89" s="1"/>
  <c r="M337" i="89" s="1"/>
  <c r="I199" i="89"/>
  <c r="M199" i="89" s="1"/>
  <c r="N199" i="89" s="1"/>
  <c r="G198" i="89"/>
  <c r="I198" i="89" s="1"/>
  <c r="M198" i="89" s="1"/>
  <c r="N198" i="89" s="1"/>
  <c r="L279" i="89"/>
  <c r="M279" i="89" s="1"/>
  <c r="N279" i="89" s="1"/>
  <c r="J278" i="89"/>
  <c r="L278" i="89" s="1"/>
  <c r="M278" i="89" s="1"/>
  <c r="N278" i="89" s="1"/>
  <c r="L344" i="89"/>
  <c r="M344" i="89" s="1"/>
  <c r="N344" i="89" s="1"/>
  <c r="J343" i="89"/>
  <c r="L343" i="89" s="1"/>
  <c r="F357" i="89"/>
  <c r="N358" i="89"/>
  <c r="F299" i="89"/>
  <c r="N173" i="89"/>
  <c r="M140" i="89"/>
  <c r="N140" i="89" s="1"/>
  <c r="M313" i="89"/>
  <c r="N313" i="89" s="1"/>
  <c r="M184" i="89"/>
  <c r="N184" i="89" s="1"/>
  <c r="M124" i="89"/>
  <c r="N124" i="89" s="1"/>
  <c r="I139" i="88"/>
  <c r="J113" i="88"/>
  <c r="L113" i="88" s="1"/>
  <c r="M113" i="88" s="1"/>
  <c r="L114" i="88"/>
  <c r="J47" i="88"/>
  <c r="L47" i="88" s="1"/>
  <c r="F122" i="88"/>
  <c r="I351" i="88"/>
  <c r="G350" i="88"/>
  <c r="I350" i="88" s="1"/>
  <c r="L313" i="88"/>
  <c r="J312" i="88"/>
  <c r="L312" i="88" s="1"/>
  <c r="K165" i="88"/>
  <c r="L166" i="88"/>
  <c r="H405" i="88"/>
  <c r="N147" i="88"/>
  <c r="M301" i="88"/>
  <c r="N301" i="88" s="1"/>
  <c r="I358" i="88"/>
  <c r="M358" i="88" s="1"/>
  <c r="N358" i="88" s="1"/>
  <c r="G357" i="88"/>
  <c r="I357" i="88" s="1"/>
  <c r="M357" i="88" s="1"/>
  <c r="N357" i="88" s="1"/>
  <c r="F298" i="88"/>
  <c r="G165" i="88"/>
  <c r="I165" i="88" s="1"/>
  <c r="I166" i="88"/>
  <c r="G199" i="88"/>
  <c r="I201" i="88"/>
  <c r="M201" i="88" s="1"/>
  <c r="N201" i="88" s="1"/>
  <c r="J139" i="88"/>
  <c r="L140" i="88"/>
  <c r="F48" i="88"/>
  <c r="G184" i="88"/>
  <c r="I184" i="88" s="1"/>
  <c r="M184" i="88" s="1"/>
  <c r="N184" i="88" s="1"/>
  <c r="I185" i="88"/>
  <c r="M185" i="88" s="1"/>
  <c r="N185" i="88" s="1"/>
  <c r="F350" i="88"/>
  <c r="G299" i="88"/>
  <c r="I300" i="88"/>
  <c r="I49" i="88"/>
  <c r="M49" i="88" s="1"/>
  <c r="N49" i="88" s="1"/>
  <c r="G48" i="88"/>
  <c r="N113" i="88"/>
  <c r="L257" i="88"/>
  <c r="J256" i="88"/>
  <c r="F139" i="88"/>
  <c r="L300" i="88"/>
  <c r="J299" i="88"/>
  <c r="L352" i="88"/>
  <c r="M352" i="88" s="1"/>
  <c r="N352" i="88" s="1"/>
  <c r="J351" i="88"/>
  <c r="L20" i="88"/>
  <c r="J19" i="88"/>
  <c r="L270" i="88"/>
  <c r="J269" i="88"/>
  <c r="L269" i="88" s="1"/>
  <c r="M269" i="88" s="1"/>
  <c r="N269" i="88" s="1"/>
  <c r="M312" i="88"/>
  <c r="N312" i="88" s="1"/>
  <c r="M332" i="88"/>
  <c r="N332" i="88" s="1"/>
  <c r="M370" i="88"/>
  <c r="N370" i="88" s="1"/>
  <c r="M207" i="88"/>
  <c r="N207" i="88" s="1"/>
  <c r="N375" i="88"/>
  <c r="M258" i="88"/>
  <c r="N258" i="88" s="1"/>
  <c r="I279" i="88"/>
  <c r="M279" i="88" s="1"/>
  <c r="N279" i="88" s="1"/>
  <c r="G278" i="88"/>
  <c r="I278" i="88" s="1"/>
  <c r="M278" i="88" s="1"/>
  <c r="N278" i="88" s="1"/>
  <c r="L376" i="88"/>
  <c r="M376" i="88" s="1"/>
  <c r="N376" i="88" s="1"/>
  <c r="J375" i="88"/>
  <c r="L375" i="88" s="1"/>
  <c r="M375" i="88" s="1"/>
  <c r="F19" i="88"/>
  <c r="I344" i="88"/>
  <c r="M344" i="88" s="1"/>
  <c r="N344" i="88" s="1"/>
  <c r="G343" i="88"/>
  <c r="I343" i="88" s="1"/>
  <c r="M343" i="88" s="1"/>
  <c r="N343" i="88" s="1"/>
  <c r="J123" i="88"/>
  <c r="L123" i="88" s="1"/>
  <c r="L124" i="88"/>
  <c r="M124" i="88" s="1"/>
  <c r="N124" i="88" s="1"/>
  <c r="J122" i="88"/>
  <c r="L122" i="88" s="1"/>
  <c r="I174" i="88"/>
  <c r="M174" i="88" s="1"/>
  <c r="N174" i="88" s="1"/>
  <c r="G173" i="88"/>
  <c r="I173" i="88" s="1"/>
  <c r="M173" i="88" s="1"/>
  <c r="N173" i="88" s="1"/>
  <c r="F247" i="88"/>
  <c r="J239" i="88"/>
  <c r="L239" i="88" s="1"/>
  <c r="L240" i="88"/>
  <c r="G19" i="88"/>
  <c r="I20" i="88"/>
  <c r="M20" i="88" s="1"/>
  <c r="N20" i="88" s="1"/>
  <c r="I33" i="88"/>
  <c r="M33" i="88" s="1"/>
  <c r="N33" i="88" s="1"/>
  <c r="G32" i="88"/>
  <c r="I32" i="88" s="1"/>
  <c r="M32" i="88" s="1"/>
  <c r="N32" i="88" s="1"/>
  <c r="G122" i="88"/>
  <c r="I122" i="88" s="1"/>
  <c r="M122" i="88" s="1"/>
  <c r="I123" i="88"/>
  <c r="G256" i="88"/>
  <c r="I257" i="88"/>
  <c r="M257" i="88" s="1"/>
  <c r="N257" i="88" s="1"/>
  <c r="M140" i="88"/>
  <c r="N140" i="88" s="1"/>
  <c r="M313" i="88"/>
  <c r="N313" i="88" s="1"/>
  <c r="M331" i="88"/>
  <c r="N331" i="88" s="1"/>
  <c r="M369" i="88"/>
  <c r="N369" i="88" s="1"/>
  <c r="M206" i="88"/>
  <c r="N206" i="88" s="1"/>
  <c r="M270" i="88"/>
  <c r="N270" i="88" s="1"/>
  <c r="M114" i="88" l="1"/>
  <c r="N114" i="88" s="1"/>
  <c r="G239" i="88"/>
  <c r="I239" i="88" s="1"/>
  <c r="M239" i="88" s="1"/>
  <c r="N239" i="88" s="1"/>
  <c r="I240" i="88"/>
  <c r="M240" i="88" s="1"/>
  <c r="N240" i="88" s="1"/>
  <c r="M123" i="88"/>
  <c r="N123" i="88" s="1"/>
  <c r="N32" i="89"/>
  <c r="I18" i="89"/>
  <c r="L18" i="89"/>
  <c r="G47" i="89"/>
  <c r="I47" i="89" s="1"/>
  <c r="M47" i="89" s="1"/>
  <c r="I48" i="89"/>
  <c r="M48" i="89" s="1"/>
  <c r="N48" i="89" s="1"/>
  <c r="F298" i="89"/>
  <c r="N357" i="89"/>
  <c r="F350" i="89"/>
  <c r="F247" i="89"/>
  <c r="N248" i="89"/>
  <c r="F47" i="89"/>
  <c r="H256" i="89"/>
  <c r="I257" i="89"/>
  <c r="M257" i="89" s="1"/>
  <c r="N257" i="89" s="1"/>
  <c r="N123" i="89"/>
  <c r="F122" i="89"/>
  <c r="N122" i="89" s="1"/>
  <c r="M351" i="89"/>
  <c r="N351" i="89" s="1"/>
  <c r="J247" i="89"/>
  <c r="L247" i="89" s="1"/>
  <c r="F18" i="89"/>
  <c r="G350" i="89"/>
  <c r="I350" i="89" s="1"/>
  <c r="M350" i="89" s="1"/>
  <c r="N369" i="89"/>
  <c r="L299" i="89"/>
  <c r="M299" i="89" s="1"/>
  <c r="N299" i="89" s="1"/>
  <c r="J298" i="89"/>
  <c r="L298" i="89" s="1"/>
  <c r="M298" i="89" s="1"/>
  <c r="G138" i="89"/>
  <c r="I138" i="89" s="1"/>
  <c r="M138" i="89" s="1"/>
  <c r="I139" i="89"/>
  <c r="M139" i="89" s="1"/>
  <c r="N139" i="89" s="1"/>
  <c r="F138" i="89"/>
  <c r="I19" i="88"/>
  <c r="G18" i="88"/>
  <c r="L351" i="88"/>
  <c r="J350" i="88"/>
  <c r="L350" i="88" s="1"/>
  <c r="M350" i="88" s="1"/>
  <c r="N350" i="88" s="1"/>
  <c r="I199" i="88"/>
  <c r="M199" i="88" s="1"/>
  <c r="N199" i="88" s="1"/>
  <c r="G198" i="88"/>
  <c r="I198" i="88" s="1"/>
  <c r="M198" i="88" s="1"/>
  <c r="N198" i="88" s="1"/>
  <c r="G138" i="88"/>
  <c r="I138" i="88" s="1"/>
  <c r="G47" i="88"/>
  <c r="I47" i="88" s="1"/>
  <c r="M47" i="88" s="1"/>
  <c r="I48" i="88"/>
  <c r="M48" i="88" s="1"/>
  <c r="N48" i="88" s="1"/>
  <c r="F47" i="88"/>
  <c r="I256" i="88"/>
  <c r="G247" i="88"/>
  <c r="I247" i="88" s="1"/>
  <c r="L19" i="88"/>
  <c r="J18" i="88"/>
  <c r="L299" i="88"/>
  <c r="J298" i="88"/>
  <c r="L298" i="88" s="1"/>
  <c r="L256" i="88"/>
  <c r="J247" i="88"/>
  <c r="L247" i="88" s="1"/>
  <c r="I299" i="88"/>
  <c r="M299" i="88" s="1"/>
  <c r="N299" i="88" s="1"/>
  <c r="G298" i="88"/>
  <c r="I298" i="88" s="1"/>
  <c r="M298" i="88" s="1"/>
  <c r="N298" i="88" s="1"/>
  <c r="L139" i="88"/>
  <c r="M139" i="88" s="1"/>
  <c r="N139" i="88" s="1"/>
  <c r="J138" i="88"/>
  <c r="N122" i="88"/>
  <c r="F18" i="88"/>
  <c r="F138" i="88"/>
  <c r="L165" i="88"/>
  <c r="M165" i="88" s="1"/>
  <c r="N165" i="88" s="1"/>
  <c r="K138" i="88"/>
  <c r="K17" i="88" s="1"/>
  <c r="M300" i="88"/>
  <c r="N300" i="88" s="1"/>
  <c r="M166" i="88"/>
  <c r="N166" i="88" s="1"/>
  <c r="M351" i="88"/>
  <c r="N351" i="88" s="1"/>
  <c r="M256" i="88" l="1"/>
  <c r="N256" i="88" s="1"/>
  <c r="M247" i="88"/>
  <c r="N247" i="88" s="1"/>
  <c r="N47" i="88"/>
  <c r="N47" i="89"/>
  <c r="N138" i="89"/>
  <c r="M18" i="89"/>
  <c r="N18" i="89" s="1"/>
  <c r="H247" i="89"/>
  <c r="I256" i="89"/>
  <c r="M256" i="89" s="1"/>
  <c r="N256" i="89" s="1"/>
  <c r="P18" i="89" s="1"/>
  <c r="F17" i="89"/>
  <c r="N350" i="89"/>
  <c r="G17" i="89"/>
  <c r="N298" i="89"/>
  <c r="J17" i="89"/>
  <c r="M19" i="88"/>
  <c r="N19" i="88" s="1"/>
  <c r="P18" i="88" s="1"/>
  <c r="I18" i="88"/>
  <c r="G17" i="88"/>
  <c r="K386" i="88"/>
  <c r="P22" i="88"/>
  <c r="F17" i="88"/>
  <c r="L18" i="88"/>
  <c r="J17" i="88"/>
  <c r="L138" i="88"/>
  <c r="M138" i="88" s="1"/>
  <c r="N138" i="88" s="1"/>
  <c r="G386" i="89" l="1"/>
  <c r="G405" i="89" s="1"/>
  <c r="J386" i="89"/>
  <c r="L17" i="89"/>
  <c r="H17" i="89"/>
  <c r="I247" i="89"/>
  <c r="M247" i="89" s="1"/>
  <c r="N247" i="89" s="1"/>
  <c r="M18" i="88"/>
  <c r="N18" i="88" s="1"/>
  <c r="J386" i="88"/>
  <c r="L17" i="88"/>
  <c r="G386" i="88"/>
  <c r="G405" i="88" s="1"/>
  <c r="I17" i="88"/>
  <c r="K405" i="88"/>
  <c r="P21" i="88"/>
  <c r="H386" i="89" l="1"/>
  <c r="P22" i="89"/>
  <c r="L386" i="89"/>
  <c r="L405" i="89" s="1"/>
  <c r="J405" i="89"/>
  <c r="I17" i="89"/>
  <c r="I386" i="88"/>
  <c r="M17" i="88"/>
  <c r="N17" i="88" s="1"/>
  <c r="L386" i="88"/>
  <c r="L405" i="88" s="1"/>
  <c r="J405" i="88"/>
  <c r="I386" i="89" l="1"/>
  <c r="M17" i="89"/>
  <c r="N17" i="89" s="1"/>
  <c r="H405" i="89"/>
  <c r="P21" i="89"/>
  <c r="I405" i="88"/>
  <c r="M386" i="88"/>
  <c r="I405" i="89" l="1"/>
  <c r="M386" i="89"/>
  <c r="M405" i="88"/>
  <c r="P387" i="88"/>
  <c r="M405" i="89" l="1"/>
  <c r="P387" i="89"/>
  <c r="I419" i="87"/>
  <c r="M419" i="87" s="1"/>
  <c r="L418" i="87"/>
  <c r="M418" i="87" s="1"/>
  <c r="I417" i="87"/>
  <c r="M417" i="87" s="1"/>
  <c r="I416" i="87"/>
  <c r="M416" i="87" s="1"/>
  <c r="I415" i="87"/>
  <c r="M415" i="87" s="1"/>
  <c r="I414" i="87"/>
  <c r="M414" i="87" s="1"/>
  <c r="H414" i="87"/>
  <c r="I413" i="87"/>
  <c r="M413" i="87" s="1"/>
  <c r="H413" i="87"/>
  <c r="L412" i="87"/>
  <c r="I412" i="87"/>
  <c r="M412" i="87" s="1"/>
  <c r="L410" i="87"/>
  <c r="I410" i="87"/>
  <c r="L409" i="87"/>
  <c r="I409" i="87"/>
  <c r="M409" i="87" s="1"/>
  <c r="L408" i="87"/>
  <c r="I408" i="87"/>
  <c r="H408" i="87"/>
  <c r="L407" i="87"/>
  <c r="M407" i="87" s="1"/>
  <c r="I407" i="87"/>
  <c r="K406" i="87"/>
  <c r="J406" i="87"/>
  <c r="H406" i="87"/>
  <c r="G406" i="87"/>
  <c r="M400" i="87"/>
  <c r="I400" i="87"/>
  <c r="L399" i="87"/>
  <c r="M399" i="87" s="1"/>
  <c r="I398" i="87"/>
  <c r="M398" i="87" s="1"/>
  <c r="I397" i="87"/>
  <c r="M397" i="87" s="1"/>
  <c r="M396" i="87"/>
  <c r="I396" i="87"/>
  <c r="H395" i="87"/>
  <c r="I395" i="87" s="1"/>
  <c r="M395" i="87" s="1"/>
  <c r="L394" i="87"/>
  <c r="H394" i="87"/>
  <c r="I394" i="87" s="1"/>
  <c r="M394" i="87" s="1"/>
  <c r="L393" i="87"/>
  <c r="I393" i="87"/>
  <c r="L391" i="87"/>
  <c r="I391" i="87"/>
  <c r="M391" i="87" s="1"/>
  <c r="L390" i="87"/>
  <c r="M390" i="87" s="1"/>
  <c r="I390" i="87"/>
  <c r="L389" i="87"/>
  <c r="H389" i="87"/>
  <c r="I389" i="87" s="1"/>
  <c r="M389" i="87" s="1"/>
  <c r="L388" i="87"/>
  <c r="I388" i="87"/>
  <c r="M388" i="87" s="1"/>
  <c r="K387" i="87"/>
  <c r="L387" i="87" s="1"/>
  <c r="J387" i="87"/>
  <c r="G387" i="87"/>
  <c r="L383" i="87"/>
  <c r="I383" i="87"/>
  <c r="M383" i="87" s="1"/>
  <c r="N383" i="87" s="1"/>
  <c r="K382" i="87"/>
  <c r="K381" i="87" s="1"/>
  <c r="J382" i="87"/>
  <c r="J381" i="87" s="1"/>
  <c r="H382" i="87"/>
  <c r="G382" i="87"/>
  <c r="I382" i="87" s="1"/>
  <c r="F382" i="87"/>
  <c r="F381" i="87" s="1"/>
  <c r="H381" i="87"/>
  <c r="G381" i="87"/>
  <c r="L380" i="87"/>
  <c r="I380" i="87"/>
  <c r="K379" i="87"/>
  <c r="K378" i="87" s="1"/>
  <c r="J379" i="87"/>
  <c r="L379" i="87" s="1"/>
  <c r="H379" i="87"/>
  <c r="H378" i="87" s="1"/>
  <c r="G379" i="87"/>
  <c r="G378" i="87" s="1"/>
  <c r="F379" i="87"/>
  <c r="F378" i="87"/>
  <c r="M374" i="87"/>
  <c r="N374" i="87" s="1"/>
  <c r="L374" i="87"/>
  <c r="I374" i="87"/>
  <c r="K373" i="87"/>
  <c r="J373" i="87"/>
  <c r="L373" i="87" s="1"/>
  <c r="H373" i="87"/>
  <c r="H372" i="87" s="1"/>
  <c r="H371" i="87" s="1"/>
  <c r="H370" i="87" s="1"/>
  <c r="H369" i="87" s="1"/>
  <c r="G373" i="87"/>
  <c r="I373" i="87" s="1"/>
  <c r="F373" i="87"/>
  <c r="K372" i="87"/>
  <c r="J372" i="87"/>
  <c r="J371" i="87" s="1"/>
  <c r="F372" i="87"/>
  <c r="F371" i="87" s="1"/>
  <c r="K371" i="87"/>
  <c r="K370" i="87" s="1"/>
  <c r="K369" i="87" s="1"/>
  <c r="L368" i="87"/>
  <c r="I368" i="87"/>
  <c r="M368" i="87" s="1"/>
  <c r="N368" i="87" s="1"/>
  <c r="L367" i="87"/>
  <c r="I367" i="87"/>
  <c r="M367" i="87" s="1"/>
  <c r="N367" i="87" s="1"/>
  <c r="K366" i="87"/>
  <c r="J366" i="87"/>
  <c r="H366" i="87"/>
  <c r="G366" i="87"/>
  <c r="I366" i="87" s="1"/>
  <c r="F366" i="87"/>
  <c r="L365" i="87"/>
  <c r="I365" i="87"/>
  <c r="K364" i="87"/>
  <c r="J364" i="87"/>
  <c r="J363" i="87" s="1"/>
  <c r="H364" i="87"/>
  <c r="G364" i="87"/>
  <c r="F364" i="87"/>
  <c r="H363" i="87"/>
  <c r="H359" i="87" s="1"/>
  <c r="H358" i="87" s="1"/>
  <c r="H357" i="87" s="1"/>
  <c r="L362" i="87"/>
  <c r="I362" i="87"/>
  <c r="M362" i="87" s="1"/>
  <c r="N362" i="87" s="1"/>
  <c r="K361" i="87"/>
  <c r="J361" i="87"/>
  <c r="L361" i="87" s="1"/>
  <c r="I361" i="87"/>
  <c r="H361" i="87"/>
  <c r="H360" i="87" s="1"/>
  <c r="G361" i="87"/>
  <c r="F361" i="87"/>
  <c r="F360" i="87" s="1"/>
  <c r="K360" i="87"/>
  <c r="G360" i="87"/>
  <c r="I360" i="87" s="1"/>
  <c r="L356" i="87"/>
  <c r="I356" i="87"/>
  <c r="M356" i="87" s="1"/>
  <c r="N356" i="87" s="1"/>
  <c r="K355" i="87"/>
  <c r="J355" i="87"/>
  <c r="J354" i="87" s="1"/>
  <c r="H355" i="87"/>
  <c r="H354" i="87" s="1"/>
  <c r="H353" i="87" s="1"/>
  <c r="H352" i="87" s="1"/>
  <c r="H351" i="87" s="1"/>
  <c r="G355" i="87"/>
  <c r="F355" i="87"/>
  <c r="F354" i="87" s="1"/>
  <c r="K354" i="87"/>
  <c r="G354" i="87"/>
  <c r="G353" i="87" s="1"/>
  <c r="L348" i="87"/>
  <c r="M348" i="87" s="1"/>
  <c r="N348" i="87" s="1"/>
  <c r="K347" i="87"/>
  <c r="K346" i="87" s="1"/>
  <c r="K345" i="87" s="1"/>
  <c r="K344" i="87" s="1"/>
  <c r="K343" i="87" s="1"/>
  <c r="J347" i="87"/>
  <c r="J346" i="87" s="1"/>
  <c r="H347" i="87"/>
  <c r="G347" i="87"/>
  <c r="G346" i="87" s="1"/>
  <c r="F347" i="87"/>
  <c r="H346" i="87"/>
  <c r="H345" i="87" s="1"/>
  <c r="H344" i="87" s="1"/>
  <c r="H343" i="87" s="1"/>
  <c r="L342" i="87"/>
  <c r="I342" i="87"/>
  <c r="K341" i="87"/>
  <c r="K340" i="87" s="1"/>
  <c r="K339" i="87" s="1"/>
  <c r="K338" i="87" s="1"/>
  <c r="K337" i="87" s="1"/>
  <c r="J341" i="87"/>
  <c r="L341" i="87" s="1"/>
  <c r="H341" i="87"/>
  <c r="H340" i="87" s="1"/>
  <c r="H339" i="87" s="1"/>
  <c r="H338" i="87" s="1"/>
  <c r="H337" i="87" s="1"/>
  <c r="G341" i="87"/>
  <c r="G340" i="87" s="1"/>
  <c r="F341" i="87"/>
  <c r="F340" i="87"/>
  <c r="F339" i="87" s="1"/>
  <c r="F338" i="87" s="1"/>
  <c r="M336" i="87"/>
  <c r="N336" i="87" s="1"/>
  <c r="L336" i="87"/>
  <c r="I336" i="87"/>
  <c r="K335" i="87"/>
  <c r="J335" i="87"/>
  <c r="I335" i="87"/>
  <c r="H335" i="87"/>
  <c r="H334" i="87" s="1"/>
  <c r="H333" i="87" s="1"/>
  <c r="H332" i="87" s="1"/>
  <c r="H331" i="87" s="1"/>
  <c r="G335" i="87"/>
  <c r="F335" i="87"/>
  <c r="K334" i="87"/>
  <c r="K333" i="87" s="1"/>
  <c r="K332" i="87" s="1"/>
  <c r="K331" i="87" s="1"/>
  <c r="J334" i="87"/>
  <c r="J333" i="87" s="1"/>
  <c r="G334" i="87"/>
  <c r="G333" i="87" s="1"/>
  <c r="G332" i="87" s="1"/>
  <c r="F334" i="87"/>
  <c r="F333" i="87" s="1"/>
  <c r="L330" i="87"/>
  <c r="I330" i="87"/>
  <c r="M329" i="87"/>
  <c r="N329" i="87" s="1"/>
  <c r="L329" i="87"/>
  <c r="L328" i="87"/>
  <c r="M328" i="87" s="1"/>
  <c r="N328" i="87" s="1"/>
  <c r="L327" i="87"/>
  <c r="M327" i="87" s="1"/>
  <c r="N327" i="87" s="1"/>
  <c r="L326" i="87"/>
  <c r="M326" i="87" s="1"/>
  <c r="N326" i="87" s="1"/>
  <c r="L325" i="87"/>
  <c r="M325" i="87" s="1"/>
  <c r="N325" i="87" s="1"/>
  <c r="M324" i="87"/>
  <c r="N324" i="87" s="1"/>
  <c r="L324" i="87"/>
  <c r="L323" i="87"/>
  <c r="K323" i="87"/>
  <c r="K322" i="87" s="1"/>
  <c r="J323" i="87"/>
  <c r="H323" i="87"/>
  <c r="H322" i="87" s="1"/>
  <c r="G323" i="87"/>
  <c r="G322" i="87" s="1"/>
  <c r="F323" i="87"/>
  <c r="F322" i="87" s="1"/>
  <c r="J322" i="87"/>
  <c r="L321" i="87"/>
  <c r="M321" i="87" s="1"/>
  <c r="N321" i="87" s="1"/>
  <c r="K320" i="87"/>
  <c r="J320" i="87"/>
  <c r="I320" i="87"/>
  <c r="H320" i="87"/>
  <c r="H319" i="87" s="1"/>
  <c r="G320" i="87"/>
  <c r="F320" i="87"/>
  <c r="F319" i="87" s="1"/>
  <c r="K319" i="87"/>
  <c r="J319" i="87"/>
  <c r="G319" i="87"/>
  <c r="I319" i="87" s="1"/>
  <c r="L318" i="87"/>
  <c r="M318" i="87" s="1"/>
  <c r="N318" i="87" s="1"/>
  <c r="N317" i="87"/>
  <c r="M317" i="87"/>
  <c r="L317" i="87"/>
  <c r="K316" i="87"/>
  <c r="J316" i="87"/>
  <c r="H316" i="87"/>
  <c r="H315" i="87" s="1"/>
  <c r="H314" i="87" s="1"/>
  <c r="H313" i="87" s="1"/>
  <c r="H312" i="87" s="1"/>
  <c r="G316" i="87"/>
  <c r="I316" i="87" s="1"/>
  <c r="F316" i="87"/>
  <c r="K315" i="87"/>
  <c r="J315" i="87"/>
  <c r="J314" i="87" s="1"/>
  <c r="F315" i="87"/>
  <c r="L311" i="87"/>
  <c r="I311" i="87"/>
  <c r="K310" i="87"/>
  <c r="J310" i="87"/>
  <c r="H310" i="87"/>
  <c r="H309" i="87" s="1"/>
  <c r="G310" i="87"/>
  <c r="F310" i="87"/>
  <c r="F309" i="87" s="1"/>
  <c r="K309" i="87"/>
  <c r="G309" i="87"/>
  <c r="L308" i="87"/>
  <c r="M308" i="87" s="1"/>
  <c r="N308" i="87" s="1"/>
  <c r="I308" i="87"/>
  <c r="L307" i="87"/>
  <c r="M307" i="87" s="1"/>
  <c r="N307" i="87" s="1"/>
  <c r="I307" i="87"/>
  <c r="K306" i="87"/>
  <c r="K305" i="87" s="1"/>
  <c r="K301" i="87" s="1"/>
  <c r="K300" i="87" s="1"/>
  <c r="K299" i="87" s="1"/>
  <c r="J306" i="87"/>
  <c r="L306" i="87" s="1"/>
  <c r="H306" i="87"/>
  <c r="G306" i="87"/>
  <c r="G305" i="87" s="1"/>
  <c r="F306" i="87"/>
  <c r="F305" i="87"/>
  <c r="L304" i="87"/>
  <c r="M304" i="87" s="1"/>
  <c r="N304" i="87" s="1"/>
  <c r="K303" i="87"/>
  <c r="J303" i="87"/>
  <c r="L303" i="87" s="1"/>
  <c r="I303" i="87"/>
  <c r="M303" i="87" s="1"/>
  <c r="H303" i="87"/>
  <c r="H302" i="87" s="1"/>
  <c r="G303" i="87"/>
  <c r="F303" i="87"/>
  <c r="F302" i="87" s="1"/>
  <c r="F301" i="87" s="1"/>
  <c r="K302" i="87"/>
  <c r="J302" i="87"/>
  <c r="G302" i="87"/>
  <c r="L296" i="87"/>
  <c r="M296" i="87" s="1"/>
  <c r="N296" i="87" s="1"/>
  <c r="L295" i="87"/>
  <c r="I295" i="87"/>
  <c r="M295" i="87" s="1"/>
  <c r="N295" i="87" s="1"/>
  <c r="L294" i="87"/>
  <c r="I294" i="87"/>
  <c r="L293" i="87"/>
  <c r="I293" i="87"/>
  <c r="K292" i="87"/>
  <c r="J292" i="87"/>
  <c r="H292" i="87"/>
  <c r="H291" i="87" s="1"/>
  <c r="G292" i="87"/>
  <c r="F292" i="87"/>
  <c r="F291" i="87" s="1"/>
  <c r="K291" i="87"/>
  <c r="G291" i="87"/>
  <c r="L290" i="87"/>
  <c r="M290" i="87" s="1"/>
  <c r="N290" i="87" s="1"/>
  <c r="L289" i="87"/>
  <c r="M289" i="87" s="1"/>
  <c r="N289" i="87" s="1"/>
  <c r="L288" i="87"/>
  <c r="M288" i="87" s="1"/>
  <c r="N288" i="87" s="1"/>
  <c r="M287" i="87"/>
  <c r="N287" i="87" s="1"/>
  <c r="L287" i="87"/>
  <c r="I287" i="87"/>
  <c r="M286" i="87"/>
  <c r="N286" i="87" s="1"/>
  <c r="L286" i="87"/>
  <c r="L285" i="87"/>
  <c r="M285" i="87" s="1"/>
  <c r="N285" i="87" s="1"/>
  <c r="L284" i="87"/>
  <c r="M284" i="87" s="1"/>
  <c r="N284" i="87" s="1"/>
  <c r="L283" i="87"/>
  <c r="I283" i="87"/>
  <c r="M283" i="87" s="1"/>
  <c r="N283" i="87" s="1"/>
  <c r="K282" i="87"/>
  <c r="J282" i="87"/>
  <c r="H282" i="87"/>
  <c r="H281" i="87" s="1"/>
  <c r="H280" i="87" s="1"/>
  <c r="H279" i="87" s="1"/>
  <c r="H278" i="87" s="1"/>
  <c r="G282" i="87"/>
  <c r="F282" i="87"/>
  <c r="F281" i="87" s="1"/>
  <c r="K281" i="87"/>
  <c r="K280" i="87" s="1"/>
  <c r="K279" i="87" s="1"/>
  <c r="K278" i="87" s="1"/>
  <c r="G281" i="87"/>
  <c r="L277" i="87"/>
  <c r="I277" i="87"/>
  <c r="M277" i="87" s="1"/>
  <c r="N277" i="87" s="1"/>
  <c r="I276" i="87"/>
  <c r="M276" i="87" s="1"/>
  <c r="N276" i="87" s="1"/>
  <c r="I275" i="87"/>
  <c r="M275" i="87" s="1"/>
  <c r="N275" i="87" s="1"/>
  <c r="L274" i="87"/>
  <c r="I274" i="87"/>
  <c r="M274" i="87" s="1"/>
  <c r="N274" i="87" s="1"/>
  <c r="K273" i="87"/>
  <c r="J273" i="87"/>
  <c r="L273" i="87" s="1"/>
  <c r="H273" i="87"/>
  <c r="H272" i="87" s="1"/>
  <c r="H271" i="87" s="1"/>
  <c r="H270" i="87" s="1"/>
  <c r="H269" i="87" s="1"/>
  <c r="G273" i="87"/>
  <c r="I273" i="87" s="1"/>
  <c r="M273" i="87" s="1"/>
  <c r="F273" i="87"/>
  <c r="K272" i="87"/>
  <c r="F272" i="87"/>
  <c r="F271" i="87" s="1"/>
  <c r="K271" i="87"/>
  <c r="K270" i="87" s="1"/>
  <c r="K269" i="87" s="1"/>
  <c r="L268" i="87"/>
  <c r="I268" i="87"/>
  <c r="M268" i="87" s="1"/>
  <c r="N268" i="87" s="1"/>
  <c r="L267" i="87"/>
  <c r="I267" i="87"/>
  <c r="M267" i="87" s="1"/>
  <c r="N267" i="87" s="1"/>
  <c r="N266" i="87"/>
  <c r="L266" i="87"/>
  <c r="H266" i="87"/>
  <c r="I266" i="87" s="1"/>
  <c r="M266" i="87" s="1"/>
  <c r="L265" i="87"/>
  <c r="I265" i="87"/>
  <c r="L264" i="87"/>
  <c r="I264" i="87"/>
  <c r="K263" i="87"/>
  <c r="K262" i="87" s="1"/>
  <c r="J263" i="87"/>
  <c r="J262" i="87" s="1"/>
  <c r="L262" i="87" s="1"/>
  <c r="H263" i="87"/>
  <c r="H262" i="87" s="1"/>
  <c r="G263" i="87"/>
  <c r="F263" i="87"/>
  <c r="L261" i="87"/>
  <c r="M261" i="87" s="1"/>
  <c r="N261" i="87" s="1"/>
  <c r="I261" i="87"/>
  <c r="K260" i="87"/>
  <c r="J260" i="87"/>
  <c r="H260" i="87"/>
  <c r="H259" i="87" s="1"/>
  <c r="H258" i="87" s="1"/>
  <c r="H257" i="87" s="1"/>
  <c r="H256" i="87" s="1"/>
  <c r="G260" i="87"/>
  <c r="G259" i="87" s="1"/>
  <c r="I259" i="87" s="1"/>
  <c r="F260" i="87"/>
  <c r="K259" i="87"/>
  <c r="L255" i="87"/>
  <c r="I255" i="87"/>
  <c r="L254" i="87"/>
  <c r="I254" i="87"/>
  <c r="M254" i="87" s="1"/>
  <c r="N254" i="87" s="1"/>
  <c r="L253" i="87"/>
  <c r="I253" i="87"/>
  <c r="M253" i="87" s="1"/>
  <c r="N253" i="87" s="1"/>
  <c r="K252" i="87"/>
  <c r="K251" i="87" s="1"/>
  <c r="K250" i="87" s="1"/>
  <c r="K249" i="87" s="1"/>
  <c r="K248" i="87" s="1"/>
  <c r="J252" i="87"/>
  <c r="H252" i="87"/>
  <c r="G252" i="87"/>
  <c r="I252" i="87" s="1"/>
  <c r="F252" i="87"/>
  <c r="F251" i="87" s="1"/>
  <c r="H251" i="87"/>
  <c r="H250" i="87" s="1"/>
  <c r="H249" i="87" s="1"/>
  <c r="H248" i="87" s="1"/>
  <c r="I245" i="87"/>
  <c r="M245" i="87" s="1"/>
  <c r="N245" i="87" s="1"/>
  <c r="K244" i="87"/>
  <c r="K243" i="87" s="1"/>
  <c r="K242" i="87" s="1"/>
  <c r="K241" i="87" s="1"/>
  <c r="K240" i="87" s="1"/>
  <c r="K239" i="87" s="1"/>
  <c r="J244" i="87"/>
  <c r="J243" i="87" s="1"/>
  <c r="L243" i="87" s="1"/>
  <c r="H244" i="87"/>
  <c r="H243" i="87" s="1"/>
  <c r="H242" i="87" s="1"/>
  <c r="H241" i="87" s="1"/>
  <c r="H240" i="87" s="1"/>
  <c r="H239" i="87" s="1"/>
  <c r="G244" i="87"/>
  <c r="F244" i="87"/>
  <c r="L237" i="87"/>
  <c r="M237" i="87" s="1"/>
  <c r="N237" i="87" s="1"/>
  <c r="I237" i="87"/>
  <c r="K236" i="87"/>
  <c r="J236" i="87"/>
  <c r="L236" i="87" s="1"/>
  <c r="H236" i="87"/>
  <c r="H235" i="87" s="1"/>
  <c r="H234" i="87" s="1"/>
  <c r="H232" i="87" s="1"/>
  <c r="H231" i="87" s="1"/>
  <c r="G236" i="87"/>
  <c r="F236" i="87"/>
  <c r="K235" i="87"/>
  <c r="J235" i="87"/>
  <c r="G235" i="87"/>
  <c r="G234" i="87" s="1"/>
  <c r="K234" i="87"/>
  <c r="K232" i="87" s="1"/>
  <c r="K231" i="87" s="1"/>
  <c r="L233" i="87"/>
  <c r="M233" i="87" s="1"/>
  <c r="N233" i="87" s="1"/>
  <c r="I233" i="87"/>
  <c r="F232" i="87"/>
  <c r="F231" i="87"/>
  <c r="L230" i="87"/>
  <c r="I230" i="87"/>
  <c r="L229" i="87"/>
  <c r="I229" i="87"/>
  <c r="M229" i="87" s="1"/>
  <c r="N229" i="87" s="1"/>
  <c r="L228" i="87"/>
  <c r="I228" i="87"/>
  <c r="M228" i="87" s="1"/>
  <c r="N228" i="87" s="1"/>
  <c r="K227" i="87"/>
  <c r="J227" i="87"/>
  <c r="H227" i="87"/>
  <c r="G227" i="87"/>
  <c r="I227" i="87" s="1"/>
  <c r="F227" i="87"/>
  <c r="F226" i="87" s="1"/>
  <c r="K226" i="87"/>
  <c r="H226" i="87"/>
  <c r="L225" i="87"/>
  <c r="M225" i="87" s="1"/>
  <c r="N225" i="87" s="1"/>
  <c r="I225" i="87"/>
  <c r="K224" i="87"/>
  <c r="K223" i="87" s="1"/>
  <c r="J224" i="87"/>
  <c r="L224" i="87" s="1"/>
  <c r="H224" i="87"/>
  <c r="H223" i="87" s="1"/>
  <c r="H222" i="87" s="1"/>
  <c r="G224" i="87"/>
  <c r="G223" i="87" s="1"/>
  <c r="I223" i="87" s="1"/>
  <c r="F224" i="87"/>
  <c r="F223" i="87"/>
  <c r="K222" i="87"/>
  <c r="K221" i="87" s="1"/>
  <c r="F222" i="87"/>
  <c r="M220" i="87"/>
  <c r="N220" i="87" s="1"/>
  <c r="I220" i="87"/>
  <c r="L219" i="87"/>
  <c r="M219" i="87" s="1"/>
  <c r="N219" i="87" s="1"/>
  <c r="L218" i="87"/>
  <c r="I218" i="87"/>
  <c r="M218" i="87" s="1"/>
  <c r="N218" i="87" s="1"/>
  <c r="K217" i="87"/>
  <c r="K216" i="87" s="1"/>
  <c r="J217" i="87"/>
  <c r="H217" i="87"/>
  <c r="G217" i="87"/>
  <c r="I217" i="87" s="1"/>
  <c r="F217" i="87"/>
  <c r="J216" i="87"/>
  <c r="L216" i="87" s="1"/>
  <c r="H216" i="87"/>
  <c r="G216" i="87"/>
  <c r="I216" i="87" s="1"/>
  <c r="F216" i="87"/>
  <c r="L215" i="87"/>
  <c r="I215" i="87"/>
  <c r="L214" i="87"/>
  <c r="I214" i="87"/>
  <c r="L213" i="87"/>
  <c r="K213" i="87"/>
  <c r="K212" i="87" s="1"/>
  <c r="J213" i="87"/>
  <c r="H213" i="87"/>
  <c r="H212" i="87" s="1"/>
  <c r="I212" i="87" s="1"/>
  <c r="G213" i="87"/>
  <c r="G212" i="87" s="1"/>
  <c r="F213" i="87"/>
  <c r="F212" i="87" s="1"/>
  <c r="J212" i="87"/>
  <c r="L212" i="87" s="1"/>
  <c r="L211" i="87"/>
  <c r="I211" i="87"/>
  <c r="M211" i="87" s="1"/>
  <c r="N211" i="87" s="1"/>
  <c r="K210" i="87"/>
  <c r="K209" i="87" s="1"/>
  <c r="J210" i="87"/>
  <c r="H210" i="87"/>
  <c r="G210" i="87"/>
  <c r="I210" i="87" s="1"/>
  <c r="F210" i="87"/>
  <c r="J209" i="87"/>
  <c r="H209" i="87"/>
  <c r="G209" i="87"/>
  <c r="I209" i="87" s="1"/>
  <c r="F209" i="87"/>
  <c r="L205" i="87"/>
  <c r="I205" i="87"/>
  <c r="M205" i="87" s="1"/>
  <c r="N205" i="87" s="1"/>
  <c r="K204" i="87"/>
  <c r="K203" i="87" s="1"/>
  <c r="K202" i="87" s="1"/>
  <c r="K201" i="87" s="1"/>
  <c r="K199" i="87" s="1"/>
  <c r="K198" i="87" s="1"/>
  <c r="J204" i="87"/>
  <c r="J203" i="87" s="1"/>
  <c r="H204" i="87"/>
  <c r="G204" i="87"/>
  <c r="F204" i="87"/>
  <c r="F203" i="87" s="1"/>
  <c r="H203" i="87"/>
  <c r="G203" i="87"/>
  <c r="G202" i="87" s="1"/>
  <c r="G201" i="87" s="1"/>
  <c r="G199" i="87" s="1"/>
  <c r="F202" i="87"/>
  <c r="F201" i="87" s="1"/>
  <c r="L200" i="87"/>
  <c r="M200" i="87" s="1"/>
  <c r="N200" i="87" s="1"/>
  <c r="I200" i="87"/>
  <c r="F199" i="87"/>
  <c r="F198" i="87" s="1"/>
  <c r="L197" i="87"/>
  <c r="I197" i="87"/>
  <c r="L196" i="87"/>
  <c r="I196" i="87"/>
  <c r="K195" i="87"/>
  <c r="K194" i="87" s="1"/>
  <c r="J195" i="87"/>
  <c r="J194" i="87" s="1"/>
  <c r="H195" i="87"/>
  <c r="H194" i="87" s="1"/>
  <c r="G195" i="87"/>
  <c r="F195" i="87"/>
  <c r="F194" i="87" s="1"/>
  <c r="G194" i="87"/>
  <c r="L193" i="87"/>
  <c r="M193" i="87" s="1"/>
  <c r="N193" i="87" s="1"/>
  <c r="L192" i="87"/>
  <c r="M192" i="87" s="1"/>
  <c r="N192" i="87" s="1"/>
  <c r="L191" i="87"/>
  <c r="M191" i="87" s="1"/>
  <c r="N191" i="87" s="1"/>
  <c r="L190" i="87"/>
  <c r="M190" i="87" s="1"/>
  <c r="N190" i="87" s="1"/>
  <c r="L189" i="87"/>
  <c r="M189" i="87" s="1"/>
  <c r="N189" i="87" s="1"/>
  <c r="I189" i="87"/>
  <c r="K188" i="87"/>
  <c r="K187" i="87" s="1"/>
  <c r="J188" i="87"/>
  <c r="L188" i="87" s="1"/>
  <c r="H188" i="87"/>
  <c r="H187" i="87" s="1"/>
  <c r="G188" i="87"/>
  <c r="G187" i="87" s="1"/>
  <c r="F188" i="87"/>
  <c r="F187" i="87"/>
  <c r="L183" i="87"/>
  <c r="M183" i="87" s="1"/>
  <c r="N183" i="87" s="1"/>
  <c r="L182" i="87"/>
  <c r="M182" i="87" s="1"/>
  <c r="N182" i="87" s="1"/>
  <c r="I182" i="87"/>
  <c r="K181" i="87"/>
  <c r="K180" i="87" s="1"/>
  <c r="J181" i="87"/>
  <c r="L181" i="87" s="1"/>
  <c r="H181" i="87"/>
  <c r="H180" i="87" s="1"/>
  <c r="G181" i="87"/>
  <c r="G180" i="87" s="1"/>
  <c r="F181" i="87"/>
  <c r="F180" i="87"/>
  <c r="L179" i="87"/>
  <c r="I179" i="87"/>
  <c r="M179" i="87" s="1"/>
  <c r="N179" i="87" s="1"/>
  <c r="L178" i="87"/>
  <c r="I178" i="87"/>
  <c r="K177" i="87"/>
  <c r="J177" i="87"/>
  <c r="J176" i="87" s="1"/>
  <c r="L176" i="87" s="1"/>
  <c r="H177" i="87"/>
  <c r="H176" i="87" s="1"/>
  <c r="G177" i="87"/>
  <c r="I177" i="87" s="1"/>
  <c r="F177" i="87"/>
  <c r="F176" i="87" s="1"/>
  <c r="K176" i="87"/>
  <c r="L172" i="87"/>
  <c r="M172" i="87" s="1"/>
  <c r="N172" i="87" s="1"/>
  <c r="L171" i="87"/>
  <c r="I171" i="87"/>
  <c r="L170" i="87"/>
  <c r="I170" i="87"/>
  <c r="M170" i="87" s="1"/>
  <c r="N170" i="87" s="1"/>
  <c r="K169" i="87"/>
  <c r="K168" i="87" s="1"/>
  <c r="K167" i="87" s="1"/>
  <c r="K166" i="87" s="1"/>
  <c r="K165" i="87" s="1"/>
  <c r="J169" i="87"/>
  <c r="J168" i="87" s="1"/>
  <c r="H169" i="87"/>
  <c r="H168" i="87" s="1"/>
  <c r="H167" i="87" s="1"/>
  <c r="H166" i="87" s="1"/>
  <c r="H165" i="87" s="1"/>
  <c r="G169" i="87"/>
  <c r="F169" i="87"/>
  <c r="F168" i="87" s="1"/>
  <c r="L164" i="87"/>
  <c r="I164" i="87"/>
  <c r="L163" i="87"/>
  <c r="I163" i="87"/>
  <c r="M163" i="87" s="1"/>
  <c r="N163" i="87" s="1"/>
  <c r="K162" i="87"/>
  <c r="J162" i="87"/>
  <c r="H162" i="87"/>
  <c r="G162" i="87"/>
  <c r="F162" i="87"/>
  <c r="L161" i="87"/>
  <c r="M161" i="87" s="1"/>
  <c r="N161" i="87" s="1"/>
  <c r="I161" i="87"/>
  <c r="L160" i="87"/>
  <c r="K160" i="87"/>
  <c r="K159" i="87" s="1"/>
  <c r="J160" i="87"/>
  <c r="H160" i="87"/>
  <c r="H159" i="87" s="1"/>
  <c r="G160" i="87"/>
  <c r="G159" i="87" s="1"/>
  <c r="F160" i="87"/>
  <c r="J159" i="87"/>
  <c r="F159" i="87"/>
  <c r="L158" i="87"/>
  <c r="I158" i="87"/>
  <c r="M158" i="87" s="1"/>
  <c r="N158" i="87" s="1"/>
  <c r="K157" i="87"/>
  <c r="J157" i="87"/>
  <c r="H157" i="87"/>
  <c r="G157" i="87"/>
  <c r="F157" i="87"/>
  <c r="F156" i="87" s="1"/>
  <c r="K156" i="87"/>
  <c r="L156" i="87" s="1"/>
  <c r="J156" i="87"/>
  <c r="G156" i="87"/>
  <c r="L155" i="87"/>
  <c r="M155" i="87" s="1"/>
  <c r="N155" i="87" s="1"/>
  <c r="I155" i="87"/>
  <c r="L154" i="87"/>
  <c r="I154" i="87"/>
  <c r="K153" i="87"/>
  <c r="J153" i="87"/>
  <c r="L153" i="87" s="1"/>
  <c r="H153" i="87"/>
  <c r="I153" i="87" s="1"/>
  <c r="G153" i="87"/>
  <c r="F153" i="87"/>
  <c r="L152" i="87"/>
  <c r="I152" i="87"/>
  <c r="M152" i="87" s="1"/>
  <c r="N152" i="87" s="1"/>
  <c r="L151" i="87"/>
  <c r="I151" i="87"/>
  <c r="M151" i="87" s="1"/>
  <c r="N151" i="87" s="1"/>
  <c r="K150" i="87"/>
  <c r="J150" i="87"/>
  <c r="I150" i="87"/>
  <c r="H150" i="87"/>
  <c r="G150" i="87"/>
  <c r="F150" i="87"/>
  <c r="K149" i="87"/>
  <c r="G149" i="87"/>
  <c r="F149" i="87"/>
  <c r="F148" i="87" s="1"/>
  <c r="L146" i="87"/>
  <c r="I146" i="87"/>
  <c r="M146" i="87" s="1"/>
  <c r="N146" i="87" s="1"/>
  <c r="L145" i="87"/>
  <c r="I145" i="87"/>
  <c r="M145" i="87" s="1"/>
  <c r="N145" i="87" s="1"/>
  <c r="L144" i="87"/>
  <c r="I144" i="87"/>
  <c r="M144" i="87" s="1"/>
  <c r="N144" i="87" s="1"/>
  <c r="K143" i="87"/>
  <c r="J143" i="87"/>
  <c r="L143" i="87" s="1"/>
  <c r="I143" i="87"/>
  <c r="H143" i="87"/>
  <c r="H142" i="87" s="1"/>
  <c r="H141" i="87" s="1"/>
  <c r="H140" i="87" s="1"/>
  <c r="G143" i="87"/>
  <c r="F143" i="87"/>
  <c r="K142" i="87"/>
  <c r="J142" i="87"/>
  <c r="J141" i="87" s="1"/>
  <c r="G142" i="87"/>
  <c r="G141" i="87" s="1"/>
  <c r="G140" i="87" s="1"/>
  <c r="F142" i="87"/>
  <c r="F141" i="87" s="1"/>
  <c r="K141" i="87"/>
  <c r="K140" i="87" s="1"/>
  <c r="L136" i="87"/>
  <c r="I136" i="87"/>
  <c r="M136" i="87" s="1"/>
  <c r="N136" i="87" s="1"/>
  <c r="L135" i="87"/>
  <c r="I135" i="87"/>
  <c r="L134" i="87"/>
  <c r="I134" i="87"/>
  <c r="L133" i="87"/>
  <c r="I133" i="87"/>
  <c r="M133" i="87" s="1"/>
  <c r="N133" i="87" s="1"/>
  <c r="K132" i="87"/>
  <c r="K131" i="87" s="1"/>
  <c r="J132" i="87"/>
  <c r="J131" i="87" s="1"/>
  <c r="H132" i="87"/>
  <c r="G132" i="87"/>
  <c r="G131" i="87" s="1"/>
  <c r="F132" i="87"/>
  <c r="H131" i="87"/>
  <c r="M130" i="87"/>
  <c r="N130" i="87" s="1"/>
  <c r="L130" i="87"/>
  <c r="I130" i="87"/>
  <c r="L129" i="87"/>
  <c r="I129" i="87"/>
  <c r="M129" i="87" s="1"/>
  <c r="N129" i="87" s="1"/>
  <c r="M128" i="87"/>
  <c r="N128" i="87" s="1"/>
  <c r="L128" i="87"/>
  <c r="I128" i="87"/>
  <c r="K127" i="87"/>
  <c r="J127" i="87"/>
  <c r="I127" i="87"/>
  <c r="H127" i="87"/>
  <c r="H126" i="87" s="1"/>
  <c r="G127" i="87"/>
  <c r="F127" i="87"/>
  <c r="K126" i="87"/>
  <c r="J126" i="87"/>
  <c r="J125" i="87" s="1"/>
  <c r="G126" i="87"/>
  <c r="I126" i="87" s="1"/>
  <c r="F126" i="87"/>
  <c r="L120" i="87"/>
  <c r="I120" i="87"/>
  <c r="M120" i="87" s="1"/>
  <c r="N120" i="87" s="1"/>
  <c r="L119" i="87"/>
  <c r="I119" i="87"/>
  <c r="M119" i="87" s="1"/>
  <c r="N119" i="87" s="1"/>
  <c r="L118" i="87"/>
  <c r="I118" i="87"/>
  <c r="K117" i="87"/>
  <c r="K116" i="87" s="1"/>
  <c r="K115" i="87" s="1"/>
  <c r="K114" i="87" s="1"/>
  <c r="K113" i="87" s="1"/>
  <c r="K99" i="87" s="1"/>
  <c r="L99" i="87" s="1"/>
  <c r="J117" i="87"/>
  <c r="J116" i="87" s="1"/>
  <c r="H117" i="87"/>
  <c r="G117" i="87"/>
  <c r="G116" i="87" s="1"/>
  <c r="F117" i="87"/>
  <c r="H116" i="87"/>
  <c r="H115" i="87" s="1"/>
  <c r="H114" i="87" s="1"/>
  <c r="H113" i="87" s="1"/>
  <c r="L112" i="87"/>
  <c r="M112" i="87" s="1"/>
  <c r="N112" i="87" s="1"/>
  <c r="I112" i="87"/>
  <c r="L111" i="87"/>
  <c r="I111" i="87"/>
  <c r="L110" i="87"/>
  <c r="M110" i="87" s="1"/>
  <c r="N110" i="87" s="1"/>
  <c r="I110" i="87"/>
  <c r="L109" i="87"/>
  <c r="M109" i="87" s="1"/>
  <c r="N109" i="87" s="1"/>
  <c r="I109" i="87"/>
  <c r="L108" i="87"/>
  <c r="I108" i="87"/>
  <c r="L107" i="87"/>
  <c r="M107" i="87" s="1"/>
  <c r="N107" i="87" s="1"/>
  <c r="I107" i="87"/>
  <c r="L106" i="87"/>
  <c r="M106" i="87" s="1"/>
  <c r="N106" i="87" s="1"/>
  <c r="I106" i="87"/>
  <c r="L105" i="87"/>
  <c r="M105" i="87" s="1"/>
  <c r="N105" i="87" s="1"/>
  <c r="I105" i="87"/>
  <c r="L104" i="87"/>
  <c r="M104" i="87" s="1"/>
  <c r="N104" i="87" s="1"/>
  <c r="I104" i="87"/>
  <c r="L103" i="87"/>
  <c r="M103" i="87" s="1"/>
  <c r="N103" i="87" s="1"/>
  <c r="I103" i="87"/>
  <c r="K102" i="87"/>
  <c r="K101" i="87" s="1"/>
  <c r="K95" i="87" s="1"/>
  <c r="J102" i="87"/>
  <c r="L102" i="87" s="1"/>
  <c r="H102" i="87"/>
  <c r="H101" i="87" s="1"/>
  <c r="G102" i="87"/>
  <c r="G101" i="87" s="1"/>
  <c r="F102" i="87"/>
  <c r="F101" i="87"/>
  <c r="L100" i="87"/>
  <c r="I100" i="87"/>
  <c r="I99" i="87"/>
  <c r="M99" i="87" s="1"/>
  <c r="N99" i="87" s="1"/>
  <c r="H99" i="87"/>
  <c r="G99" i="87"/>
  <c r="F99" i="87"/>
  <c r="L98" i="87"/>
  <c r="I98" i="87"/>
  <c r="L97" i="87"/>
  <c r="I97" i="87"/>
  <c r="L96" i="87"/>
  <c r="I96" i="87"/>
  <c r="M96" i="87" s="1"/>
  <c r="N96" i="87" s="1"/>
  <c r="J95" i="87"/>
  <c r="H95" i="87"/>
  <c r="G95" i="87"/>
  <c r="I95" i="87" s="1"/>
  <c r="F95" i="87"/>
  <c r="L94" i="87"/>
  <c r="I94" i="87"/>
  <c r="M94" i="87" s="1"/>
  <c r="N94" i="87" s="1"/>
  <c r="L93" i="87"/>
  <c r="I93" i="87"/>
  <c r="L92" i="87"/>
  <c r="I92" i="87"/>
  <c r="L91" i="87"/>
  <c r="I91" i="87"/>
  <c r="M91" i="87" s="1"/>
  <c r="N91" i="87" s="1"/>
  <c r="L90" i="87"/>
  <c r="I90" i="87"/>
  <c r="L89" i="87"/>
  <c r="I89" i="87"/>
  <c r="L88" i="87"/>
  <c r="I88" i="87"/>
  <c r="M88" i="87" s="1"/>
  <c r="N88" i="87" s="1"/>
  <c r="L87" i="87"/>
  <c r="I87" i="87"/>
  <c r="L86" i="87"/>
  <c r="I86" i="87"/>
  <c r="L85" i="87"/>
  <c r="I85" i="87"/>
  <c r="M85" i="87" s="1"/>
  <c r="N85" i="87" s="1"/>
  <c r="K84" i="87"/>
  <c r="L84" i="87" s="1"/>
  <c r="H84" i="87"/>
  <c r="G84" i="87"/>
  <c r="I84" i="87" s="1"/>
  <c r="F84" i="87"/>
  <c r="G83" i="87"/>
  <c r="F83" i="87"/>
  <c r="I82" i="87"/>
  <c r="M82" i="87" s="1"/>
  <c r="N82" i="87" s="1"/>
  <c r="K81" i="87"/>
  <c r="L81" i="87" s="1"/>
  <c r="G81" i="87"/>
  <c r="F81" i="87"/>
  <c r="I80" i="87"/>
  <c r="M80" i="87" s="1"/>
  <c r="N80" i="87" s="1"/>
  <c r="K79" i="87"/>
  <c r="L79" i="87" s="1"/>
  <c r="H79" i="87"/>
  <c r="I79" i="87" s="1"/>
  <c r="M79" i="87" s="1"/>
  <c r="N79" i="87" s="1"/>
  <c r="G79" i="87"/>
  <c r="F79" i="87"/>
  <c r="L78" i="87"/>
  <c r="I78" i="87"/>
  <c r="M78" i="87" s="1"/>
  <c r="N78" i="87" s="1"/>
  <c r="K77" i="87"/>
  <c r="L77" i="87" s="1"/>
  <c r="H77" i="87"/>
  <c r="I77" i="87" s="1"/>
  <c r="G77" i="87"/>
  <c r="F77" i="87"/>
  <c r="K76" i="87"/>
  <c r="L76" i="87" s="1"/>
  <c r="G76" i="87"/>
  <c r="F76" i="87"/>
  <c r="L75" i="87"/>
  <c r="I75" i="87"/>
  <c r="K74" i="87"/>
  <c r="L74" i="87" s="1"/>
  <c r="I74" i="87"/>
  <c r="M74" i="87" s="1"/>
  <c r="N74" i="87" s="1"/>
  <c r="H74" i="87"/>
  <c r="G74" i="87"/>
  <c r="F74" i="87"/>
  <c r="L73" i="87"/>
  <c r="I73" i="87"/>
  <c r="M73" i="87" s="1"/>
  <c r="N73" i="87" s="1"/>
  <c r="K72" i="87"/>
  <c r="L72" i="87" s="1"/>
  <c r="H72" i="87"/>
  <c r="I72" i="87" s="1"/>
  <c r="G72" i="87"/>
  <c r="F72" i="87"/>
  <c r="L71" i="87"/>
  <c r="I71" i="87"/>
  <c r="K70" i="87"/>
  <c r="L70" i="87" s="1"/>
  <c r="H70" i="87"/>
  <c r="G70" i="87"/>
  <c r="I70" i="87" s="1"/>
  <c r="F70" i="87"/>
  <c r="L69" i="87"/>
  <c r="I69" i="87"/>
  <c r="M69" i="87" s="1"/>
  <c r="N69" i="87" s="1"/>
  <c r="K68" i="87"/>
  <c r="L68" i="87" s="1"/>
  <c r="H68" i="87"/>
  <c r="G68" i="87"/>
  <c r="I68" i="87" s="1"/>
  <c r="F68" i="87"/>
  <c r="L67" i="87"/>
  <c r="I67" i="87"/>
  <c r="K66" i="87"/>
  <c r="L66" i="87" s="1"/>
  <c r="H66" i="87"/>
  <c r="I66" i="87" s="1"/>
  <c r="M66" i="87" s="1"/>
  <c r="N66" i="87" s="1"/>
  <c r="G66" i="87"/>
  <c r="F66" i="87"/>
  <c r="L65" i="87"/>
  <c r="I65" i="87"/>
  <c r="M65" i="87" s="1"/>
  <c r="N65" i="87" s="1"/>
  <c r="K64" i="87"/>
  <c r="L64" i="87" s="1"/>
  <c r="H64" i="87"/>
  <c r="I64" i="87" s="1"/>
  <c r="M64" i="87" s="1"/>
  <c r="G64" i="87"/>
  <c r="F64" i="87"/>
  <c r="L63" i="87"/>
  <c r="I63" i="87"/>
  <c r="K62" i="87"/>
  <c r="L62" i="87" s="1"/>
  <c r="H62" i="87"/>
  <c r="G62" i="87"/>
  <c r="I62" i="87" s="1"/>
  <c r="F62" i="87"/>
  <c r="L61" i="87"/>
  <c r="I61" i="87"/>
  <c r="M61" i="87" s="1"/>
  <c r="N61" i="87" s="1"/>
  <c r="K60" i="87"/>
  <c r="L60" i="87" s="1"/>
  <c r="H60" i="87"/>
  <c r="G60" i="87"/>
  <c r="I60" i="87" s="1"/>
  <c r="F60" i="87"/>
  <c r="L59" i="87"/>
  <c r="I59" i="87"/>
  <c r="K58" i="87"/>
  <c r="L58" i="87" s="1"/>
  <c r="H58" i="87"/>
  <c r="I58" i="87" s="1"/>
  <c r="M58" i="87" s="1"/>
  <c r="N58" i="87" s="1"/>
  <c r="G58" i="87"/>
  <c r="F58" i="87"/>
  <c r="L57" i="87"/>
  <c r="I57" i="87"/>
  <c r="M57" i="87" s="1"/>
  <c r="N57" i="87" s="1"/>
  <c r="K56" i="87"/>
  <c r="L56" i="87" s="1"/>
  <c r="H56" i="87"/>
  <c r="I56" i="87" s="1"/>
  <c r="M56" i="87" s="1"/>
  <c r="G56" i="87"/>
  <c r="F56" i="87"/>
  <c r="L55" i="87"/>
  <c r="I55" i="87"/>
  <c r="K54" i="87"/>
  <c r="L54" i="87" s="1"/>
  <c r="H54" i="87"/>
  <c r="G54" i="87"/>
  <c r="I54" i="87" s="1"/>
  <c r="F54" i="87"/>
  <c r="L53" i="87"/>
  <c r="I53" i="87"/>
  <c r="M53" i="87" s="1"/>
  <c r="N53" i="87" s="1"/>
  <c r="K52" i="87"/>
  <c r="L52" i="87" s="1"/>
  <c r="H52" i="87"/>
  <c r="H51" i="87" s="1"/>
  <c r="G52" i="87"/>
  <c r="I52" i="87" s="1"/>
  <c r="F52" i="87"/>
  <c r="F51" i="87"/>
  <c r="J48" i="87"/>
  <c r="L45" i="87"/>
  <c r="I45" i="87"/>
  <c r="M45" i="87" s="1"/>
  <c r="N45" i="87" s="1"/>
  <c r="L44" i="87"/>
  <c r="I44" i="87"/>
  <c r="M44" i="87" s="1"/>
  <c r="N44" i="87" s="1"/>
  <c r="K43" i="87"/>
  <c r="K42" i="87" s="1"/>
  <c r="J43" i="87"/>
  <c r="L43" i="87" s="1"/>
  <c r="H43" i="87"/>
  <c r="H42" i="87" s="1"/>
  <c r="G43" i="87"/>
  <c r="G42" i="87" s="1"/>
  <c r="F43" i="87"/>
  <c r="F42" i="87"/>
  <c r="L41" i="87"/>
  <c r="I41" i="87"/>
  <c r="L40" i="87"/>
  <c r="M40" i="87" s="1"/>
  <c r="N40" i="87" s="1"/>
  <c r="L39" i="87"/>
  <c r="M39" i="87" s="1"/>
  <c r="N39" i="87" s="1"/>
  <c r="M38" i="87"/>
  <c r="N38" i="87" s="1"/>
  <c r="L38" i="87"/>
  <c r="L37" i="87"/>
  <c r="I37" i="87"/>
  <c r="K36" i="87"/>
  <c r="K35" i="87" s="1"/>
  <c r="J36" i="87"/>
  <c r="J35" i="87" s="1"/>
  <c r="H36" i="87"/>
  <c r="H35" i="87" s="1"/>
  <c r="H34" i="87" s="1"/>
  <c r="H33" i="87" s="1"/>
  <c r="H32" i="87" s="1"/>
  <c r="G36" i="87"/>
  <c r="F36" i="87"/>
  <c r="L31" i="87"/>
  <c r="I31" i="87"/>
  <c r="M31" i="87" s="1"/>
  <c r="N31" i="87" s="1"/>
  <c r="K30" i="87"/>
  <c r="K29" i="87" s="1"/>
  <c r="J30" i="87"/>
  <c r="L30" i="87" s="1"/>
  <c r="H30" i="87"/>
  <c r="H29" i="87" s="1"/>
  <c r="G30" i="87"/>
  <c r="G29" i="87" s="1"/>
  <c r="F30" i="87"/>
  <c r="F29" i="87" s="1"/>
  <c r="I29" i="87"/>
  <c r="L28" i="87"/>
  <c r="M28" i="87" s="1"/>
  <c r="N28" i="87" s="1"/>
  <c r="M27" i="87"/>
  <c r="N27" i="87" s="1"/>
  <c r="L27" i="87"/>
  <c r="P26" i="87"/>
  <c r="L26" i="87"/>
  <c r="I26" i="87"/>
  <c r="M26" i="87" s="1"/>
  <c r="N26" i="87" s="1"/>
  <c r="L25" i="87"/>
  <c r="I25" i="87"/>
  <c r="M25" i="87" s="1"/>
  <c r="N25" i="87" s="1"/>
  <c r="M24" i="87"/>
  <c r="N24" i="87" s="1"/>
  <c r="L24" i="87"/>
  <c r="I24" i="87"/>
  <c r="K23" i="87"/>
  <c r="J23" i="87"/>
  <c r="L23" i="87" s="1"/>
  <c r="H23" i="87"/>
  <c r="H22" i="87" s="1"/>
  <c r="H21" i="87" s="1"/>
  <c r="H20" i="87" s="1"/>
  <c r="H19" i="87" s="1"/>
  <c r="G23" i="87"/>
  <c r="F23" i="87"/>
  <c r="K22" i="87"/>
  <c r="K21" i="87" s="1"/>
  <c r="K20" i="87" s="1"/>
  <c r="K19" i="87" s="1"/>
  <c r="G22" i="87"/>
  <c r="T19" i="87"/>
  <c r="S19" i="87"/>
  <c r="U17" i="87"/>
  <c r="L209" i="87" l="1"/>
  <c r="K208" i="87"/>
  <c r="K207" i="87" s="1"/>
  <c r="I30" i="87"/>
  <c r="M30" i="87" s="1"/>
  <c r="N30" i="87" s="1"/>
  <c r="L36" i="87"/>
  <c r="I43" i="87"/>
  <c r="M43" i="87" s="1"/>
  <c r="F50" i="87"/>
  <c r="F49" i="87" s="1"/>
  <c r="M55" i="87"/>
  <c r="N55" i="87" s="1"/>
  <c r="M63" i="87"/>
  <c r="N63" i="87" s="1"/>
  <c r="M71" i="87"/>
  <c r="N71" i="87" s="1"/>
  <c r="M87" i="87"/>
  <c r="N87" i="87" s="1"/>
  <c r="M90" i="87"/>
  <c r="N90" i="87" s="1"/>
  <c r="M93" i="87"/>
  <c r="N93" i="87" s="1"/>
  <c r="M98" i="87"/>
  <c r="N98" i="87" s="1"/>
  <c r="M100" i="87"/>
  <c r="N100" i="87" s="1"/>
  <c r="M118" i="87"/>
  <c r="N118" i="87" s="1"/>
  <c r="H125" i="87"/>
  <c r="H124" i="87" s="1"/>
  <c r="H123" i="87" s="1"/>
  <c r="H122" i="87" s="1"/>
  <c r="K125" i="87"/>
  <c r="K124" i="87" s="1"/>
  <c r="K123" i="87" s="1"/>
  <c r="K122" i="87" s="1"/>
  <c r="M143" i="87"/>
  <c r="M153" i="87"/>
  <c r="I157" i="87"/>
  <c r="M157" i="87" s="1"/>
  <c r="N157" i="87" s="1"/>
  <c r="K148" i="87"/>
  <c r="K147" i="87" s="1"/>
  <c r="K139" i="87" s="1"/>
  <c r="I169" i="87"/>
  <c r="M171" i="87"/>
  <c r="N171" i="87" s="1"/>
  <c r="I195" i="87"/>
  <c r="M197" i="87"/>
  <c r="N197" i="87" s="1"/>
  <c r="F208" i="87"/>
  <c r="F207" i="87" s="1"/>
  <c r="H221" i="87"/>
  <c r="M230" i="87"/>
  <c r="N230" i="87" s="1"/>
  <c r="M255" i="87"/>
  <c r="N255" i="87" s="1"/>
  <c r="M265" i="87"/>
  <c r="N265" i="87" s="1"/>
  <c r="G272" i="87"/>
  <c r="G271" i="87" s="1"/>
  <c r="I282" i="87"/>
  <c r="M294" i="87"/>
  <c r="N294" i="87" s="1"/>
  <c r="M330" i="87"/>
  <c r="N330" i="87" s="1"/>
  <c r="L335" i="87"/>
  <c r="M360" i="87"/>
  <c r="N360" i="87" s="1"/>
  <c r="M365" i="87"/>
  <c r="N365" i="87" s="1"/>
  <c r="H377" i="87"/>
  <c r="H376" i="87" s="1"/>
  <c r="H375" i="87" s="1"/>
  <c r="H350" i="87" s="1"/>
  <c r="I381" i="87"/>
  <c r="I406" i="87"/>
  <c r="M410" i="87"/>
  <c r="F314" i="87"/>
  <c r="F313" i="87" s="1"/>
  <c r="I23" i="87"/>
  <c r="M23" i="87" s="1"/>
  <c r="N23" i="87" s="1"/>
  <c r="J29" i="87"/>
  <c r="L29" i="87" s="1"/>
  <c r="J42" i="87"/>
  <c r="L42" i="87" s="1"/>
  <c r="G51" i="87"/>
  <c r="I51" i="87" s="1"/>
  <c r="L127" i="87"/>
  <c r="M127" i="87" s="1"/>
  <c r="N127" i="87" s="1"/>
  <c r="J149" i="87"/>
  <c r="J148" i="87" s="1"/>
  <c r="L148" i="87" s="1"/>
  <c r="L150" i="87"/>
  <c r="M150" i="87" s="1"/>
  <c r="N150" i="87" s="1"/>
  <c r="L157" i="87"/>
  <c r="L162" i="87"/>
  <c r="G168" i="87"/>
  <c r="G167" i="87" s="1"/>
  <c r="I194" i="87"/>
  <c r="H208" i="87"/>
  <c r="H207" i="87" s="1"/>
  <c r="H206" i="87" s="1"/>
  <c r="M214" i="87"/>
  <c r="N214" i="87" s="1"/>
  <c r="I236" i="87"/>
  <c r="M236" i="87" s="1"/>
  <c r="J305" i="87"/>
  <c r="G315" i="87"/>
  <c r="J340" i="87"/>
  <c r="G363" i="87"/>
  <c r="I363" i="87" s="1"/>
  <c r="G372" i="87"/>
  <c r="K377" i="87"/>
  <c r="K376" i="87" s="1"/>
  <c r="K375" i="87" s="1"/>
  <c r="M408" i="87"/>
  <c r="H186" i="87"/>
  <c r="H185" i="87" s="1"/>
  <c r="M209" i="87"/>
  <c r="N209" i="87" s="1"/>
  <c r="J272" i="87"/>
  <c r="L272" i="87" s="1"/>
  <c r="H18" i="87"/>
  <c r="N56" i="87"/>
  <c r="N64" i="87"/>
  <c r="K83" i="87"/>
  <c r="L83" i="87" s="1"/>
  <c r="J101" i="87"/>
  <c r="L101" i="87" s="1"/>
  <c r="M108" i="87"/>
  <c r="N108" i="87" s="1"/>
  <c r="M111" i="87"/>
  <c r="N111" i="87" s="1"/>
  <c r="M134" i="87"/>
  <c r="N134" i="87" s="1"/>
  <c r="G176" i="87"/>
  <c r="I176" i="87" s="1"/>
  <c r="K175" i="87"/>
  <c r="K174" i="87" s="1"/>
  <c r="K173" i="87" s="1"/>
  <c r="K186" i="87"/>
  <c r="K185" i="87" s="1"/>
  <c r="K184" i="87" s="1"/>
  <c r="I203" i="87"/>
  <c r="M203" i="87" s="1"/>
  <c r="N203" i="87" s="1"/>
  <c r="J223" i="87"/>
  <c r="L223" i="87" s="1"/>
  <c r="I260" i="87"/>
  <c r="K258" i="87"/>
  <c r="K257" i="87" s="1"/>
  <c r="K256" i="87" s="1"/>
  <c r="K247" i="87" s="1"/>
  <c r="M293" i="87"/>
  <c r="N293" i="87" s="1"/>
  <c r="M311" i="87"/>
  <c r="N311" i="87" s="1"/>
  <c r="L316" i="87"/>
  <c r="M316" i="87" s="1"/>
  <c r="N316" i="87" s="1"/>
  <c r="J378" i="87"/>
  <c r="L406" i="87"/>
  <c r="M29" i="87"/>
  <c r="H175" i="87"/>
  <c r="H174" i="87" s="1"/>
  <c r="H173" i="87" s="1"/>
  <c r="M216" i="87"/>
  <c r="N216" i="87" s="1"/>
  <c r="I291" i="87"/>
  <c r="J360" i="87"/>
  <c r="L360" i="87" s="1"/>
  <c r="J34" i="87"/>
  <c r="M41" i="87"/>
  <c r="N41" i="87" s="1"/>
  <c r="I42" i="87"/>
  <c r="M42" i="87" s="1"/>
  <c r="N42" i="87" s="1"/>
  <c r="M59" i="87"/>
  <c r="N59" i="87" s="1"/>
  <c r="M67" i="87"/>
  <c r="N67" i="87" s="1"/>
  <c r="M75" i="87"/>
  <c r="N75" i="87" s="1"/>
  <c r="M86" i="87"/>
  <c r="N86" i="87" s="1"/>
  <c r="M89" i="87"/>
  <c r="N89" i="87" s="1"/>
  <c r="M92" i="87"/>
  <c r="N92" i="87" s="1"/>
  <c r="M97" i="87"/>
  <c r="N97" i="87" s="1"/>
  <c r="H83" i="87"/>
  <c r="I83" i="87" s="1"/>
  <c r="M83" i="87" s="1"/>
  <c r="N83" i="87" s="1"/>
  <c r="N153" i="87"/>
  <c r="J180" i="87"/>
  <c r="J187" i="87"/>
  <c r="M196" i="87"/>
  <c r="N196" i="87" s="1"/>
  <c r="I213" i="87"/>
  <c r="M213" i="87" s="1"/>
  <c r="M215" i="87"/>
  <c r="N215" i="87" s="1"/>
  <c r="L260" i="87"/>
  <c r="G301" i="87"/>
  <c r="M319" i="87"/>
  <c r="N319" i="87" s="1"/>
  <c r="K314" i="87"/>
  <c r="K313" i="87" s="1"/>
  <c r="K312" i="87" s="1"/>
  <c r="K298" i="87" s="1"/>
  <c r="M342" i="87"/>
  <c r="N342" i="87" s="1"/>
  <c r="I309" i="87"/>
  <c r="K51" i="87"/>
  <c r="L51" i="87" s="1"/>
  <c r="M84" i="87"/>
  <c r="M135" i="87"/>
  <c r="N135" i="87" s="1"/>
  <c r="M154" i="87"/>
  <c r="N154" i="87" s="1"/>
  <c r="I162" i="87"/>
  <c r="M162" i="87" s="1"/>
  <c r="M164" i="87"/>
  <c r="N164" i="87" s="1"/>
  <c r="M178" i="87"/>
  <c r="N178" i="87" s="1"/>
  <c r="M223" i="87"/>
  <c r="N223" i="87" s="1"/>
  <c r="N236" i="87"/>
  <c r="I292" i="87"/>
  <c r="I310" i="87"/>
  <c r="L319" i="87"/>
  <c r="L320" i="87"/>
  <c r="I355" i="87"/>
  <c r="K363" i="87"/>
  <c r="K359" i="87" s="1"/>
  <c r="K358" i="87" s="1"/>
  <c r="K357" i="87" s="1"/>
  <c r="L366" i="87"/>
  <c r="M380" i="87"/>
  <c r="N380" i="87" s="1"/>
  <c r="M393" i="87"/>
  <c r="N62" i="87"/>
  <c r="J33" i="87"/>
  <c r="N29" i="87"/>
  <c r="I22" i="87"/>
  <c r="G21" i="87"/>
  <c r="F140" i="87"/>
  <c r="F186" i="87"/>
  <c r="L35" i="87"/>
  <c r="K50" i="87"/>
  <c r="M54" i="87"/>
  <c r="N54" i="87" s="1"/>
  <c r="M62" i="87"/>
  <c r="M70" i="87"/>
  <c r="N70" i="87" s="1"/>
  <c r="F22" i="87"/>
  <c r="K34" i="87"/>
  <c r="K33" i="87" s="1"/>
  <c r="K32" i="87" s="1"/>
  <c r="K18" i="87" s="1"/>
  <c r="N43" i="87"/>
  <c r="K47" i="87"/>
  <c r="M52" i="87"/>
  <c r="N52" i="87" s="1"/>
  <c r="M60" i="87"/>
  <c r="N60" i="87" s="1"/>
  <c r="M68" i="87"/>
  <c r="N68" i="87" s="1"/>
  <c r="M77" i="87"/>
  <c r="N77" i="87" s="1"/>
  <c r="L95" i="87"/>
  <c r="I101" i="87"/>
  <c r="L131" i="87"/>
  <c r="N143" i="87"/>
  <c r="L159" i="87"/>
  <c r="M176" i="87"/>
  <c r="L203" i="87"/>
  <c r="K206" i="87"/>
  <c r="H247" i="87"/>
  <c r="I116" i="87"/>
  <c r="G115" i="87"/>
  <c r="L125" i="87"/>
  <c r="J124" i="87"/>
  <c r="F147" i="87"/>
  <c r="I167" i="87"/>
  <c r="G166" i="87"/>
  <c r="G175" i="87"/>
  <c r="I180" i="87"/>
  <c r="I187" i="87"/>
  <c r="G186" i="87"/>
  <c r="J186" i="87"/>
  <c r="L194" i="87"/>
  <c r="M194" i="87" s="1"/>
  <c r="N194" i="87" s="1"/>
  <c r="G300" i="87"/>
  <c r="J22" i="87"/>
  <c r="M169" i="87"/>
  <c r="N169" i="87" s="1"/>
  <c r="N176" i="87"/>
  <c r="G125" i="87"/>
  <c r="I131" i="87"/>
  <c r="I140" i="87"/>
  <c r="L141" i="87"/>
  <c r="J140" i="87"/>
  <c r="I159" i="87"/>
  <c r="G148" i="87"/>
  <c r="F167" i="87"/>
  <c r="M72" i="87"/>
  <c r="N72" i="87" s="1"/>
  <c r="M95" i="87"/>
  <c r="N95" i="87" s="1"/>
  <c r="M212" i="87"/>
  <c r="N212" i="87" s="1"/>
  <c r="G35" i="87"/>
  <c r="I36" i="87"/>
  <c r="M36" i="87" s="1"/>
  <c r="N36" i="87" s="1"/>
  <c r="L116" i="87"/>
  <c r="J115" i="87"/>
  <c r="L168" i="87"/>
  <c r="J167" i="87"/>
  <c r="G198" i="87"/>
  <c r="G232" i="87"/>
  <c r="I234" i="87"/>
  <c r="M37" i="87"/>
  <c r="N37" i="87" s="1"/>
  <c r="F48" i="87"/>
  <c r="N84" i="87"/>
  <c r="I142" i="87"/>
  <c r="N162" i="87"/>
  <c r="L180" i="87"/>
  <c r="L187" i="87"/>
  <c r="G243" i="87"/>
  <c r="I244" i="87"/>
  <c r="J251" i="87"/>
  <c r="L252" i="87"/>
  <c r="M252" i="87" s="1"/>
  <c r="N252" i="87" s="1"/>
  <c r="H305" i="87"/>
  <c r="I305" i="87" s="1"/>
  <c r="I306" i="87"/>
  <c r="M306" i="87" s="1"/>
  <c r="F337" i="87"/>
  <c r="L346" i="87"/>
  <c r="J345" i="87"/>
  <c r="I353" i="87"/>
  <c r="G352" i="87"/>
  <c r="L371" i="87"/>
  <c r="J370" i="87"/>
  <c r="F377" i="87"/>
  <c r="F35" i="87"/>
  <c r="G50" i="87"/>
  <c r="H81" i="87"/>
  <c r="H76" i="87" s="1"/>
  <c r="I76" i="87" s="1"/>
  <c r="M76" i="87" s="1"/>
  <c r="N76" i="87" s="1"/>
  <c r="F116" i="87"/>
  <c r="I117" i="87"/>
  <c r="L126" i="87"/>
  <c r="M126" i="87" s="1"/>
  <c r="N126" i="87" s="1"/>
  <c r="F131" i="87"/>
  <c r="I132" i="87"/>
  <c r="I141" i="87"/>
  <c r="L142" i="87"/>
  <c r="H149" i="87"/>
  <c r="H148" i="87" s="1"/>
  <c r="H147" i="87" s="1"/>
  <c r="H139" i="87" s="1"/>
  <c r="L149" i="87"/>
  <c r="I168" i="87"/>
  <c r="M168" i="87" s="1"/>
  <c r="N168" i="87" s="1"/>
  <c r="L169" i="87"/>
  <c r="F175" i="87"/>
  <c r="J175" i="87"/>
  <c r="L177" i="87"/>
  <c r="M177" i="87" s="1"/>
  <c r="N177" i="87" s="1"/>
  <c r="L195" i="87"/>
  <c r="M195" i="87" s="1"/>
  <c r="N195" i="87" s="1"/>
  <c r="I204" i="87"/>
  <c r="L204" i="87"/>
  <c r="J208" i="87"/>
  <c r="L210" i="87"/>
  <c r="M210" i="87" s="1"/>
  <c r="N210" i="87" s="1"/>
  <c r="L217" i="87"/>
  <c r="M217" i="87" s="1"/>
  <c r="N217" i="87" s="1"/>
  <c r="G222" i="87"/>
  <c r="I224" i="87"/>
  <c r="M224" i="87" s="1"/>
  <c r="N224" i="87" s="1"/>
  <c r="G226" i="87"/>
  <c r="I226" i="87" s="1"/>
  <c r="F235" i="87"/>
  <c r="J242" i="87"/>
  <c r="L244" i="87"/>
  <c r="M264" i="87"/>
  <c r="N264" i="87" s="1"/>
  <c r="N273" i="87"/>
  <c r="I302" i="87"/>
  <c r="N303" i="87"/>
  <c r="L305" i="87"/>
  <c r="L322" i="87"/>
  <c r="I334" i="87"/>
  <c r="M355" i="87"/>
  <c r="N355" i="87" s="1"/>
  <c r="M366" i="87"/>
  <c r="L378" i="87"/>
  <c r="J226" i="87"/>
  <c r="L226" i="87" s="1"/>
  <c r="L227" i="87"/>
  <c r="G262" i="87"/>
  <c r="I262" i="87" s="1"/>
  <c r="M262" i="87" s="1"/>
  <c r="I263" i="87"/>
  <c r="F270" i="87"/>
  <c r="G280" i="87"/>
  <c r="I281" i="87"/>
  <c r="F300" i="87"/>
  <c r="F332" i="87"/>
  <c r="F353" i="87"/>
  <c r="J359" i="87"/>
  <c r="J377" i="87"/>
  <c r="L381" i="87"/>
  <c r="I102" i="87"/>
  <c r="M102" i="87" s="1"/>
  <c r="N102" i="87" s="1"/>
  <c r="L117" i="87"/>
  <c r="L132" i="87"/>
  <c r="H156" i="87"/>
  <c r="I156" i="87" s="1"/>
  <c r="M156" i="87" s="1"/>
  <c r="N156" i="87" s="1"/>
  <c r="I160" i="87"/>
  <c r="M160" i="87" s="1"/>
  <c r="N160" i="87" s="1"/>
  <c r="I181" i="87"/>
  <c r="M181" i="87" s="1"/>
  <c r="N181" i="87" s="1"/>
  <c r="I188" i="87"/>
  <c r="M188" i="87" s="1"/>
  <c r="N188" i="87" s="1"/>
  <c r="H202" i="87"/>
  <c r="H201" i="87" s="1"/>
  <c r="H199" i="87" s="1"/>
  <c r="H198" i="87" s="1"/>
  <c r="G208" i="87"/>
  <c r="N213" i="87"/>
  <c r="J259" i="87"/>
  <c r="L263" i="87"/>
  <c r="N366" i="87"/>
  <c r="J234" i="87"/>
  <c r="L235" i="87"/>
  <c r="F280" i="87"/>
  <c r="J309" i="87"/>
  <c r="L309" i="87" s="1"/>
  <c r="M309" i="87" s="1"/>
  <c r="N309" i="87" s="1"/>
  <c r="L310" i="87"/>
  <c r="M310" i="87" s="1"/>
  <c r="N310" i="87" s="1"/>
  <c r="L314" i="87"/>
  <c r="J313" i="87"/>
  <c r="I322" i="87"/>
  <c r="G314" i="87"/>
  <c r="I346" i="87"/>
  <c r="M346" i="87" s="1"/>
  <c r="G345" i="87"/>
  <c r="L354" i="87"/>
  <c r="J353" i="87"/>
  <c r="F370" i="87"/>
  <c r="I378" i="87"/>
  <c r="M378" i="87" s="1"/>
  <c r="N378" i="87" s="1"/>
  <c r="G377" i="87"/>
  <c r="N306" i="87"/>
  <c r="M335" i="87"/>
  <c r="N335" i="87" s="1"/>
  <c r="F250" i="87"/>
  <c r="G270" i="87"/>
  <c r="I271" i="87"/>
  <c r="J281" i="87"/>
  <c r="L282" i="87"/>
  <c r="J291" i="87"/>
  <c r="L291" i="87" s="1"/>
  <c r="M291" i="87" s="1"/>
  <c r="N291" i="87" s="1"/>
  <c r="L292" i="87"/>
  <c r="M292" i="87" s="1"/>
  <c r="N292" i="87" s="1"/>
  <c r="L302" i="87"/>
  <c r="I332" i="87"/>
  <c r="G331" i="87"/>
  <c r="I331" i="87" s="1"/>
  <c r="L333" i="87"/>
  <c r="J332" i="87"/>
  <c r="I340" i="87"/>
  <c r="G339" i="87"/>
  <c r="J202" i="87"/>
  <c r="J222" i="87"/>
  <c r="M227" i="87"/>
  <c r="N227" i="87" s="1"/>
  <c r="I235" i="87"/>
  <c r="M235" i="87" s="1"/>
  <c r="G251" i="87"/>
  <c r="F259" i="87"/>
  <c r="I315" i="87"/>
  <c r="M320" i="87"/>
  <c r="N320" i="87" s="1"/>
  <c r="M361" i="87"/>
  <c r="N361" i="87" s="1"/>
  <c r="M373" i="87"/>
  <c r="N373" i="87" s="1"/>
  <c r="M381" i="87"/>
  <c r="N381" i="87" s="1"/>
  <c r="F243" i="87"/>
  <c r="F262" i="87"/>
  <c r="L315" i="87"/>
  <c r="I333" i="87"/>
  <c r="M333" i="87" s="1"/>
  <c r="N333" i="87" s="1"/>
  <c r="L334" i="87"/>
  <c r="F346" i="87"/>
  <c r="I347" i="87"/>
  <c r="I354" i="87"/>
  <c r="M354" i="87" s="1"/>
  <c r="N354" i="87" s="1"/>
  <c r="L355" i="87"/>
  <c r="F363" i="87"/>
  <c r="I364" i="87"/>
  <c r="L372" i="87"/>
  <c r="L382" i="87"/>
  <c r="M382" i="87" s="1"/>
  <c r="N382" i="87" s="1"/>
  <c r="I323" i="87"/>
  <c r="M323" i="87" s="1"/>
  <c r="N323" i="87" s="1"/>
  <c r="I341" i="87"/>
  <c r="M341" i="87" s="1"/>
  <c r="N341" i="87" s="1"/>
  <c r="L347" i="87"/>
  <c r="L364" i="87"/>
  <c r="I379" i="87"/>
  <c r="M379" i="87" s="1"/>
  <c r="N379" i="87" s="1"/>
  <c r="H387" i="87"/>
  <c r="I387" i="87" s="1"/>
  <c r="M387" i="87" s="1"/>
  <c r="H301" i="87" l="1"/>
  <c r="H300" i="87" s="1"/>
  <c r="H299" i="87" s="1"/>
  <c r="H298" i="87" s="1"/>
  <c r="M263" i="87"/>
  <c r="N263" i="87" s="1"/>
  <c r="M117" i="87"/>
  <c r="N117" i="87" s="1"/>
  <c r="L34" i="87"/>
  <c r="J271" i="87"/>
  <c r="L271" i="87" s="1"/>
  <c r="M271" i="87" s="1"/>
  <c r="N271" i="87" s="1"/>
  <c r="I201" i="87"/>
  <c r="I202" i="87"/>
  <c r="K353" i="87"/>
  <c r="K352" i="87" s="1"/>
  <c r="I372" i="87"/>
  <c r="M372" i="87" s="1"/>
  <c r="N372" i="87" s="1"/>
  <c r="G371" i="87"/>
  <c r="I198" i="87"/>
  <c r="L340" i="87"/>
  <c r="J339" i="87"/>
  <c r="G359" i="87"/>
  <c r="K138" i="87"/>
  <c r="J147" i="87"/>
  <c r="L147" i="87" s="1"/>
  <c r="M51" i="87"/>
  <c r="N51" i="87" s="1"/>
  <c r="M282" i="87"/>
  <c r="N282" i="87" s="1"/>
  <c r="M347" i="87"/>
  <c r="N347" i="87" s="1"/>
  <c r="M340" i="87"/>
  <c r="N340" i="87" s="1"/>
  <c r="M322" i="87"/>
  <c r="N322" i="87" s="1"/>
  <c r="L363" i="87"/>
  <c r="M363" i="87" s="1"/>
  <c r="N363" i="87" s="1"/>
  <c r="I272" i="87"/>
  <c r="M204" i="87"/>
  <c r="N204" i="87" s="1"/>
  <c r="M142" i="87"/>
  <c r="N142" i="87" s="1"/>
  <c r="M159" i="87"/>
  <c r="N159" i="87" s="1"/>
  <c r="M180" i="87"/>
  <c r="N180" i="87" s="1"/>
  <c r="M101" i="87"/>
  <c r="N101" i="87" s="1"/>
  <c r="M260" i="87"/>
  <c r="N260" i="87" s="1"/>
  <c r="M406" i="87"/>
  <c r="J221" i="87"/>
  <c r="L221" i="87" s="1"/>
  <c r="L222" i="87"/>
  <c r="F359" i="87"/>
  <c r="F258" i="87"/>
  <c r="I339" i="87"/>
  <c r="G338" i="87"/>
  <c r="G358" i="87"/>
  <c r="I359" i="87"/>
  <c r="I377" i="87"/>
  <c r="G376" i="87"/>
  <c r="L353" i="87"/>
  <c r="J352" i="87"/>
  <c r="I345" i="87"/>
  <c r="G344" i="87"/>
  <c r="J312" i="87"/>
  <c r="L312" i="87" s="1"/>
  <c r="L313" i="87"/>
  <c r="F279" i="87"/>
  <c r="G207" i="87"/>
  <c r="I208" i="87"/>
  <c r="F331" i="87"/>
  <c r="I222" i="87"/>
  <c r="G221" i="87"/>
  <c r="I221" i="87" s="1"/>
  <c r="M221" i="87" s="1"/>
  <c r="G49" i="87"/>
  <c r="L370" i="87"/>
  <c r="J369" i="87"/>
  <c r="L369" i="87" s="1"/>
  <c r="I352" i="87"/>
  <c r="G351" i="87"/>
  <c r="G147" i="87"/>
  <c r="I148" i="87"/>
  <c r="M148" i="87" s="1"/>
  <c r="N148" i="87" s="1"/>
  <c r="I300" i="87"/>
  <c r="G299" i="87"/>
  <c r="F185" i="87"/>
  <c r="G20" i="87"/>
  <c r="I21" i="87"/>
  <c r="M334" i="87"/>
  <c r="N334" i="87" s="1"/>
  <c r="M364" i="87"/>
  <c r="N364" i="87" s="1"/>
  <c r="M315" i="87"/>
  <c r="N315" i="87" s="1"/>
  <c r="M244" i="87"/>
  <c r="N244" i="87" s="1"/>
  <c r="H50" i="87"/>
  <c r="H49" i="87" s="1"/>
  <c r="H48" i="87" s="1"/>
  <c r="H47" i="87" s="1"/>
  <c r="I81" i="87"/>
  <c r="M81" i="87" s="1"/>
  <c r="N81" i="87" s="1"/>
  <c r="M187" i="87"/>
  <c r="N187" i="87" s="1"/>
  <c r="H184" i="87"/>
  <c r="H138" i="87" s="1"/>
  <c r="J232" i="87"/>
  <c r="L234" i="87"/>
  <c r="J258" i="87"/>
  <c r="L259" i="87"/>
  <c r="M259" i="87" s="1"/>
  <c r="N259" i="87" s="1"/>
  <c r="J376" i="87"/>
  <c r="L377" i="87"/>
  <c r="F174" i="87"/>
  <c r="I301" i="87"/>
  <c r="F234" i="87"/>
  <c r="N235" i="87"/>
  <c r="L208" i="87"/>
  <c r="J207" i="87"/>
  <c r="F125" i="87"/>
  <c r="N131" i="87"/>
  <c r="J250" i="87"/>
  <c r="L251" i="87"/>
  <c r="L167" i="87"/>
  <c r="M167" i="87" s="1"/>
  <c r="N167" i="87" s="1"/>
  <c r="J166" i="87"/>
  <c r="L115" i="87"/>
  <c r="J114" i="87"/>
  <c r="G124" i="87"/>
  <c r="I125" i="87"/>
  <c r="M125" i="87" s="1"/>
  <c r="I186" i="87"/>
  <c r="G185" i="87"/>
  <c r="I166" i="87"/>
  <c r="G165" i="87"/>
  <c r="I165" i="87" s="1"/>
  <c r="L124" i="87"/>
  <c r="J122" i="87"/>
  <c r="L122" i="87" s="1"/>
  <c r="J123" i="87"/>
  <c r="L123" i="87" s="1"/>
  <c r="J201" i="87"/>
  <c r="L202" i="87"/>
  <c r="M202" i="87" s="1"/>
  <c r="N202" i="87" s="1"/>
  <c r="L281" i="87"/>
  <c r="M281" i="87" s="1"/>
  <c r="N281" i="87" s="1"/>
  <c r="J280" i="87"/>
  <c r="I270" i="87"/>
  <c r="G269" i="87"/>
  <c r="I269" i="87" s="1"/>
  <c r="F369" i="87"/>
  <c r="G313" i="87"/>
  <c r="I314" i="87"/>
  <c r="M314" i="87" s="1"/>
  <c r="N314" i="87" s="1"/>
  <c r="F352" i="87"/>
  <c r="F299" i="87"/>
  <c r="F269" i="87"/>
  <c r="L242" i="87"/>
  <c r="J241" i="87"/>
  <c r="L175" i="87"/>
  <c r="J174" i="87"/>
  <c r="F115" i="87"/>
  <c r="F376" i="87"/>
  <c r="L345" i="87"/>
  <c r="J344" i="87"/>
  <c r="F312" i="87"/>
  <c r="G231" i="87"/>
  <c r="I231" i="87" s="1"/>
  <c r="I232" i="87"/>
  <c r="G34" i="87"/>
  <c r="I35" i="87"/>
  <c r="M35" i="87" s="1"/>
  <c r="N35" i="87" s="1"/>
  <c r="F166" i="87"/>
  <c r="L140" i="87"/>
  <c r="M140" i="87" s="1"/>
  <c r="N140" i="87" s="1"/>
  <c r="J21" i="87"/>
  <c r="L22" i="87"/>
  <c r="J185" i="87"/>
  <c r="L186" i="87"/>
  <c r="I175" i="87"/>
  <c r="G174" i="87"/>
  <c r="F21" i="87"/>
  <c r="L50" i="87"/>
  <c r="K49" i="87"/>
  <c r="F139" i="87"/>
  <c r="J32" i="87"/>
  <c r="L32" i="87" s="1"/>
  <c r="L33" i="87"/>
  <c r="M272" i="87"/>
  <c r="N272" i="87" s="1"/>
  <c r="I149" i="87"/>
  <c r="M149" i="87" s="1"/>
  <c r="N149" i="87" s="1"/>
  <c r="N262" i="87"/>
  <c r="G258" i="87"/>
  <c r="J301" i="87"/>
  <c r="M226" i="87"/>
  <c r="N226" i="87" s="1"/>
  <c r="M132" i="87"/>
  <c r="N132" i="87" s="1"/>
  <c r="I199" i="87"/>
  <c r="M131" i="87"/>
  <c r="M116" i="87"/>
  <c r="N116" i="87" s="1"/>
  <c r="F242" i="87"/>
  <c r="G250" i="87"/>
  <c r="I251" i="87"/>
  <c r="M251" i="87" s="1"/>
  <c r="N251" i="87" s="1"/>
  <c r="F249" i="87"/>
  <c r="F345" i="87"/>
  <c r="N346" i="87"/>
  <c r="L332" i="87"/>
  <c r="M332" i="87" s="1"/>
  <c r="N332" i="87" s="1"/>
  <c r="J331" i="87"/>
  <c r="L331" i="87" s="1"/>
  <c r="M331" i="87" s="1"/>
  <c r="L359" i="87"/>
  <c r="J358" i="87"/>
  <c r="I280" i="87"/>
  <c r="G279" i="87"/>
  <c r="F34" i="87"/>
  <c r="G242" i="87"/>
  <c r="I243" i="87"/>
  <c r="M243" i="87" s="1"/>
  <c r="N243" i="87" s="1"/>
  <c r="I115" i="87"/>
  <c r="M115" i="87" s="1"/>
  <c r="G114" i="87"/>
  <c r="M302" i="87"/>
  <c r="N302" i="87" s="1"/>
  <c r="M141" i="87"/>
  <c r="N141" i="87" s="1"/>
  <c r="M353" i="87"/>
  <c r="N353" i="87" s="1"/>
  <c r="M305" i="87"/>
  <c r="N305" i="87" s="1"/>
  <c r="M234" i="87"/>
  <c r="M22" i="87"/>
  <c r="N22" i="87" s="1"/>
  <c r="J139" i="87" l="1"/>
  <c r="J270" i="87"/>
  <c r="L270" i="87" s="1"/>
  <c r="M270" i="87" s="1"/>
  <c r="N270" i="87" s="1"/>
  <c r="K350" i="87"/>
  <c r="K17" i="87" s="1"/>
  <c r="K386" i="87" s="1"/>
  <c r="K405" i="87" s="1"/>
  <c r="K351" i="87"/>
  <c r="G370" i="87"/>
  <c r="I371" i="87"/>
  <c r="M371" i="87" s="1"/>
  <c r="N371" i="87" s="1"/>
  <c r="M208" i="87"/>
  <c r="N208" i="87" s="1"/>
  <c r="J338" i="87"/>
  <c r="L339" i="87"/>
  <c r="M339" i="87" s="1"/>
  <c r="N339" i="87" s="1"/>
  <c r="M359" i="87"/>
  <c r="I50" i="87"/>
  <c r="M50" i="87" s="1"/>
  <c r="N50" i="87" s="1"/>
  <c r="I114" i="87"/>
  <c r="M114" i="87" s="1"/>
  <c r="G113" i="87"/>
  <c r="I113" i="87" s="1"/>
  <c r="F351" i="87"/>
  <c r="J113" i="87"/>
  <c r="L113" i="87" s="1"/>
  <c r="J47" i="87"/>
  <c r="L47" i="87" s="1"/>
  <c r="L114" i="87"/>
  <c r="F173" i="87"/>
  <c r="I351" i="87"/>
  <c r="G375" i="87"/>
  <c r="I375" i="87" s="1"/>
  <c r="I376" i="87"/>
  <c r="G241" i="87"/>
  <c r="I242" i="87"/>
  <c r="M242" i="87" s="1"/>
  <c r="G257" i="87"/>
  <c r="I258" i="87"/>
  <c r="F20" i="87"/>
  <c r="L139" i="87"/>
  <c r="L174" i="87"/>
  <c r="J173" i="87"/>
  <c r="L173" i="87" s="1"/>
  <c r="J279" i="87"/>
  <c r="L280" i="87"/>
  <c r="M280" i="87" s="1"/>
  <c r="N280" i="87" s="1"/>
  <c r="I124" i="87"/>
  <c r="M124" i="87" s="1"/>
  <c r="G123" i="87"/>
  <c r="J249" i="87"/>
  <c r="L250" i="87"/>
  <c r="F184" i="87"/>
  <c r="I147" i="87"/>
  <c r="M147" i="87" s="1"/>
  <c r="N147" i="87" s="1"/>
  <c r="G139" i="87"/>
  <c r="I207" i="87"/>
  <c r="G206" i="87"/>
  <c r="I206" i="87" s="1"/>
  <c r="N359" i="87"/>
  <c r="F358" i="87"/>
  <c r="H17" i="87"/>
  <c r="M222" i="87"/>
  <c r="N222" i="87" s="1"/>
  <c r="L358" i="87"/>
  <c r="J357" i="87"/>
  <c r="L357" i="87" s="1"/>
  <c r="F33" i="87"/>
  <c r="L185" i="87"/>
  <c r="J184" i="87"/>
  <c r="L184" i="87" s="1"/>
  <c r="G33" i="87"/>
  <c r="I34" i="87"/>
  <c r="M34" i="87" s="1"/>
  <c r="N34" i="87" s="1"/>
  <c r="F375" i="87"/>
  <c r="G184" i="87"/>
  <c r="I184" i="87" s="1"/>
  <c r="I185" i="87"/>
  <c r="M185" i="87" s="1"/>
  <c r="N185" i="87" s="1"/>
  <c r="J257" i="87"/>
  <c r="L258" i="87"/>
  <c r="I299" i="87"/>
  <c r="I344" i="87"/>
  <c r="G343" i="87"/>
  <c r="I343" i="87" s="1"/>
  <c r="G278" i="87"/>
  <c r="I278" i="87" s="1"/>
  <c r="I279" i="87"/>
  <c r="F248" i="87"/>
  <c r="F241" i="87"/>
  <c r="N242" i="87"/>
  <c r="L301" i="87"/>
  <c r="J300" i="87"/>
  <c r="L21" i="87"/>
  <c r="M21" i="87" s="1"/>
  <c r="N21" i="87" s="1"/>
  <c r="J20" i="87"/>
  <c r="F165" i="87"/>
  <c r="F114" i="87"/>
  <c r="N115" i="87"/>
  <c r="I313" i="87"/>
  <c r="M313" i="87" s="1"/>
  <c r="N313" i="87" s="1"/>
  <c r="G312" i="87"/>
  <c r="I312" i="87" s="1"/>
  <c r="M312" i="87" s="1"/>
  <c r="N312" i="87" s="1"/>
  <c r="L201" i="87"/>
  <c r="M201" i="87" s="1"/>
  <c r="N201" i="87" s="1"/>
  <c r="J199" i="87"/>
  <c r="L166" i="87"/>
  <c r="M166" i="87" s="1"/>
  <c r="N166" i="87" s="1"/>
  <c r="J165" i="87"/>
  <c r="L165" i="87" s="1"/>
  <c r="L207" i="87"/>
  <c r="J206" i="87"/>
  <c r="L206" i="87" s="1"/>
  <c r="L376" i="87"/>
  <c r="J375" i="87"/>
  <c r="L375" i="87" s="1"/>
  <c r="J231" i="87"/>
  <c r="L231" i="87" s="1"/>
  <c r="L232" i="87"/>
  <c r="L352" i="87"/>
  <c r="M352" i="87" s="1"/>
  <c r="N352" i="87" s="1"/>
  <c r="J351" i="87"/>
  <c r="J269" i="87"/>
  <c r="L269" i="87" s="1"/>
  <c r="M269" i="87" s="1"/>
  <c r="N269" i="87" s="1"/>
  <c r="G337" i="87"/>
  <c r="I337" i="87" s="1"/>
  <c r="I338" i="87"/>
  <c r="F344" i="87"/>
  <c r="G249" i="87"/>
  <c r="I250" i="87"/>
  <c r="M250" i="87" s="1"/>
  <c r="N250" i="87" s="1"/>
  <c r="L49" i="87"/>
  <c r="K48" i="87"/>
  <c r="L48" i="87" s="1"/>
  <c r="I174" i="87"/>
  <c r="M174" i="87" s="1"/>
  <c r="N174" i="87" s="1"/>
  <c r="G173" i="87"/>
  <c r="I173" i="87" s="1"/>
  <c r="M173" i="87" s="1"/>
  <c r="J343" i="87"/>
  <c r="L343" i="87" s="1"/>
  <c r="L344" i="87"/>
  <c r="J240" i="87"/>
  <c r="L241" i="87"/>
  <c r="N125" i="87"/>
  <c r="F124" i="87"/>
  <c r="N234" i="87"/>
  <c r="F221" i="87"/>
  <c r="G19" i="87"/>
  <c r="I20" i="87"/>
  <c r="G48" i="87"/>
  <c r="I49" i="87"/>
  <c r="F278" i="87"/>
  <c r="I358" i="87"/>
  <c r="M358" i="87" s="1"/>
  <c r="G357" i="87"/>
  <c r="I357" i="87" s="1"/>
  <c r="M357" i="87" s="1"/>
  <c r="F257" i="87"/>
  <c r="M175" i="87"/>
  <c r="N175" i="87" s="1"/>
  <c r="M231" i="87"/>
  <c r="N231" i="87" s="1"/>
  <c r="M165" i="87"/>
  <c r="M301" i="87"/>
  <c r="N301" i="87" s="1"/>
  <c r="M232" i="87"/>
  <c r="N232" i="87" s="1"/>
  <c r="M186" i="87"/>
  <c r="N186" i="87" s="1"/>
  <c r="N331" i="87"/>
  <c r="M345" i="87"/>
  <c r="N345" i="87" s="1"/>
  <c r="M377" i="87"/>
  <c r="N377" i="87" s="1"/>
  <c r="M258" i="87" l="1"/>
  <c r="N258" i="87" s="1"/>
  <c r="L338" i="87"/>
  <c r="J337" i="87"/>
  <c r="L337" i="87" s="1"/>
  <c r="M337" i="87" s="1"/>
  <c r="N337" i="87" s="1"/>
  <c r="M49" i="87"/>
  <c r="N49" i="87" s="1"/>
  <c r="M338" i="87"/>
  <c r="N338" i="87" s="1"/>
  <c r="I370" i="87"/>
  <c r="M370" i="87" s="1"/>
  <c r="N370" i="87" s="1"/>
  <c r="G369" i="87"/>
  <c r="I369" i="87" s="1"/>
  <c r="M369" i="87" s="1"/>
  <c r="N369" i="87" s="1"/>
  <c r="M344" i="87"/>
  <c r="I48" i="87"/>
  <c r="M48" i="87" s="1"/>
  <c r="N48" i="87" s="1"/>
  <c r="G47" i="87"/>
  <c r="I47" i="87" s="1"/>
  <c r="M47" i="87" s="1"/>
  <c r="J239" i="87"/>
  <c r="L239" i="87" s="1"/>
  <c r="L240" i="87"/>
  <c r="I249" i="87"/>
  <c r="G248" i="87"/>
  <c r="L20" i="87"/>
  <c r="M20" i="87" s="1"/>
  <c r="N20" i="87" s="1"/>
  <c r="J19" i="87"/>
  <c r="F32" i="87"/>
  <c r="G256" i="87"/>
  <c r="I256" i="87" s="1"/>
  <c r="I257" i="87"/>
  <c r="M257" i="87" s="1"/>
  <c r="N257" i="87" s="1"/>
  <c r="N221" i="87"/>
  <c r="F206" i="87"/>
  <c r="F138" i="87" s="1"/>
  <c r="L249" i="87"/>
  <c r="J248" i="87"/>
  <c r="L279" i="87"/>
  <c r="J278" i="87"/>
  <c r="L278" i="87" s="1"/>
  <c r="I19" i="87"/>
  <c r="F343" i="87"/>
  <c r="N344" i="87"/>
  <c r="J256" i="87"/>
  <c r="L256" i="87" s="1"/>
  <c r="L257" i="87"/>
  <c r="F357" i="87"/>
  <c r="N357" i="87" s="1"/>
  <c r="N358" i="87"/>
  <c r="I139" i="87"/>
  <c r="M139" i="87" s="1"/>
  <c r="N139" i="87" s="1"/>
  <c r="G138" i="87"/>
  <c r="I138" i="87" s="1"/>
  <c r="F256" i="87"/>
  <c r="F123" i="87"/>
  <c r="N124" i="87"/>
  <c r="L199" i="87"/>
  <c r="M199" i="87" s="1"/>
  <c r="N199" i="87" s="1"/>
  <c r="J198" i="87"/>
  <c r="L198" i="87" s="1"/>
  <c r="M198" i="87" s="1"/>
  <c r="N198" i="87" s="1"/>
  <c r="J299" i="87"/>
  <c r="L300" i="87"/>
  <c r="M300" i="87" s="1"/>
  <c r="N300" i="87" s="1"/>
  <c r="F19" i="87"/>
  <c r="I241" i="87"/>
  <c r="M241" i="87" s="1"/>
  <c r="G240" i="87"/>
  <c r="M279" i="87"/>
  <c r="N279" i="87" s="1"/>
  <c r="M375" i="87"/>
  <c r="N173" i="87"/>
  <c r="N165" i="87"/>
  <c r="J138" i="87"/>
  <c r="L138" i="87" s="1"/>
  <c r="M376" i="87"/>
  <c r="N376" i="87" s="1"/>
  <c r="M343" i="87"/>
  <c r="N375" i="87"/>
  <c r="M207" i="87"/>
  <c r="N207" i="87" s="1"/>
  <c r="M113" i="87"/>
  <c r="F113" i="87"/>
  <c r="N114" i="87"/>
  <c r="F240" i="87"/>
  <c r="F239" i="87"/>
  <c r="N241" i="87"/>
  <c r="I33" i="87"/>
  <c r="M33" i="87" s="1"/>
  <c r="N33" i="87" s="1"/>
  <c r="G32" i="87"/>
  <c r="I32" i="87" s="1"/>
  <c r="M32" i="87" s="1"/>
  <c r="H386" i="87"/>
  <c r="P22" i="87"/>
  <c r="I123" i="87"/>
  <c r="M123" i="87" s="1"/>
  <c r="G122" i="87"/>
  <c r="I122" i="87" s="1"/>
  <c r="M122" i="87" s="1"/>
  <c r="M278" i="87"/>
  <c r="N278" i="87" s="1"/>
  <c r="G298" i="87"/>
  <c r="I298" i="87" s="1"/>
  <c r="M184" i="87"/>
  <c r="N184" i="87" s="1"/>
  <c r="M206" i="87"/>
  <c r="G350" i="87"/>
  <c r="I350" i="87" s="1"/>
  <c r="J350" i="87"/>
  <c r="L350" i="87" s="1"/>
  <c r="L351" i="87"/>
  <c r="M351" i="87" s="1"/>
  <c r="N351" i="87" s="1"/>
  <c r="M350" i="87" l="1"/>
  <c r="F18" i="87"/>
  <c r="N343" i="87"/>
  <c r="F298" i="87"/>
  <c r="L19" i="87"/>
  <c r="J18" i="87"/>
  <c r="H405" i="87"/>
  <c r="P21" i="87"/>
  <c r="F350" i="87"/>
  <c r="N350" i="87" s="1"/>
  <c r="N206" i="87"/>
  <c r="F247" i="87"/>
  <c r="N32" i="87"/>
  <c r="M249" i="87"/>
  <c r="N249" i="87" s="1"/>
  <c r="F122" i="87"/>
  <c r="N122" i="87" s="1"/>
  <c r="N123" i="87"/>
  <c r="I248" i="87"/>
  <c r="M248" i="87" s="1"/>
  <c r="N248" i="87" s="1"/>
  <c r="G247" i="87"/>
  <c r="I247" i="87" s="1"/>
  <c r="G18" i="87"/>
  <c r="N113" i="87"/>
  <c r="F47" i="87"/>
  <c r="N47" i="87" s="1"/>
  <c r="L299" i="87"/>
  <c r="M299" i="87" s="1"/>
  <c r="N299" i="87" s="1"/>
  <c r="J298" i="87"/>
  <c r="L298" i="87" s="1"/>
  <c r="M298" i="87" s="1"/>
  <c r="G239" i="87"/>
  <c r="I239" i="87" s="1"/>
  <c r="M239" i="87" s="1"/>
  <c r="N239" i="87" s="1"/>
  <c r="I240" i="87"/>
  <c r="M240" i="87" s="1"/>
  <c r="N240" i="87" s="1"/>
  <c r="J247" i="87"/>
  <c r="L247" i="87" s="1"/>
  <c r="L248" i="87"/>
  <c r="M138" i="87"/>
  <c r="N138" i="87" s="1"/>
  <c r="M19" i="87"/>
  <c r="N19" i="87" s="1"/>
  <c r="M256" i="87"/>
  <c r="N256" i="87" s="1"/>
  <c r="P18" i="87" l="1"/>
  <c r="F17" i="87"/>
  <c r="M247" i="87"/>
  <c r="I18" i="87"/>
  <c r="M18" i="87" s="1"/>
  <c r="N18" i="87" s="1"/>
  <c r="G17" i="87"/>
  <c r="J17" i="87"/>
  <c r="L18" i="87"/>
  <c r="N298" i="87"/>
  <c r="N247" i="87"/>
  <c r="G386" i="87" l="1"/>
  <c r="G405" i="87" s="1"/>
  <c r="I17" i="87"/>
  <c r="J386" i="87"/>
  <c r="L17" i="87"/>
  <c r="J405" i="87" l="1"/>
  <c r="L386" i="87"/>
  <c r="L405" i="87" s="1"/>
  <c r="I386" i="87"/>
  <c r="M17" i="87"/>
  <c r="N17" i="87" s="1"/>
  <c r="I405" i="87" l="1"/>
  <c r="M386" i="87"/>
  <c r="M405" i="87" l="1"/>
  <c r="P387" i="87"/>
  <c r="I419" i="86" l="1"/>
  <c r="M419" i="86" s="1"/>
  <c r="K418" i="86"/>
  <c r="L418" i="86" s="1"/>
  <c r="M418" i="86" s="1"/>
  <c r="H417" i="86"/>
  <c r="I417" i="86" s="1"/>
  <c r="M417" i="86" s="1"/>
  <c r="I416" i="86"/>
  <c r="M416" i="86" s="1"/>
  <c r="H416" i="86"/>
  <c r="H415" i="86"/>
  <c r="I415" i="86" s="1"/>
  <c r="M415" i="86" s="1"/>
  <c r="H414" i="86"/>
  <c r="I414" i="86" s="1"/>
  <c r="M414" i="86" s="1"/>
  <c r="H413" i="86"/>
  <c r="I413" i="86" s="1"/>
  <c r="M413" i="86" s="1"/>
  <c r="L412" i="86"/>
  <c r="I412" i="86"/>
  <c r="K410" i="86"/>
  <c r="L410" i="86" s="1"/>
  <c r="I410" i="86"/>
  <c r="K409" i="86"/>
  <c r="L409" i="86" s="1"/>
  <c r="I409" i="86"/>
  <c r="L408" i="86"/>
  <c r="H408" i="86"/>
  <c r="H406" i="86" s="1"/>
  <c r="K407" i="86"/>
  <c r="L407" i="86" s="1"/>
  <c r="I407" i="86"/>
  <c r="J406" i="86"/>
  <c r="G406" i="86"/>
  <c r="M400" i="86"/>
  <c r="I400" i="86"/>
  <c r="K399" i="86"/>
  <c r="L399" i="86" s="1"/>
  <c r="M399" i="86" s="1"/>
  <c r="I398" i="86"/>
  <c r="M398" i="86" s="1"/>
  <c r="H398" i="86"/>
  <c r="M397" i="86"/>
  <c r="I397" i="86"/>
  <c r="H397" i="86"/>
  <c r="H396" i="86"/>
  <c r="I396" i="86" s="1"/>
  <c r="M396" i="86" s="1"/>
  <c r="H395" i="86"/>
  <c r="I395" i="86" s="1"/>
  <c r="M395" i="86" s="1"/>
  <c r="L394" i="86"/>
  <c r="H394" i="86"/>
  <c r="H387" i="86" s="1"/>
  <c r="I387" i="86" s="1"/>
  <c r="L393" i="86"/>
  <c r="I393" i="86"/>
  <c r="M393" i="86" s="1"/>
  <c r="L391" i="86"/>
  <c r="M391" i="86" s="1"/>
  <c r="K391" i="86"/>
  <c r="I391" i="86"/>
  <c r="K390" i="86"/>
  <c r="L390" i="86" s="1"/>
  <c r="I390" i="86"/>
  <c r="M390" i="86" s="1"/>
  <c r="L389" i="86"/>
  <c r="H389" i="86"/>
  <c r="I389" i="86" s="1"/>
  <c r="M389" i="86" s="1"/>
  <c r="L388" i="86"/>
  <c r="M388" i="86" s="1"/>
  <c r="K388" i="86"/>
  <c r="K387" i="86" s="1"/>
  <c r="I388" i="86"/>
  <c r="J387" i="86"/>
  <c r="G387" i="86"/>
  <c r="L383" i="86"/>
  <c r="I383" i="86"/>
  <c r="M383" i="86" s="1"/>
  <c r="N383" i="86" s="1"/>
  <c r="K382" i="86"/>
  <c r="J382" i="86"/>
  <c r="L382" i="86" s="1"/>
  <c r="H382" i="86"/>
  <c r="H381" i="86" s="1"/>
  <c r="G382" i="86"/>
  <c r="I382" i="86" s="1"/>
  <c r="M382" i="86" s="1"/>
  <c r="F382" i="86"/>
  <c r="K381" i="86"/>
  <c r="J381" i="86"/>
  <c r="F381" i="86"/>
  <c r="L380" i="86"/>
  <c r="I380" i="86"/>
  <c r="K379" i="86"/>
  <c r="K378" i="86" s="1"/>
  <c r="K377" i="86" s="1"/>
  <c r="K376" i="86" s="1"/>
  <c r="K375" i="86" s="1"/>
  <c r="J379" i="86"/>
  <c r="J378" i="86" s="1"/>
  <c r="H379" i="86"/>
  <c r="H378" i="86" s="1"/>
  <c r="G379" i="86"/>
  <c r="I379" i="86" s="1"/>
  <c r="F379" i="86"/>
  <c r="F378" i="86" s="1"/>
  <c r="L374" i="86"/>
  <c r="I374" i="86"/>
  <c r="K373" i="86"/>
  <c r="K372" i="86" s="1"/>
  <c r="J373" i="86"/>
  <c r="L373" i="86" s="1"/>
  <c r="H373" i="86"/>
  <c r="H372" i="86" s="1"/>
  <c r="H371" i="86" s="1"/>
  <c r="H370" i="86" s="1"/>
  <c r="H369" i="86" s="1"/>
  <c r="G373" i="86"/>
  <c r="G372" i="86" s="1"/>
  <c r="F373" i="86"/>
  <c r="F372" i="86"/>
  <c r="F371" i="86" s="1"/>
  <c r="F370" i="86" s="1"/>
  <c r="M368" i="86"/>
  <c r="N368" i="86" s="1"/>
  <c r="L368" i="86"/>
  <c r="I368" i="86"/>
  <c r="M367" i="86"/>
  <c r="N367" i="86" s="1"/>
  <c r="L367" i="86"/>
  <c r="I367" i="86"/>
  <c r="L366" i="86"/>
  <c r="K366" i="86"/>
  <c r="J366" i="86"/>
  <c r="I366" i="86"/>
  <c r="M366" i="86" s="1"/>
  <c r="H366" i="86"/>
  <c r="H363" i="86" s="1"/>
  <c r="G366" i="86"/>
  <c r="F366" i="86"/>
  <c r="L365" i="86"/>
  <c r="I365" i="86"/>
  <c r="M365" i="86" s="1"/>
  <c r="N365" i="86" s="1"/>
  <c r="K364" i="86"/>
  <c r="J364" i="86"/>
  <c r="L364" i="86" s="1"/>
  <c r="H364" i="86"/>
  <c r="G364" i="86"/>
  <c r="G363" i="86" s="1"/>
  <c r="I363" i="86" s="1"/>
  <c r="F364" i="86"/>
  <c r="F363" i="86" s="1"/>
  <c r="K363" i="86"/>
  <c r="L362" i="86"/>
  <c r="I362" i="86"/>
  <c r="M362" i="86" s="1"/>
  <c r="N362" i="86" s="1"/>
  <c r="L361" i="86"/>
  <c r="K361" i="86"/>
  <c r="K360" i="86" s="1"/>
  <c r="J361" i="86"/>
  <c r="J360" i="86" s="1"/>
  <c r="H361" i="86"/>
  <c r="H360" i="86" s="1"/>
  <c r="G361" i="86"/>
  <c r="G360" i="86" s="1"/>
  <c r="I360" i="86" s="1"/>
  <c r="F361" i="86"/>
  <c r="M356" i="86"/>
  <c r="N356" i="86" s="1"/>
  <c r="L356" i="86"/>
  <c r="I356" i="86"/>
  <c r="K355" i="86"/>
  <c r="K354" i="86" s="1"/>
  <c r="K353" i="86" s="1"/>
  <c r="K352" i="86" s="1"/>
  <c r="J355" i="86"/>
  <c r="L355" i="86" s="1"/>
  <c r="I355" i="86"/>
  <c r="H355" i="86"/>
  <c r="H354" i="86" s="1"/>
  <c r="H353" i="86" s="1"/>
  <c r="H352" i="86" s="1"/>
  <c r="H351" i="86" s="1"/>
  <c r="G355" i="86"/>
  <c r="G354" i="86" s="1"/>
  <c r="F355" i="86"/>
  <c r="F354" i="86" s="1"/>
  <c r="F353" i="86" s="1"/>
  <c r="J354" i="86"/>
  <c r="N348" i="86"/>
  <c r="M348" i="86"/>
  <c r="L348" i="86"/>
  <c r="K347" i="86"/>
  <c r="J347" i="86"/>
  <c r="L347" i="86" s="1"/>
  <c r="H347" i="86"/>
  <c r="H346" i="86" s="1"/>
  <c r="H345" i="86" s="1"/>
  <c r="H344" i="86" s="1"/>
  <c r="H343" i="86" s="1"/>
  <c r="G347" i="86"/>
  <c r="G346" i="86" s="1"/>
  <c r="I346" i="86" s="1"/>
  <c r="F347" i="86"/>
  <c r="F346" i="86" s="1"/>
  <c r="K346" i="86"/>
  <c r="K345" i="86" s="1"/>
  <c r="K344" i="86" s="1"/>
  <c r="K343" i="86" s="1"/>
  <c r="L342" i="86"/>
  <c r="I342" i="86"/>
  <c r="M342" i="86" s="1"/>
  <c r="N342" i="86" s="1"/>
  <c r="K341" i="86"/>
  <c r="K340" i="86" s="1"/>
  <c r="K339" i="86" s="1"/>
  <c r="K338" i="86" s="1"/>
  <c r="K337" i="86" s="1"/>
  <c r="J341" i="86"/>
  <c r="J340" i="86" s="1"/>
  <c r="H341" i="86"/>
  <c r="G341" i="86"/>
  <c r="I341" i="86" s="1"/>
  <c r="F341" i="86"/>
  <c r="F340" i="86" s="1"/>
  <c r="H340" i="86"/>
  <c r="H339" i="86" s="1"/>
  <c r="H338" i="86" s="1"/>
  <c r="H337" i="86" s="1"/>
  <c r="L336" i="86"/>
  <c r="I336" i="86"/>
  <c r="K335" i="86"/>
  <c r="K334" i="86" s="1"/>
  <c r="K333" i="86" s="1"/>
  <c r="K332" i="86" s="1"/>
  <c r="K331" i="86" s="1"/>
  <c r="J335" i="86"/>
  <c r="J334" i="86" s="1"/>
  <c r="H335" i="86"/>
  <c r="H334" i="86" s="1"/>
  <c r="H333" i="86" s="1"/>
  <c r="H332" i="86" s="1"/>
  <c r="H331" i="86" s="1"/>
  <c r="G335" i="86"/>
  <c r="G334" i="86" s="1"/>
  <c r="F335" i="86"/>
  <c r="L330" i="86"/>
  <c r="I330" i="86"/>
  <c r="M330" i="86" s="1"/>
  <c r="N330" i="86" s="1"/>
  <c r="S329" i="86"/>
  <c r="K329" i="86"/>
  <c r="L329" i="86" s="1"/>
  <c r="M329" i="86" s="1"/>
  <c r="N329" i="86" s="1"/>
  <c r="S328" i="86"/>
  <c r="K328" i="86"/>
  <c r="L328" i="86" s="1"/>
  <c r="M328" i="86" s="1"/>
  <c r="N328" i="86" s="1"/>
  <c r="S327" i="86"/>
  <c r="K327" i="86"/>
  <c r="L327" i="86" s="1"/>
  <c r="M327" i="86" s="1"/>
  <c r="N327" i="86" s="1"/>
  <c r="S326" i="86"/>
  <c r="L326" i="86"/>
  <c r="M326" i="86" s="1"/>
  <c r="N326" i="86" s="1"/>
  <c r="K326" i="86"/>
  <c r="K323" i="86" s="1"/>
  <c r="K322" i="86" s="1"/>
  <c r="L325" i="86"/>
  <c r="M325" i="86" s="1"/>
  <c r="N325" i="86" s="1"/>
  <c r="L324" i="86"/>
  <c r="M324" i="86" s="1"/>
  <c r="N324" i="86" s="1"/>
  <c r="J323" i="86"/>
  <c r="J322" i="86" s="1"/>
  <c r="H323" i="86"/>
  <c r="G323" i="86"/>
  <c r="F323" i="86"/>
  <c r="F322" i="86" s="1"/>
  <c r="H322" i="86"/>
  <c r="L321" i="86"/>
  <c r="M321" i="86" s="1"/>
  <c r="N321" i="86" s="1"/>
  <c r="L320" i="86"/>
  <c r="K320" i="86"/>
  <c r="K319" i="86" s="1"/>
  <c r="J320" i="86"/>
  <c r="J319" i="86" s="1"/>
  <c r="H320" i="86"/>
  <c r="H319" i="86" s="1"/>
  <c r="G320" i="86"/>
  <c r="G319" i="86" s="1"/>
  <c r="F320" i="86"/>
  <c r="L318" i="86"/>
  <c r="M318" i="86" s="1"/>
  <c r="N318" i="86" s="1"/>
  <c r="S317" i="86"/>
  <c r="M317" i="86"/>
  <c r="N317" i="86" s="1"/>
  <c r="L317" i="86"/>
  <c r="K316" i="86"/>
  <c r="K315" i="86" s="1"/>
  <c r="J316" i="86"/>
  <c r="L316" i="86" s="1"/>
  <c r="H316" i="86"/>
  <c r="H315" i="86" s="1"/>
  <c r="H314" i="86" s="1"/>
  <c r="H313" i="86" s="1"/>
  <c r="H312" i="86" s="1"/>
  <c r="G316" i="86"/>
  <c r="G315" i="86" s="1"/>
  <c r="F316" i="86"/>
  <c r="F315" i="86"/>
  <c r="S311" i="86"/>
  <c r="K311" i="86"/>
  <c r="K310" i="86" s="1"/>
  <c r="I311" i="86"/>
  <c r="J310" i="86"/>
  <c r="J309" i="86" s="1"/>
  <c r="H310" i="86"/>
  <c r="H309" i="86" s="1"/>
  <c r="G310" i="86"/>
  <c r="G309" i="86" s="1"/>
  <c r="I309" i="86" s="1"/>
  <c r="F310" i="86"/>
  <c r="L308" i="86"/>
  <c r="I308" i="86"/>
  <c r="M308" i="86" s="1"/>
  <c r="N308" i="86" s="1"/>
  <c r="L307" i="86"/>
  <c r="I307" i="86"/>
  <c r="M307" i="86" s="1"/>
  <c r="N307" i="86" s="1"/>
  <c r="K306" i="86"/>
  <c r="J306" i="86"/>
  <c r="L306" i="86" s="1"/>
  <c r="H306" i="86"/>
  <c r="H305" i="86" s="1"/>
  <c r="G306" i="86"/>
  <c r="G305" i="86" s="1"/>
  <c r="I305" i="86" s="1"/>
  <c r="F306" i="86"/>
  <c r="F305" i="86" s="1"/>
  <c r="K305" i="86"/>
  <c r="S304" i="86"/>
  <c r="L304" i="86"/>
  <c r="M304" i="86" s="1"/>
  <c r="N304" i="86" s="1"/>
  <c r="K304" i="86"/>
  <c r="K303" i="86" s="1"/>
  <c r="K302" i="86" s="1"/>
  <c r="J303" i="86"/>
  <c r="L303" i="86" s="1"/>
  <c r="H303" i="86"/>
  <c r="H302" i="86" s="1"/>
  <c r="H301" i="86" s="1"/>
  <c r="H300" i="86" s="1"/>
  <c r="H299" i="86" s="1"/>
  <c r="H298" i="86" s="1"/>
  <c r="G303" i="86"/>
  <c r="G302" i="86" s="1"/>
  <c r="F303" i="86"/>
  <c r="F302" i="86"/>
  <c r="L296" i="86"/>
  <c r="M296" i="86" s="1"/>
  <c r="N296" i="86" s="1"/>
  <c r="L295" i="86"/>
  <c r="M295" i="86" s="1"/>
  <c r="N295" i="86" s="1"/>
  <c r="I295" i="86"/>
  <c r="L294" i="86"/>
  <c r="I294" i="86"/>
  <c r="L293" i="86"/>
  <c r="I293" i="86"/>
  <c r="K292" i="86"/>
  <c r="J292" i="86"/>
  <c r="H292" i="86"/>
  <c r="G292" i="86"/>
  <c r="F292" i="86"/>
  <c r="F291" i="86" s="1"/>
  <c r="K291" i="86"/>
  <c r="G291" i="86"/>
  <c r="L290" i="86"/>
  <c r="M290" i="86" s="1"/>
  <c r="N290" i="86" s="1"/>
  <c r="L289" i="86"/>
  <c r="M289" i="86" s="1"/>
  <c r="N289" i="86" s="1"/>
  <c r="L288" i="86"/>
  <c r="M288" i="86" s="1"/>
  <c r="N288" i="86" s="1"/>
  <c r="M287" i="86"/>
  <c r="N287" i="86" s="1"/>
  <c r="L287" i="86"/>
  <c r="I287" i="86"/>
  <c r="L286" i="86"/>
  <c r="M286" i="86" s="1"/>
  <c r="N286" i="86" s="1"/>
  <c r="L285" i="86"/>
  <c r="M285" i="86" s="1"/>
  <c r="N285" i="86" s="1"/>
  <c r="M284" i="86"/>
  <c r="N284" i="86" s="1"/>
  <c r="L284" i="86"/>
  <c r="L283" i="86"/>
  <c r="M283" i="86" s="1"/>
  <c r="N283" i="86" s="1"/>
  <c r="I283" i="86"/>
  <c r="K282" i="86"/>
  <c r="K281" i="86" s="1"/>
  <c r="K280" i="86" s="1"/>
  <c r="K279" i="86" s="1"/>
  <c r="K278" i="86" s="1"/>
  <c r="J282" i="86"/>
  <c r="L282" i="86" s="1"/>
  <c r="H282" i="86"/>
  <c r="I282" i="86" s="1"/>
  <c r="M282" i="86" s="1"/>
  <c r="G282" i="86"/>
  <c r="F282" i="86"/>
  <c r="F281" i="86" s="1"/>
  <c r="G281" i="86"/>
  <c r="L277" i="86"/>
  <c r="I277" i="86"/>
  <c r="M277" i="86" s="1"/>
  <c r="N277" i="86" s="1"/>
  <c r="I276" i="86"/>
  <c r="M276" i="86" s="1"/>
  <c r="N276" i="86" s="1"/>
  <c r="I275" i="86"/>
  <c r="M275" i="86" s="1"/>
  <c r="N275" i="86" s="1"/>
  <c r="L274" i="86"/>
  <c r="I274" i="86"/>
  <c r="M274" i="86" s="1"/>
  <c r="N274" i="86" s="1"/>
  <c r="K273" i="86"/>
  <c r="J273" i="86"/>
  <c r="J272" i="86" s="1"/>
  <c r="H273" i="86"/>
  <c r="G273" i="86"/>
  <c r="G272" i="86" s="1"/>
  <c r="I272" i="86" s="1"/>
  <c r="F273" i="86"/>
  <c r="F272" i="86" s="1"/>
  <c r="F271" i="86" s="1"/>
  <c r="H272" i="86"/>
  <c r="H271" i="86" s="1"/>
  <c r="H270" i="86" s="1"/>
  <c r="H269" i="86" s="1"/>
  <c r="S268" i="86"/>
  <c r="K268" i="86"/>
  <c r="L268" i="86" s="1"/>
  <c r="M268" i="86" s="1"/>
  <c r="N268" i="86" s="1"/>
  <c r="I268" i="86"/>
  <c r="S267" i="86"/>
  <c r="K267" i="86"/>
  <c r="L267" i="86" s="1"/>
  <c r="M267" i="86" s="1"/>
  <c r="N267" i="86" s="1"/>
  <c r="I267" i="86"/>
  <c r="T266" i="86"/>
  <c r="L266" i="86"/>
  <c r="I266" i="86"/>
  <c r="H266" i="86"/>
  <c r="L265" i="86"/>
  <c r="I265" i="86"/>
  <c r="S264" i="86"/>
  <c r="M264" i="86"/>
  <c r="N264" i="86" s="1"/>
  <c r="K264" i="86"/>
  <c r="L264" i="86" s="1"/>
  <c r="I264" i="86"/>
  <c r="J263" i="86"/>
  <c r="H263" i="86"/>
  <c r="G263" i="86"/>
  <c r="G262" i="86" s="1"/>
  <c r="F263" i="86"/>
  <c r="F262" i="86" s="1"/>
  <c r="K261" i="86"/>
  <c r="L261" i="86" s="1"/>
  <c r="I261" i="86"/>
  <c r="J260" i="86"/>
  <c r="J259" i="86" s="1"/>
  <c r="H260" i="86"/>
  <c r="G260" i="86"/>
  <c r="G259" i="86" s="1"/>
  <c r="F260" i="86"/>
  <c r="F259" i="86" s="1"/>
  <c r="F258" i="86" s="1"/>
  <c r="H259" i="86"/>
  <c r="L255" i="86"/>
  <c r="I255" i="86"/>
  <c r="L254" i="86"/>
  <c r="I254" i="86"/>
  <c r="N253" i="86"/>
  <c r="L253" i="86"/>
  <c r="M253" i="86" s="1"/>
  <c r="I253" i="86"/>
  <c r="K252" i="86"/>
  <c r="K251" i="86" s="1"/>
  <c r="K250" i="86" s="1"/>
  <c r="K249" i="86" s="1"/>
  <c r="K248" i="86" s="1"/>
  <c r="J252" i="86"/>
  <c r="H252" i="86"/>
  <c r="G252" i="86"/>
  <c r="G251" i="86" s="1"/>
  <c r="F252" i="86"/>
  <c r="F251" i="86" s="1"/>
  <c r="I245" i="86"/>
  <c r="M245" i="86" s="1"/>
  <c r="N245" i="86" s="1"/>
  <c r="K244" i="86"/>
  <c r="K243" i="86" s="1"/>
  <c r="K242" i="86" s="1"/>
  <c r="K241" i="86" s="1"/>
  <c r="K240" i="86" s="1"/>
  <c r="K239" i="86" s="1"/>
  <c r="J244" i="86"/>
  <c r="L244" i="86" s="1"/>
  <c r="H244" i="86"/>
  <c r="G244" i="86"/>
  <c r="F244" i="86"/>
  <c r="H243" i="86"/>
  <c r="H242" i="86" s="1"/>
  <c r="H241" i="86" s="1"/>
  <c r="H240" i="86" s="1"/>
  <c r="H239" i="86" s="1"/>
  <c r="F243" i="86"/>
  <c r="L237" i="86"/>
  <c r="I237" i="86"/>
  <c r="M237" i="86" s="1"/>
  <c r="N237" i="86" s="1"/>
  <c r="K236" i="86"/>
  <c r="L236" i="86" s="1"/>
  <c r="J236" i="86"/>
  <c r="H236" i="86"/>
  <c r="G236" i="86"/>
  <c r="G235" i="86" s="1"/>
  <c r="F236" i="86"/>
  <c r="F235" i="86" s="1"/>
  <c r="J235" i="86"/>
  <c r="J234" i="86" s="1"/>
  <c r="H235" i="86"/>
  <c r="H234" i="86" s="1"/>
  <c r="H232" i="86" s="1"/>
  <c r="H231" i="86" s="1"/>
  <c r="L233" i="86"/>
  <c r="I233" i="86"/>
  <c r="F232" i="86"/>
  <c r="F231" i="86" s="1"/>
  <c r="M230" i="86"/>
  <c r="N230" i="86" s="1"/>
  <c r="L230" i="86"/>
  <c r="I230" i="86"/>
  <c r="L229" i="86"/>
  <c r="I229" i="86"/>
  <c r="M229" i="86" s="1"/>
  <c r="N229" i="86" s="1"/>
  <c r="M228" i="86"/>
  <c r="N228" i="86" s="1"/>
  <c r="L228" i="86"/>
  <c r="I228" i="86"/>
  <c r="K227" i="86"/>
  <c r="J227" i="86"/>
  <c r="L227" i="86" s="1"/>
  <c r="I227" i="86"/>
  <c r="M227" i="86" s="1"/>
  <c r="H227" i="86"/>
  <c r="H226" i="86" s="1"/>
  <c r="G227" i="86"/>
  <c r="F227" i="86"/>
  <c r="K226" i="86"/>
  <c r="J226" i="86"/>
  <c r="L226" i="86" s="1"/>
  <c r="I226" i="86"/>
  <c r="M226" i="86" s="1"/>
  <c r="G226" i="86"/>
  <c r="L225" i="86"/>
  <c r="I225" i="86"/>
  <c r="K224" i="86"/>
  <c r="J224" i="86"/>
  <c r="J223" i="86" s="1"/>
  <c r="H224" i="86"/>
  <c r="H223" i="86" s="1"/>
  <c r="H222" i="86" s="1"/>
  <c r="H221" i="86" s="1"/>
  <c r="G224" i="86"/>
  <c r="F224" i="86"/>
  <c r="F223" i="86" s="1"/>
  <c r="K223" i="86"/>
  <c r="K222" i="86" s="1"/>
  <c r="K221" i="86" s="1"/>
  <c r="I220" i="86"/>
  <c r="M220" i="86" s="1"/>
  <c r="N220" i="86" s="1"/>
  <c r="M219" i="86"/>
  <c r="N219" i="86" s="1"/>
  <c r="L219" i="86"/>
  <c r="L218" i="86"/>
  <c r="I218" i="86"/>
  <c r="K217" i="86"/>
  <c r="K216" i="86" s="1"/>
  <c r="J217" i="86"/>
  <c r="L217" i="86" s="1"/>
  <c r="H217" i="86"/>
  <c r="H216" i="86" s="1"/>
  <c r="G217" i="86"/>
  <c r="F217" i="86"/>
  <c r="F216" i="86" s="1"/>
  <c r="G216" i="86"/>
  <c r="I216" i="86" s="1"/>
  <c r="L215" i="86"/>
  <c r="I215" i="86"/>
  <c r="L214" i="86"/>
  <c r="I214" i="86"/>
  <c r="M214" i="86" s="1"/>
  <c r="N214" i="86" s="1"/>
  <c r="K213" i="86"/>
  <c r="K212" i="86" s="1"/>
  <c r="J213" i="86"/>
  <c r="J212" i="86" s="1"/>
  <c r="H213" i="86"/>
  <c r="G213" i="86"/>
  <c r="F213" i="86"/>
  <c r="F212" i="86" s="1"/>
  <c r="H212" i="86"/>
  <c r="G212" i="86"/>
  <c r="I212" i="86" s="1"/>
  <c r="L211" i="86"/>
  <c r="M211" i="86" s="1"/>
  <c r="N211" i="86" s="1"/>
  <c r="I211" i="86"/>
  <c r="K210" i="86"/>
  <c r="K209" i="86" s="1"/>
  <c r="J210" i="86"/>
  <c r="L210" i="86" s="1"/>
  <c r="H210" i="86"/>
  <c r="H209" i="86" s="1"/>
  <c r="H208" i="86" s="1"/>
  <c r="H207" i="86" s="1"/>
  <c r="G210" i="86"/>
  <c r="G209" i="86" s="1"/>
  <c r="I209" i="86" s="1"/>
  <c r="F210" i="86"/>
  <c r="J209" i="86"/>
  <c r="F209" i="86"/>
  <c r="L205" i="86"/>
  <c r="I205" i="86"/>
  <c r="M205" i="86" s="1"/>
  <c r="N205" i="86" s="1"/>
  <c r="K204" i="86"/>
  <c r="J204" i="86"/>
  <c r="L204" i="86" s="1"/>
  <c r="H204" i="86"/>
  <c r="H203" i="86" s="1"/>
  <c r="G204" i="86"/>
  <c r="I204" i="86" s="1"/>
  <c r="M204" i="86" s="1"/>
  <c r="F204" i="86"/>
  <c r="K203" i="86"/>
  <c r="K202" i="86" s="1"/>
  <c r="K201" i="86" s="1"/>
  <c r="K199" i="86" s="1"/>
  <c r="K198" i="86" s="1"/>
  <c r="J203" i="86"/>
  <c r="L203" i="86" s="1"/>
  <c r="F203" i="86"/>
  <c r="F202" i="86" s="1"/>
  <c r="L200" i="86"/>
  <c r="M200" i="86" s="1"/>
  <c r="N200" i="86" s="1"/>
  <c r="I200" i="86"/>
  <c r="F199" i="86"/>
  <c r="F198" i="86"/>
  <c r="L197" i="86"/>
  <c r="I197" i="86"/>
  <c r="M197" i="86" s="1"/>
  <c r="N197" i="86" s="1"/>
  <c r="L196" i="86"/>
  <c r="I196" i="86"/>
  <c r="K195" i="86"/>
  <c r="K194" i="86" s="1"/>
  <c r="J195" i="86"/>
  <c r="J194" i="86" s="1"/>
  <c r="H195" i="86"/>
  <c r="G195" i="86"/>
  <c r="I195" i="86" s="1"/>
  <c r="F195" i="86"/>
  <c r="F194" i="86" s="1"/>
  <c r="H194" i="86"/>
  <c r="M193" i="86"/>
  <c r="N193" i="86" s="1"/>
  <c r="L193" i="86"/>
  <c r="L192" i="86"/>
  <c r="M192" i="86" s="1"/>
  <c r="N192" i="86" s="1"/>
  <c r="L191" i="86"/>
  <c r="M191" i="86" s="1"/>
  <c r="N191" i="86" s="1"/>
  <c r="L190" i="86"/>
  <c r="M190" i="86" s="1"/>
  <c r="N190" i="86" s="1"/>
  <c r="L189" i="86"/>
  <c r="I189" i="86"/>
  <c r="M189" i="86" s="1"/>
  <c r="N189" i="86" s="1"/>
  <c r="L188" i="86"/>
  <c r="K188" i="86"/>
  <c r="J188" i="86"/>
  <c r="H188" i="86"/>
  <c r="H187" i="86" s="1"/>
  <c r="G188" i="86"/>
  <c r="I188" i="86" s="1"/>
  <c r="M188" i="86" s="1"/>
  <c r="F188" i="86"/>
  <c r="F187" i="86" s="1"/>
  <c r="K187" i="86"/>
  <c r="J187" i="86"/>
  <c r="L187" i="86" s="1"/>
  <c r="S183" i="86"/>
  <c r="K183" i="86"/>
  <c r="L183" i="86" s="1"/>
  <c r="M183" i="86" s="1"/>
  <c r="N183" i="86" s="1"/>
  <c r="S182" i="86"/>
  <c r="L182" i="86"/>
  <c r="K182" i="86"/>
  <c r="I182" i="86"/>
  <c r="J181" i="86"/>
  <c r="J180" i="86" s="1"/>
  <c r="I181" i="86"/>
  <c r="H181" i="86"/>
  <c r="H180" i="86" s="1"/>
  <c r="G181" i="86"/>
  <c r="F181" i="86"/>
  <c r="G180" i="86"/>
  <c r="F180" i="86"/>
  <c r="L179" i="86"/>
  <c r="I179" i="86"/>
  <c r="M179" i="86" s="1"/>
  <c r="N179" i="86" s="1"/>
  <c r="L178" i="86"/>
  <c r="I178" i="86"/>
  <c r="M178" i="86" s="1"/>
  <c r="N178" i="86" s="1"/>
  <c r="K177" i="86"/>
  <c r="K176" i="86" s="1"/>
  <c r="J177" i="86"/>
  <c r="J176" i="86" s="1"/>
  <c r="H177" i="86"/>
  <c r="G177" i="86"/>
  <c r="I177" i="86" s="1"/>
  <c r="F177" i="86"/>
  <c r="F176" i="86" s="1"/>
  <c r="H176" i="86"/>
  <c r="G175" i="86"/>
  <c r="G174" i="86"/>
  <c r="G173" i="86" s="1"/>
  <c r="L172" i="86"/>
  <c r="M172" i="86" s="1"/>
  <c r="N172" i="86" s="1"/>
  <c r="S171" i="86"/>
  <c r="K171" i="86"/>
  <c r="K169" i="86" s="1"/>
  <c r="I171" i="86"/>
  <c r="L170" i="86"/>
  <c r="I170" i="86"/>
  <c r="M170" i="86" s="1"/>
  <c r="N170" i="86" s="1"/>
  <c r="J169" i="86"/>
  <c r="H169" i="86"/>
  <c r="H168" i="86" s="1"/>
  <c r="G169" i="86"/>
  <c r="F169" i="86"/>
  <c r="F168" i="86" s="1"/>
  <c r="F167" i="86" s="1"/>
  <c r="J168" i="86"/>
  <c r="G168" i="86"/>
  <c r="G167" i="86"/>
  <c r="M164" i="86"/>
  <c r="N164" i="86" s="1"/>
  <c r="L164" i="86"/>
  <c r="I164" i="86"/>
  <c r="M163" i="86"/>
  <c r="N163" i="86" s="1"/>
  <c r="L163" i="86"/>
  <c r="I163" i="86"/>
  <c r="K162" i="86"/>
  <c r="J162" i="86"/>
  <c r="L162" i="86" s="1"/>
  <c r="H162" i="86"/>
  <c r="H159" i="86" s="1"/>
  <c r="G162" i="86"/>
  <c r="I162" i="86" s="1"/>
  <c r="F162" i="86"/>
  <c r="L161" i="86"/>
  <c r="I161" i="86"/>
  <c r="M161" i="86" s="1"/>
  <c r="N161" i="86" s="1"/>
  <c r="K160" i="86"/>
  <c r="K159" i="86" s="1"/>
  <c r="J160" i="86"/>
  <c r="J159" i="86" s="1"/>
  <c r="L159" i="86" s="1"/>
  <c r="H160" i="86"/>
  <c r="G160" i="86"/>
  <c r="I160" i="86" s="1"/>
  <c r="F160" i="86"/>
  <c r="F159" i="86" s="1"/>
  <c r="L158" i="86"/>
  <c r="I158" i="86"/>
  <c r="M158" i="86" s="1"/>
  <c r="N158" i="86" s="1"/>
  <c r="K157" i="86"/>
  <c r="J157" i="86"/>
  <c r="L157" i="86" s="1"/>
  <c r="H157" i="86"/>
  <c r="G157" i="86"/>
  <c r="I157" i="86" s="1"/>
  <c r="M157" i="86" s="1"/>
  <c r="F157" i="86"/>
  <c r="F156" i="86" s="1"/>
  <c r="H156" i="86"/>
  <c r="L155" i="86"/>
  <c r="I155" i="86"/>
  <c r="L154" i="86"/>
  <c r="I154" i="86"/>
  <c r="M154" i="86" s="1"/>
  <c r="N154" i="86" s="1"/>
  <c r="K153" i="86"/>
  <c r="K149" i="86" s="1"/>
  <c r="J153" i="86"/>
  <c r="H153" i="86"/>
  <c r="H149" i="86" s="1"/>
  <c r="H148" i="86" s="1"/>
  <c r="H147" i="86" s="1"/>
  <c r="G153" i="86"/>
  <c r="F153" i="86"/>
  <c r="L152" i="86"/>
  <c r="I152" i="86"/>
  <c r="M152" i="86" s="1"/>
  <c r="N152" i="86" s="1"/>
  <c r="L151" i="86"/>
  <c r="I151" i="86"/>
  <c r="M151" i="86" s="1"/>
  <c r="N151" i="86" s="1"/>
  <c r="K150" i="86"/>
  <c r="J150" i="86"/>
  <c r="L150" i="86" s="1"/>
  <c r="H150" i="86"/>
  <c r="G150" i="86"/>
  <c r="F150" i="86"/>
  <c r="L146" i="86"/>
  <c r="I146" i="86"/>
  <c r="M146" i="86" s="1"/>
  <c r="N146" i="86" s="1"/>
  <c r="L145" i="86"/>
  <c r="I145" i="86"/>
  <c r="L144" i="86"/>
  <c r="I144" i="86"/>
  <c r="K143" i="86"/>
  <c r="K142" i="86" s="1"/>
  <c r="K141" i="86" s="1"/>
  <c r="K140" i="86" s="1"/>
  <c r="J143" i="86"/>
  <c r="J142" i="86" s="1"/>
  <c r="H143" i="86"/>
  <c r="H142" i="86" s="1"/>
  <c r="H141" i="86" s="1"/>
  <c r="H140" i="86" s="1"/>
  <c r="G143" i="86"/>
  <c r="G142" i="86" s="1"/>
  <c r="F143" i="86"/>
  <c r="L136" i="86"/>
  <c r="I136" i="86"/>
  <c r="M136" i="86" s="1"/>
  <c r="N136" i="86" s="1"/>
  <c r="L135" i="86"/>
  <c r="I135" i="86"/>
  <c r="M135" i="86" s="1"/>
  <c r="N135" i="86" s="1"/>
  <c r="L134" i="86"/>
  <c r="M134" i="86" s="1"/>
  <c r="N134" i="86" s="1"/>
  <c r="I134" i="86"/>
  <c r="L133" i="86"/>
  <c r="I133" i="86"/>
  <c r="M133" i="86" s="1"/>
  <c r="N133" i="86" s="1"/>
  <c r="K132" i="86"/>
  <c r="J132" i="86"/>
  <c r="H132" i="86"/>
  <c r="H131" i="86" s="1"/>
  <c r="G132" i="86"/>
  <c r="I132" i="86" s="1"/>
  <c r="F132" i="86"/>
  <c r="F131" i="86" s="1"/>
  <c r="K131" i="86"/>
  <c r="K125" i="86" s="1"/>
  <c r="K124" i="86" s="1"/>
  <c r="K123" i="86" s="1"/>
  <c r="K122" i="86" s="1"/>
  <c r="L130" i="86"/>
  <c r="I130" i="86"/>
  <c r="M130" i="86" s="1"/>
  <c r="N130" i="86" s="1"/>
  <c r="L129" i="86"/>
  <c r="I129" i="86"/>
  <c r="M129" i="86" s="1"/>
  <c r="N129" i="86" s="1"/>
  <c r="L128" i="86"/>
  <c r="I128" i="86"/>
  <c r="K127" i="86"/>
  <c r="K126" i="86" s="1"/>
  <c r="J127" i="86"/>
  <c r="J126" i="86" s="1"/>
  <c r="H127" i="86"/>
  <c r="H126" i="86" s="1"/>
  <c r="H125" i="86" s="1"/>
  <c r="H124" i="86" s="1"/>
  <c r="H123" i="86" s="1"/>
  <c r="H122" i="86" s="1"/>
  <c r="G127" i="86"/>
  <c r="G126" i="86" s="1"/>
  <c r="F127" i="86"/>
  <c r="L120" i="86"/>
  <c r="I120" i="86"/>
  <c r="M120" i="86" s="1"/>
  <c r="N120" i="86" s="1"/>
  <c r="L119" i="86"/>
  <c r="I119" i="86"/>
  <c r="M119" i="86" s="1"/>
  <c r="N119" i="86" s="1"/>
  <c r="S118" i="86"/>
  <c r="L118" i="86"/>
  <c r="I118" i="86"/>
  <c r="M118" i="86" s="1"/>
  <c r="N118" i="86" s="1"/>
  <c r="K117" i="86"/>
  <c r="K116" i="86" s="1"/>
  <c r="K115" i="86" s="1"/>
  <c r="K114" i="86" s="1"/>
  <c r="J117" i="86"/>
  <c r="J116" i="86" s="1"/>
  <c r="H117" i="86"/>
  <c r="G117" i="86"/>
  <c r="F117" i="86"/>
  <c r="F116" i="86" s="1"/>
  <c r="H116" i="86"/>
  <c r="H115" i="86" s="1"/>
  <c r="H114" i="86" s="1"/>
  <c r="H113" i="86" s="1"/>
  <c r="L112" i="86"/>
  <c r="I112" i="86"/>
  <c r="L111" i="86"/>
  <c r="I111" i="86"/>
  <c r="L110" i="86"/>
  <c r="I110" i="86"/>
  <c r="M110" i="86" s="1"/>
  <c r="N110" i="86" s="1"/>
  <c r="L109" i="86"/>
  <c r="I109" i="86"/>
  <c r="L108" i="86"/>
  <c r="I108" i="86"/>
  <c r="L107" i="86"/>
  <c r="I107" i="86"/>
  <c r="M107" i="86" s="1"/>
  <c r="N107" i="86" s="1"/>
  <c r="L106" i="86"/>
  <c r="I106" i="86"/>
  <c r="M106" i="86" s="1"/>
  <c r="N106" i="86" s="1"/>
  <c r="L105" i="86"/>
  <c r="I105" i="86"/>
  <c r="M105" i="86" s="1"/>
  <c r="N105" i="86" s="1"/>
  <c r="L104" i="86"/>
  <c r="I104" i="86"/>
  <c r="M104" i="86" s="1"/>
  <c r="N104" i="86" s="1"/>
  <c r="L103" i="86"/>
  <c r="I103" i="86"/>
  <c r="M103" i="86" s="1"/>
  <c r="N103" i="86" s="1"/>
  <c r="K102" i="86"/>
  <c r="K101" i="86" s="1"/>
  <c r="K95" i="86" s="1"/>
  <c r="J102" i="86"/>
  <c r="J101" i="86" s="1"/>
  <c r="H102" i="86"/>
  <c r="H101" i="86" s="1"/>
  <c r="G102" i="86"/>
  <c r="G101" i="86" s="1"/>
  <c r="F102" i="86"/>
  <c r="L100" i="86"/>
  <c r="I100" i="86"/>
  <c r="M100" i="86" s="1"/>
  <c r="N100" i="86" s="1"/>
  <c r="H99" i="86"/>
  <c r="G99" i="86"/>
  <c r="I99" i="86" s="1"/>
  <c r="F99" i="86"/>
  <c r="M98" i="86"/>
  <c r="N98" i="86" s="1"/>
  <c r="L98" i="86"/>
  <c r="I98" i="86"/>
  <c r="L97" i="86"/>
  <c r="I97" i="86"/>
  <c r="M97" i="86" s="1"/>
  <c r="N97" i="86" s="1"/>
  <c r="L96" i="86"/>
  <c r="I96" i="86"/>
  <c r="M96" i="86" s="1"/>
  <c r="N96" i="86" s="1"/>
  <c r="J95" i="86"/>
  <c r="I95" i="86"/>
  <c r="H95" i="86"/>
  <c r="G95" i="86"/>
  <c r="F95" i="86"/>
  <c r="L94" i="86"/>
  <c r="I94" i="86"/>
  <c r="L93" i="86"/>
  <c r="I93" i="86"/>
  <c r="L92" i="86"/>
  <c r="I92" i="86"/>
  <c r="L91" i="86"/>
  <c r="I91" i="86"/>
  <c r="L90" i="86"/>
  <c r="I90" i="86"/>
  <c r="L89" i="86"/>
  <c r="I89" i="86"/>
  <c r="L88" i="86"/>
  <c r="I88" i="86"/>
  <c r="M88" i="86" s="1"/>
  <c r="N88" i="86" s="1"/>
  <c r="L87" i="86"/>
  <c r="I87" i="86"/>
  <c r="L86" i="86"/>
  <c r="I86" i="86"/>
  <c r="M86" i="86" s="1"/>
  <c r="N86" i="86" s="1"/>
  <c r="L85" i="86"/>
  <c r="I85" i="86"/>
  <c r="M85" i="86" s="1"/>
  <c r="N85" i="86" s="1"/>
  <c r="K84" i="86"/>
  <c r="L84" i="86" s="1"/>
  <c r="H84" i="86"/>
  <c r="G84" i="86"/>
  <c r="I84" i="86" s="1"/>
  <c r="M84" i="86" s="1"/>
  <c r="F84" i="86"/>
  <c r="F83" i="86" s="1"/>
  <c r="G83" i="86"/>
  <c r="I82" i="86"/>
  <c r="M82" i="86" s="1"/>
  <c r="N82" i="86" s="1"/>
  <c r="K81" i="86"/>
  <c r="L81" i="86" s="1"/>
  <c r="H81" i="86"/>
  <c r="G81" i="86"/>
  <c r="I81" i="86" s="1"/>
  <c r="F81" i="86"/>
  <c r="M80" i="86"/>
  <c r="N80" i="86" s="1"/>
  <c r="I80" i="86"/>
  <c r="K79" i="86"/>
  <c r="L79" i="86" s="1"/>
  <c r="H79" i="86"/>
  <c r="G79" i="86"/>
  <c r="I79" i="86" s="1"/>
  <c r="F79" i="86"/>
  <c r="F76" i="86" s="1"/>
  <c r="L78" i="86"/>
  <c r="I78" i="86"/>
  <c r="M78" i="86" s="1"/>
  <c r="N78" i="86" s="1"/>
  <c r="K77" i="86"/>
  <c r="L77" i="86" s="1"/>
  <c r="H77" i="86"/>
  <c r="H76" i="86" s="1"/>
  <c r="G77" i="86"/>
  <c r="F77" i="86"/>
  <c r="G76" i="86"/>
  <c r="L75" i="86"/>
  <c r="I75" i="86"/>
  <c r="I74" i="86" s="1"/>
  <c r="K74" i="86"/>
  <c r="L74" i="86" s="1"/>
  <c r="H74" i="86"/>
  <c r="G74" i="86"/>
  <c r="F74" i="86"/>
  <c r="L73" i="86"/>
  <c r="I73" i="86"/>
  <c r="M73" i="86" s="1"/>
  <c r="N73" i="86" s="1"/>
  <c r="K72" i="86"/>
  <c r="L72" i="86" s="1"/>
  <c r="H72" i="86"/>
  <c r="G72" i="86"/>
  <c r="I72" i="86" s="1"/>
  <c r="F72" i="86"/>
  <c r="M71" i="86"/>
  <c r="N71" i="86" s="1"/>
  <c r="L71" i="86"/>
  <c r="I71" i="86"/>
  <c r="K70" i="86"/>
  <c r="L70" i="86" s="1"/>
  <c r="H70" i="86"/>
  <c r="G70" i="86"/>
  <c r="I70" i="86" s="1"/>
  <c r="F70" i="86"/>
  <c r="L69" i="86"/>
  <c r="I69" i="86"/>
  <c r="M69" i="86" s="1"/>
  <c r="N69" i="86" s="1"/>
  <c r="K68" i="86"/>
  <c r="L68" i="86" s="1"/>
  <c r="H68" i="86"/>
  <c r="G68" i="86"/>
  <c r="I68" i="86" s="1"/>
  <c r="F68" i="86"/>
  <c r="L67" i="86"/>
  <c r="I67" i="86"/>
  <c r="M67" i="86" s="1"/>
  <c r="N67" i="86" s="1"/>
  <c r="K66" i="86"/>
  <c r="L66" i="86" s="1"/>
  <c r="H66" i="86"/>
  <c r="G66" i="86"/>
  <c r="I66" i="86" s="1"/>
  <c r="F66" i="86"/>
  <c r="M65" i="86"/>
  <c r="N65" i="86" s="1"/>
  <c r="L65" i="86"/>
  <c r="I65" i="86"/>
  <c r="K64" i="86"/>
  <c r="L64" i="86" s="1"/>
  <c r="H64" i="86"/>
  <c r="G64" i="86"/>
  <c r="I64" i="86" s="1"/>
  <c r="F64" i="86"/>
  <c r="L63" i="86"/>
  <c r="I63" i="86"/>
  <c r="M63" i="86" s="1"/>
  <c r="N63" i="86" s="1"/>
  <c r="K62" i="86"/>
  <c r="L62" i="86" s="1"/>
  <c r="H62" i="86"/>
  <c r="G62" i="86"/>
  <c r="I62" i="86" s="1"/>
  <c r="F62" i="86"/>
  <c r="L61" i="86"/>
  <c r="I61" i="86"/>
  <c r="M61" i="86" s="1"/>
  <c r="N61" i="86" s="1"/>
  <c r="K60" i="86"/>
  <c r="L60" i="86" s="1"/>
  <c r="H60" i="86"/>
  <c r="G60" i="86"/>
  <c r="I60" i="86" s="1"/>
  <c r="F60" i="86"/>
  <c r="M59" i="86"/>
  <c r="N59" i="86" s="1"/>
  <c r="L59" i="86"/>
  <c r="I59" i="86"/>
  <c r="K58" i="86"/>
  <c r="L58" i="86" s="1"/>
  <c r="H58" i="86"/>
  <c r="G58" i="86"/>
  <c r="I58" i="86" s="1"/>
  <c r="F58" i="86"/>
  <c r="L57" i="86"/>
  <c r="I57" i="86"/>
  <c r="M57" i="86" s="1"/>
  <c r="N57" i="86" s="1"/>
  <c r="K56" i="86"/>
  <c r="L56" i="86" s="1"/>
  <c r="H56" i="86"/>
  <c r="G56" i="86"/>
  <c r="I56" i="86" s="1"/>
  <c r="F56" i="86"/>
  <c r="L55" i="86"/>
  <c r="I55" i="86"/>
  <c r="M55" i="86" s="1"/>
  <c r="N55" i="86" s="1"/>
  <c r="K54" i="86"/>
  <c r="L54" i="86" s="1"/>
  <c r="H54" i="86"/>
  <c r="G54" i="86"/>
  <c r="I54" i="86" s="1"/>
  <c r="F54" i="86"/>
  <c r="M53" i="86"/>
  <c r="N53" i="86" s="1"/>
  <c r="L53" i="86"/>
  <c r="I53" i="86"/>
  <c r="K52" i="86"/>
  <c r="L52" i="86" s="1"/>
  <c r="H52" i="86"/>
  <c r="G52" i="86"/>
  <c r="I52" i="86" s="1"/>
  <c r="F52" i="86"/>
  <c r="H51" i="86"/>
  <c r="F51" i="86"/>
  <c r="J48" i="86"/>
  <c r="L45" i="86"/>
  <c r="I45" i="86"/>
  <c r="M45" i="86" s="1"/>
  <c r="N45" i="86" s="1"/>
  <c r="L44" i="86"/>
  <c r="I44" i="86"/>
  <c r="K43" i="86"/>
  <c r="K42" i="86" s="1"/>
  <c r="J43" i="86"/>
  <c r="J42" i="86" s="1"/>
  <c r="H43" i="86"/>
  <c r="G43" i="86"/>
  <c r="I43" i="86" s="1"/>
  <c r="F43" i="86"/>
  <c r="F42" i="86" s="1"/>
  <c r="H42" i="86"/>
  <c r="M41" i="86"/>
  <c r="N41" i="86" s="1"/>
  <c r="L41" i="86"/>
  <c r="I41" i="86"/>
  <c r="L40" i="86"/>
  <c r="M40" i="86" s="1"/>
  <c r="N40" i="86" s="1"/>
  <c r="L39" i="86"/>
  <c r="M39" i="86" s="1"/>
  <c r="N39" i="86" s="1"/>
  <c r="N38" i="86"/>
  <c r="M38" i="86"/>
  <c r="L38" i="86"/>
  <c r="L37" i="86"/>
  <c r="I37" i="86"/>
  <c r="M37" i="86" s="1"/>
  <c r="N37" i="86" s="1"/>
  <c r="K36" i="86"/>
  <c r="J36" i="86"/>
  <c r="H36" i="86"/>
  <c r="H35" i="86" s="1"/>
  <c r="H34" i="86" s="1"/>
  <c r="H33" i="86" s="1"/>
  <c r="H32" i="86" s="1"/>
  <c r="G36" i="86"/>
  <c r="G35" i="86" s="1"/>
  <c r="I35" i="86" s="1"/>
  <c r="F36" i="86"/>
  <c r="F35" i="86" s="1"/>
  <c r="F34" i="86" s="1"/>
  <c r="K35" i="86"/>
  <c r="L31" i="86"/>
  <c r="I31" i="86"/>
  <c r="K30" i="86"/>
  <c r="K29" i="86" s="1"/>
  <c r="J30" i="86"/>
  <c r="J29" i="86" s="1"/>
  <c r="H30" i="86"/>
  <c r="G30" i="86"/>
  <c r="I30" i="86" s="1"/>
  <c r="F30" i="86"/>
  <c r="F29" i="86" s="1"/>
  <c r="H29" i="86"/>
  <c r="M28" i="86"/>
  <c r="N28" i="86" s="1"/>
  <c r="L28" i="86"/>
  <c r="L27" i="86"/>
  <c r="M27" i="86" s="1"/>
  <c r="N27" i="86" s="1"/>
  <c r="S26" i="86"/>
  <c r="P26" i="86"/>
  <c r="L26" i="86"/>
  <c r="K26" i="86"/>
  <c r="K23" i="86" s="1"/>
  <c r="K22" i="86" s="1"/>
  <c r="I26" i="86"/>
  <c r="M26" i="86" s="1"/>
  <c r="N26" i="86" s="1"/>
  <c r="L25" i="86"/>
  <c r="I25" i="86"/>
  <c r="M25" i="86" s="1"/>
  <c r="N25" i="86" s="1"/>
  <c r="L24" i="86"/>
  <c r="I24" i="86"/>
  <c r="M24" i="86" s="1"/>
  <c r="N24" i="86" s="1"/>
  <c r="J23" i="86"/>
  <c r="L23" i="86" s="1"/>
  <c r="I23" i="86"/>
  <c r="H23" i="86"/>
  <c r="G23" i="86"/>
  <c r="F23" i="86"/>
  <c r="F22" i="86" s="1"/>
  <c r="H22" i="86"/>
  <c r="H21" i="86" s="1"/>
  <c r="H20" i="86" s="1"/>
  <c r="H19" i="86" s="1"/>
  <c r="H18" i="86" s="1"/>
  <c r="G22" i="86"/>
  <c r="T19" i="86"/>
  <c r="U17" i="86"/>
  <c r="K418" i="85"/>
  <c r="K410" i="85"/>
  <c r="K409" i="85"/>
  <c r="K407" i="85"/>
  <c r="H417" i="85"/>
  <c r="H416" i="85"/>
  <c r="H415" i="85"/>
  <c r="H414" i="85"/>
  <c r="H413" i="85"/>
  <c r="H408" i="85"/>
  <c r="T266" i="85"/>
  <c r="H389" i="85"/>
  <c r="H397" i="85"/>
  <c r="H396" i="85"/>
  <c r="H395" i="85"/>
  <c r="H398" i="85"/>
  <c r="H394" i="85"/>
  <c r="H266" i="85"/>
  <c r="K388" i="85"/>
  <c r="S329" i="85"/>
  <c r="S327" i="85"/>
  <c r="S328" i="85"/>
  <c r="S326" i="85"/>
  <c r="S304" i="85"/>
  <c r="S311" i="85"/>
  <c r="S317" i="85"/>
  <c r="S267" i="85"/>
  <c r="S268" i="85"/>
  <c r="S264" i="85"/>
  <c r="S183" i="85"/>
  <c r="S182" i="85"/>
  <c r="S171" i="85"/>
  <c r="S118" i="85"/>
  <c r="S26" i="85"/>
  <c r="K399" i="85"/>
  <c r="K390" i="85"/>
  <c r="K391" i="85"/>
  <c r="K26" i="85"/>
  <c r="K311" i="85"/>
  <c r="K171" i="85"/>
  <c r="K268" i="85"/>
  <c r="K328" i="85"/>
  <c r="K327" i="85"/>
  <c r="K326" i="85"/>
  <c r="K304" i="85"/>
  <c r="K261" i="85"/>
  <c r="K267" i="85"/>
  <c r="K264" i="85"/>
  <c r="K183" i="85"/>
  <c r="K182" i="85"/>
  <c r="K329" i="85"/>
  <c r="M81" i="86" l="1"/>
  <c r="N81" i="86" s="1"/>
  <c r="M70" i="86"/>
  <c r="K34" i="86"/>
  <c r="K33" i="86" s="1"/>
  <c r="K32" i="86" s="1"/>
  <c r="L42" i="86"/>
  <c r="N70" i="86"/>
  <c r="I77" i="86"/>
  <c r="M77" i="86" s="1"/>
  <c r="N77" i="86" s="1"/>
  <c r="M87" i="86"/>
  <c r="N87" i="86" s="1"/>
  <c r="M90" i="86"/>
  <c r="N90" i="86" s="1"/>
  <c r="M93" i="86"/>
  <c r="N93" i="86" s="1"/>
  <c r="M128" i="86"/>
  <c r="N128" i="86" s="1"/>
  <c r="G131" i="86"/>
  <c r="I131" i="86" s="1"/>
  <c r="L132" i="86"/>
  <c r="M132" i="86" s="1"/>
  <c r="M144" i="86"/>
  <c r="N144" i="86" s="1"/>
  <c r="I153" i="86"/>
  <c r="M155" i="86"/>
  <c r="N155" i="86" s="1"/>
  <c r="M196" i="86"/>
  <c r="N196" i="86" s="1"/>
  <c r="G203" i="86"/>
  <c r="G202" i="86" s="1"/>
  <c r="I224" i="86"/>
  <c r="M224" i="86" s="1"/>
  <c r="N224" i="86" s="1"/>
  <c r="I260" i="86"/>
  <c r="M260" i="86" s="1"/>
  <c r="M266" i="86"/>
  <c r="N266" i="86" s="1"/>
  <c r="L273" i="86"/>
  <c r="M410" i="86"/>
  <c r="M52" i="86"/>
  <c r="N52" i="86" s="1"/>
  <c r="I22" i="86"/>
  <c r="M31" i="86"/>
  <c r="N31" i="86" s="1"/>
  <c r="M44" i="86"/>
  <c r="N44" i="86" s="1"/>
  <c r="G51" i="86"/>
  <c r="I51" i="86" s="1"/>
  <c r="N66" i="86"/>
  <c r="M79" i="86"/>
  <c r="K83" i="86"/>
  <c r="M91" i="86"/>
  <c r="N91" i="86" s="1"/>
  <c r="M94" i="86"/>
  <c r="N94" i="86" s="1"/>
  <c r="H139" i="86"/>
  <c r="M145" i="86"/>
  <c r="N145" i="86" s="1"/>
  <c r="I150" i="86"/>
  <c r="M150" i="86" s="1"/>
  <c r="L153" i="86"/>
  <c r="I169" i="86"/>
  <c r="H206" i="86"/>
  <c r="J216" i="86"/>
  <c r="J243" i="86"/>
  <c r="I252" i="86"/>
  <c r="K260" i="86"/>
  <c r="L260" i="86" s="1"/>
  <c r="M293" i="86"/>
  <c r="N293" i="86" s="1"/>
  <c r="I303" i="86"/>
  <c r="M303" i="86" s="1"/>
  <c r="I316" i="86"/>
  <c r="M316" i="86" s="1"/>
  <c r="N316" i="86" s="1"/>
  <c r="I319" i="86"/>
  <c r="I347" i="86"/>
  <c r="J372" i="86"/>
  <c r="J371" i="86" s="1"/>
  <c r="G381" i="86"/>
  <c r="I381" i="86" s="1"/>
  <c r="I408" i="86"/>
  <c r="M408" i="86" s="1"/>
  <c r="M412" i="86"/>
  <c r="M58" i="86"/>
  <c r="N58" i="86" s="1"/>
  <c r="M355" i="86"/>
  <c r="M54" i="86"/>
  <c r="N54" i="86" s="1"/>
  <c r="M60" i="86"/>
  <c r="N60" i="86" s="1"/>
  <c r="M66" i="86"/>
  <c r="M72" i="86"/>
  <c r="N72" i="86" s="1"/>
  <c r="M74" i="86"/>
  <c r="K76" i="86"/>
  <c r="L76" i="86" s="1"/>
  <c r="M108" i="86"/>
  <c r="N108" i="86" s="1"/>
  <c r="M111" i="86"/>
  <c r="N111" i="86" s="1"/>
  <c r="I117" i="86"/>
  <c r="L171" i="86"/>
  <c r="M171" i="86" s="1"/>
  <c r="N171" i="86" s="1"/>
  <c r="N204" i="86"/>
  <c r="L224" i="86"/>
  <c r="M254" i="86"/>
  <c r="N254" i="86" s="1"/>
  <c r="M261" i="86"/>
  <c r="N261" i="86" s="1"/>
  <c r="I263" i="86"/>
  <c r="M265" i="86"/>
  <c r="N265" i="86" s="1"/>
  <c r="I306" i="86"/>
  <c r="M306" i="86" s="1"/>
  <c r="I364" i="86"/>
  <c r="M364" i="86" s="1"/>
  <c r="M374" i="86"/>
  <c r="N374" i="86" s="1"/>
  <c r="L381" i="86"/>
  <c r="L406" i="86"/>
  <c r="S19" i="86"/>
  <c r="I36" i="86"/>
  <c r="K51" i="86"/>
  <c r="L51" i="86" s="1"/>
  <c r="N74" i="86"/>
  <c r="M89" i="86"/>
  <c r="N89" i="86" s="1"/>
  <c r="M92" i="86"/>
  <c r="N92" i="86" s="1"/>
  <c r="L102" i="86"/>
  <c r="J156" i="86"/>
  <c r="K181" i="86"/>
  <c r="G187" i="86"/>
  <c r="I259" i="86"/>
  <c r="I273" i="86"/>
  <c r="M273" i="86" s="1"/>
  <c r="I292" i="86"/>
  <c r="M292" i="86" s="1"/>
  <c r="M294" i="86"/>
  <c r="N294" i="86" s="1"/>
  <c r="J302" i="86"/>
  <c r="L302" i="86" s="1"/>
  <c r="J315" i="86"/>
  <c r="L315" i="86" s="1"/>
  <c r="L335" i="86"/>
  <c r="L387" i="86"/>
  <c r="K406" i="86"/>
  <c r="M64" i="86"/>
  <c r="N64" i="86" s="1"/>
  <c r="I76" i="86"/>
  <c r="M76" i="86" s="1"/>
  <c r="N76" i="86" s="1"/>
  <c r="N150" i="86"/>
  <c r="L322" i="86"/>
  <c r="L36" i="86"/>
  <c r="M56" i="86"/>
  <c r="N56" i="86" s="1"/>
  <c r="M62" i="86"/>
  <c r="N62" i="86" s="1"/>
  <c r="M68" i="86"/>
  <c r="N68" i="86" s="1"/>
  <c r="M75" i="86"/>
  <c r="N75" i="86" s="1"/>
  <c r="H83" i="86"/>
  <c r="M109" i="86"/>
  <c r="N109" i="86" s="1"/>
  <c r="M112" i="86"/>
  <c r="N112" i="86" s="1"/>
  <c r="L127" i="86"/>
  <c r="L143" i="86"/>
  <c r="M182" i="86"/>
  <c r="N182" i="86" s="1"/>
  <c r="K186" i="86"/>
  <c r="K185" i="86" s="1"/>
  <c r="K184" i="86" s="1"/>
  <c r="M215" i="86"/>
  <c r="N215" i="86" s="1"/>
  <c r="M218" i="86"/>
  <c r="N218" i="86" s="1"/>
  <c r="I236" i="86"/>
  <c r="M236" i="86" s="1"/>
  <c r="N236" i="86" s="1"/>
  <c r="M255" i="86"/>
  <c r="N255" i="86" s="1"/>
  <c r="L292" i="86"/>
  <c r="I323" i="86"/>
  <c r="M336" i="86"/>
  <c r="N336" i="86" s="1"/>
  <c r="L360" i="86"/>
  <c r="M380" i="86"/>
  <c r="N380" i="86" s="1"/>
  <c r="M407" i="86"/>
  <c r="F33" i="86"/>
  <c r="I83" i="86"/>
  <c r="H50" i="86"/>
  <c r="H49" i="86" s="1"/>
  <c r="H48" i="86" s="1"/>
  <c r="H47" i="86" s="1"/>
  <c r="L116" i="86"/>
  <c r="J115" i="86"/>
  <c r="L126" i="86"/>
  <c r="L142" i="86"/>
  <c r="J141" i="86"/>
  <c r="I203" i="86"/>
  <c r="M203" i="86" s="1"/>
  <c r="N203" i="86" s="1"/>
  <c r="H202" i="86"/>
  <c r="H201" i="86" s="1"/>
  <c r="H199" i="86" s="1"/>
  <c r="H198" i="86" s="1"/>
  <c r="L29" i="86"/>
  <c r="N79" i="86"/>
  <c r="N84" i="86"/>
  <c r="M95" i="86"/>
  <c r="K148" i="86"/>
  <c r="K147" i="86" s="1"/>
  <c r="K139" i="86" s="1"/>
  <c r="K138" i="86" s="1"/>
  <c r="N157" i="86"/>
  <c r="L176" i="86"/>
  <c r="F186" i="86"/>
  <c r="N188" i="86"/>
  <c r="I202" i="86"/>
  <c r="G50" i="86"/>
  <c r="I101" i="86"/>
  <c r="I180" i="86"/>
  <c r="H175" i="86"/>
  <c r="L181" i="86"/>
  <c r="M181" i="86" s="1"/>
  <c r="N181" i="86" s="1"/>
  <c r="K180" i="86"/>
  <c r="K175" i="86" s="1"/>
  <c r="K174" i="86" s="1"/>
  <c r="K173" i="86" s="1"/>
  <c r="L212" i="86"/>
  <c r="K208" i="86"/>
  <c r="K207" i="86" s="1"/>
  <c r="K206" i="86" s="1"/>
  <c r="F208" i="86"/>
  <c r="N159" i="86"/>
  <c r="N227" i="86"/>
  <c r="I126" i="86"/>
  <c r="G125" i="86"/>
  <c r="I142" i="86"/>
  <c r="M142" i="86" s="1"/>
  <c r="G141" i="86"/>
  <c r="I168" i="86"/>
  <c r="H167" i="86"/>
  <c r="H166" i="86" s="1"/>
  <c r="H165" i="86" s="1"/>
  <c r="I187" i="86"/>
  <c r="M187" i="86" s="1"/>
  <c r="N187" i="86" s="1"/>
  <c r="H186" i="86"/>
  <c r="H185" i="86" s="1"/>
  <c r="H184" i="86" s="1"/>
  <c r="F201" i="86"/>
  <c r="F21" i="86"/>
  <c r="F115" i="86"/>
  <c r="K113" i="86"/>
  <c r="K99" i="86" s="1"/>
  <c r="L99" i="86" s="1"/>
  <c r="M99" i="86" s="1"/>
  <c r="N99" i="86" s="1"/>
  <c r="K47" i="86"/>
  <c r="F166" i="86"/>
  <c r="L169" i="86"/>
  <c r="M169" i="86" s="1"/>
  <c r="N169" i="86" s="1"/>
  <c r="K168" i="86"/>
  <c r="K167" i="86" s="1"/>
  <c r="K166" i="86" s="1"/>
  <c r="K165" i="86" s="1"/>
  <c r="M23" i="86"/>
  <c r="N23" i="86" s="1"/>
  <c r="K21" i="86"/>
  <c r="K20" i="86" s="1"/>
  <c r="K19" i="86" s="1"/>
  <c r="F50" i="86"/>
  <c r="N95" i="86"/>
  <c r="L95" i="86"/>
  <c r="L101" i="86"/>
  <c r="M153" i="86"/>
  <c r="N153" i="86" s="1"/>
  <c r="M162" i="86"/>
  <c r="N162" i="86" s="1"/>
  <c r="L194" i="86"/>
  <c r="M212" i="86"/>
  <c r="G250" i="86"/>
  <c r="F280" i="86"/>
  <c r="K309" i="86"/>
  <c r="L310" i="86"/>
  <c r="L340" i="86"/>
  <c r="J339" i="86"/>
  <c r="F369" i="86"/>
  <c r="L372" i="86"/>
  <c r="K371" i="86"/>
  <c r="K370" i="86" s="1"/>
  <c r="K369" i="86" s="1"/>
  <c r="L378" i="86"/>
  <c r="J377" i="86"/>
  <c r="G29" i="86"/>
  <c r="I29" i="86" s="1"/>
  <c r="J35" i="86"/>
  <c r="L30" i="86"/>
  <c r="M30" i="86" s="1"/>
  <c r="N30" i="86" s="1"/>
  <c r="L43" i="86"/>
  <c r="M43" i="86" s="1"/>
  <c r="N43" i="86" s="1"/>
  <c r="L83" i="86"/>
  <c r="F101" i="86"/>
  <c r="I102" i="86"/>
  <c r="M102" i="86" s="1"/>
  <c r="N102" i="86" s="1"/>
  <c r="L117" i="86"/>
  <c r="F126" i="86"/>
  <c r="I127" i="86"/>
  <c r="F142" i="86"/>
  <c r="I143" i="86"/>
  <c r="M143" i="86" s="1"/>
  <c r="N143" i="86" s="1"/>
  <c r="F149" i="86"/>
  <c r="J149" i="86"/>
  <c r="G156" i="86"/>
  <c r="I156" i="86" s="1"/>
  <c r="K156" i="86"/>
  <c r="L160" i="86"/>
  <c r="M160" i="86" s="1"/>
  <c r="N160" i="86" s="1"/>
  <c r="F175" i="86"/>
  <c r="J175" i="86"/>
  <c r="L177" i="86"/>
  <c r="M177" i="86" s="1"/>
  <c r="N177" i="86" s="1"/>
  <c r="L195" i="86"/>
  <c r="M195" i="86" s="1"/>
  <c r="N195" i="86" s="1"/>
  <c r="G208" i="86"/>
  <c r="I210" i="86"/>
  <c r="M210" i="86" s="1"/>
  <c r="N210" i="86" s="1"/>
  <c r="N212" i="86"/>
  <c r="J222" i="86"/>
  <c r="G223" i="86"/>
  <c r="L223" i="86"/>
  <c r="F226" i="86"/>
  <c r="N226" i="86" s="1"/>
  <c r="F234" i="86"/>
  <c r="H258" i="86"/>
  <c r="H257" i="86" s="1"/>
  <c r="H256" i="86" s="1"/>
  <c r="N303" i="86"/>
  <c r="M309" i="86"/>
  <c r="L354" i="86"/>
  <c r="M360" i="86"/>
  <c r="K359" i="86"/>
  <c r="K358" i="86" s="1"/>
  <c r="K357" i="86" s="1"/>
  <c r="H377" i="86"/>
  <c r="H376" i="86" s="1"/>
  <c r="H375" i="86" s="1"/>
  <c r="N382" i="86"/>
  <c r="F257" i="86"/>
  <c r="F270" i="86"/>
  <c r="L334" i="86"/>
  <c r="J333" i="86"/>
  <c r="F352" i="86"/>
  <c r="N132" i="86"/>
  <c r="I217" i="86"/>
  <c r="M217" i="86" s="1"/>
  <c r="N217" i="86" s="1"/>
  <c r="I235" i="86"/>
  <c r="N260" i="86"/>
  <c r="N273" i="86"/>
  <c r="I291" i="86"/>
  <c r="M291" i="86" s="1"/>
  <c r="N291" i="86" s="1"/>
  <c r="N366" i="86"/>
  <c r="M387" i="86"/>
  <c r="I244" i="86"/>
  <c r="M244" i="86" s="1"/>
  <c r="N244" i="86" s="1"/>
  <c r="G243" i="86"/>
  <c r="F250" i="86"/>
  <c r="J262" i="86"/>
  <c r="F345" i="86"/>
  <c r="I354" i="86"/>
  <c r="M354" i="86" s="1"/>
  <c r="N354" i="86" s="1"/>
  <c r="G353" i="86"/>
  <c r="K351" i="86"/>
  <c r="K350" i="86"/>
  <c r="G42" i="86"/>
  <c r="I42" i="86" s="1"/>
  <c r="M42" i="86" s="1"/>
  <c r="N42" i="86" s="1"/>
  <c r="G116" i="86"/>
  <c r="J131" i="86"/>
  <c r="L131" i="86" s="1"/>
  <c r="M131" i="86" s="1"/>
  <c r="N131" i="86" s="1"/>
  <c r="G159" i="86"/>
  <c r="I159" i="86" s="1"/>
  <c r="M159" i="86" s="1"/>
  <c r="G166" i="86"/>
  <c r="J167" i="86"/>
  <c r="G176" i="86"/>
  <c r="I176" i="86" s="1"/>
  <c r="J186" i="86"/>
  <c r="G194" i="86"/>
  <c r="G201" i="86"/>
  <c r="J202" i="86"/>
  <c r="L309" i="86"/>
  <c r="M379" i="86"/>
  <c r="M381" i="86"/>
  <c r="N381" i="86" s="1"/>
  <c r="L252" i="86"/>
  <c r="M252" i="86" s="1"/>
  <c r="N252" i="86" s="1"/>
  <c r="J251" i="86"/>
  <c r="J258" i="86"/>
  <c r="J271" i="86"/>
  <c r="I302" i="86"/>
  <c r="M302" i="86" s="1"/>
  <c r="N302" i="86" s="1"/>
  <c r="G301" i="86"/>
  <c r="I315" i="86"/>
  <c r="M315" i="86" s="1"/>
  <c r="I334" i="86"/>
  <c r="M334" i="86" s="1"/>
  <c r="G333" i="86"/>
  <c r="F339" i="86"/>
  <c r="F359" i="86"/>
  <c r="I372" i="86"/>
  <c r="G371" i="86"/>
  <c r="F377" i="86"/>
  <c r="J22" i="86"/>
  <c r="G149" i="86"/>
  <c r="L209" i="86"/>
  <c r="M209" i="86" s="1"/>
  <c r="N209" i="86" s="1"/>
  <c r="I213" i="86"/>
  <c r="M213" i="86" s="1"/>
  <c r="N213" i="86" s="1"/>
  <c r="L213" i="86"/>
  <c r="F222" i="86"/>
  <c r="M225" i="86"/>
  <c r="N225" i="86" s="1"/>
  <c r="J232" i="86"/>
  <c r="M233" i="86"/>
  <c r="N233" i="86" s="1"/>
  <c r="G234" i="86"/>
  <c r="G258" i="86"/>
  <c r="I262" i="86"/>
  <c r="G271" i="86"/>
  <c r="K301" i="86"/>
  <c r="K300" i="86" s="1"/>
  <c r="K299" i="86" s="1"/>
  <c r="K298" i="86" s="1"/>
  <c r="K314" i="86"/>
  <c r="K313" i="86" s="1"/>
  <c r="K312" i="86" s="1"/>
  <c r="L319" i="86"/>
  <c r="M319" i="86" s="1"/>
  <c r="M347" i="86"/>
  <c r="N347" i="86" s="1"/>
  <c r="N355" i="86"/>
  <c r="H359" i="86"/>
  <c r="H358" i="86" s="1"/>
  <c r="H357" i="86" s="1"/>
  <c r="H350" i="86" s="1"/>
  <c r="L371" i="86"/>
  <c r="I406" i="86"/>
  <c r="M409" i="86"/>
  <c r="K235" i="86"/>
  <c r="K234" i="86" s="1"/>
  <c r="K232" i="86" s="1"/>
  <c r="K231" i="86" s="1"/>
  <c r="F242" i="86"/>
  <c r="H251" i="86"/>
  <c r="H250" i="86" s="1"/>
  <c r="H249" i="86" s="1"/>
  <c r="H248" i="86" s="1"/>
  <c r="K259" i="86"/>
  <c r="L259" i="86" s="1"/>
  <c r="M259" i="86" s="1"/>
  <c r="N259" i="86" s="1"/>
  <c r="H262" i="86"/>
  <c r="K263" i="86"/>
  <c r="K262" i="86" s="1"/>
  <c r="K272" i="86"/>
  <c r="K271" i="86" s="1"/>
  <c r="K270" i="86" s="1"/>
  <c r="K269" i="86" s="1"/>
  <c r="H281" i="86"/>
  <c r="H291" i="86"/>
  <c r="F309" i="86"/>
  <c r="I310" i="86"/>
  <c r="M310" i="86" s="1"/>
  <c r="N310" i="86" s="1"/>
  <c r="L311" i="86"/>
  <c r="M311" i="86" s="1"/>
  <c r="N311" i="86" s="1"/>
  <c r="F319" i="86"/>
  <c r="F314" i="86" s="1"/>
  <c r="I320" i="86"/>
  <c r="M320" i="86" s="1"/>
  <c r="N320" i="86" s="1"/>
  <c r="L323" i="86"/>
  <c r="M323" i="86" s="1"/>
  <c r="N323" i="86" s="1"/>
  <c r="F334" i="86"/>
  <c r="I335" i="86"/>
  <c r="M335" i="86" s="1"/>
  <c r="N335" i="86" s="1"/>
  <c r="L341" i="86"/>
  <c r="M341" i="86" s="1"/>
  <c r="N341" i="86" s="1"/>
  <c r="G359" i="86"/>
  <c r="F360" i="86"/>
  <c r="N360" i="86" s="1"/>
  <c r="I361" i="86"/>
  <c r="M361" i="86" s="1"/>
  <c r="N361" i="86" s="1"/>
  <c r="I373" i="86"/>
  <c r="M373" i="86" s="1"/>
  <c r="N373" i="86" s="1"/>
  <c r="L379" i="86"/>
  <c r="I394" i="86"/>
  <c r="M394" i="86" s="1"/>
  <c r="N282" i="86"/>
  <c r="N292" i="86"/>
  <c r="N306" i="86"/>
  <c r="N315" i="86"/>
  <c r="N364" i="86"/>
  <c r="G280" i="86"/>
  <c r="J281" i="86"/>
  <c r="J291" i="86"/>
  <c r="L291" i="86" s="1"/>
  <c r="J305" i="86"/>
  <c r="L305" i="86" s="1"/>
  <c r="M305" i="86" s="1"/>
  <c r="N305" i="86" s="1"/>
  <c r="J314" i="86"/>
  <c r="G322" i="86"/>
  <c r="I322" i="86" s="1"/>
  <c r="M322" i="86" s="1"/>
  <c r="N322" i="86" s="1"/>
  <c r="G340" i="86"/>
  <c r="G345" i="86"/>
  <c r="J346" i="86"/>
  <c r="J353" i="86"/>
  <c r="J363" i="86"/>
  <c r="J370" i="86"/>
  <c r="G378" i="86"/>
  <c r="N379" i="86"/>
  <c r="G95" i="85"/>
  <c r="I419" i="85"/>
  <c r="M419" i="85" s="1"/>
  <c r="L418" i="85"/>
  <c r="M418" i="85" s="1"/>
  <c r="I417" i="85"/>
  <c r="M417" i="85" s="1"/>
  <c r="I416" i="85"/>
  <c r="M416" i="85" s="1"/>
  <c r="I415" i="85"/>
  <c r="M415" i="85" s="1"/>
  <c r="I414" i="85"/>
  <c r="M414" i="85" s="1"/>
  <c r="I413" i="85"/>
  <c r="M413" i="85" s="1"/>
  <c r="L412" i="85"/>
  <c r="I412" i="85"/>
  <c r="L410" i="85"/>
  <c r="I410" i="85"/>
  <c r="L409" i="85"/>
  <c r="I409" i="85"/>
  <c r="L408" i="85"/>
  <c r="I408" i="85"/>
  <c r="L407" i="85"/>
  <c r="I407" i="85"/>
  <c r="K406" i="85"/>
  <c r="J406" i="85"/>
  <c r="H406" i="85"/>
  <c r="G406" i="85"/>
  <c r="I400" i="85"/>
  <c r="M400" i="85" s="1"/>
  <c r="L399" i="85"/>
  <c r="M399" i="85" s="1"/>
  <c r="I398" i="85"/>
  <c r="M398" i="85" s="1"/>
  <c r="I397" i="85"/>
  <c r="M397" i="85" s="1"/>
  <c r="I396" i="85"/>
  <c r="M396" i="85" s="1"/>
  <c r="I395" i="85"/>
  <c r="M395" i="85" s="1"/>
  <c r="L394" i="85"/>
  <c r="I394" i="85"/>
  <c r="L393" i="85"/>
  <c r="I393" i="85"/>
  <c r="L391" i="85"/>
  <c r="I391" i="85"/>
  <c r="L390" i="85"/>
  <c r="I390" i="85"/>
  <c r="L389" i="85"/>
  <c r="I389" i="85"/>
  <c r="L388" i="85"/>
  <c r="I388" i="85"/>
  <c r="K387" i="85"/>
  <c r="J387" i="85"/>
  <c r="H387" i="85"/>
  <c r="G387" i="85"/>
  <c r="L383" i="85"/>
  <c r="I383" i="85"/>
  <c r="M383" i="85" s="1"/>
  <c r="N383" i="85" s="1"/>
  <c r="K382" i="85"/>
  <c r="K381" i="85" s="1"/>
  <c r="L381" i="85" s="1"/>
  <c r="J382" i="85"/>
  <c r="J381" i="85" s="1"/>
  <c r="H382" i="85"/>
  <c r="G382" i="85"/>
  <c r="F382" i="85"/>
  <c r="F381" i="85" s="1"/>
  <c r="H381" i="85"/>
  <c r="M380" i="85"/>
  <c r="N380" i="85" s="1"/>
  <c r="L380" i="85"/>
  <c r="I380" i="85"/>
  <c r="K379" i="85"/>
  <c r="K378" i="85" s="1"/>
  <c r="K377" i="85" s="1"/>
  <c r="K376" i="85" s="1"/>
  <c r="K375" i="85" s="1"/>
  <c r="J379" i="85"/>
  <c r="I379" i="85"/>
  <c r="H379" i="85"/>
  <c r="H378" i="85" s="1"/>
  <c r="G379" i="85"/>
  <c r="G378" i="85" s="1"/>
  <c r="I378" i="85" s="1"/>
  <c r="F379" i="85"/>
  <c r="F378" i="85"/>
  <c r="F377" i="85" s="1"/>
  <c r="L374" i="85"/>
  <c r="I374" i="85"/>
  <c r="M374" i="85" s="1"/>
  <c r="N374" i="85" s="1"/>
  <c r="K373" i="85"/>
  <c r="K372" i="85" s="1"/>
  <c r="K371" i="85" s="1"/>
  <c r="K370" i="85" s="1"/>
  <c r="K369" i="85" s="1"/>
  <c r="J373" i="85"/>
  <c r="H373" i="85"/>
  <c r="H372" i="85" s="1"/>
  <c r="H371" i="85" s="1"/>
  <c r="H370" i="85" s="1"/>
  <c r="H369" i="85" s="1"/>
  <c r="G373" i="85"/>
  <c r="I373" i="85" s="1"/>
  <c r="F373" i="85"/>
  <c r="F372" i="85" s="1"/>
  <c r="L368" i="85"/>
  <c r="I368" i="85"/>
  <c r="M368" i="85" s="1"/>
  <c r="N368" i="85" s="1"/>
  <c r="L367" i="85"/>
  <c r="I367" i="85"/>
  <c r="M367" i="85" s="1"/>
  <c r="N367" i="85" s="1"/>
  <c r="K366" i="85"/>
  <c r="J366" i="85"/>
  <c r="H366" i="85"/>
  <c r="G366" i="85"/>
  <c r="I366" i="85" s="1"/>
  <c r="F366" i="85"/>
  <c r="L365" i="85"/>
  <c r="I365" i="85"/>
  <c r="K364" i="85"/>
  <c r="J364" i="85"/>
  <c r="J363" i="85" s="1"/>
  <c r="H364" i="85"/>
  <c r="H363" i="85" s="1"/>
  <c r="G364" i="85"/>
  <c r="G363" i="85" s="1"/>
  <c r="F364" i="85"/>
  <c r="L362" i="85"/>
  <c r="I362" i="85"/>
  <c r="M362" i="85" s="1"/>
  <c r="N362" i="85" s="1"/>
  <c r="K361" i="85"/>
  <c r="K360" i="85" s="1"/>
  <c r="J361" i="85"/>
  <c r="H361" i="85"/>
  <c r="H360" i="85" s="1"/>
  <c r="G361" i="85"/>
  <c r="I361" i="85" s="1"/>
  <c r="F361" i="85"/>
  <c r="F360" i="85" s="1"/>
  <c r="L356" i="85"/>
  <c r="I356" i="85"/>
  <c r="M356" i="85" s="1"/>
  <c r="N356" i="85" s="1"/>
  <c r="K355" i="85"/>
  <c r="K354" i="85" s="1"/>
  <c r="J355" i="85"/>
  <c r="J354" i="85" s="1"/>
  <c r="J353" i="85" s="1"/>
  <c r="H355" i="85"/>
  <c r="G355" i="85"/>
  <c r="F355" i="85"/>
  <c r="F354" i="85" s="1"/>
  <c r="H354" i="85"/>
  <c r="H353" i="85" s="1"/>
  <c r="H352" i="85" s="1"/>
  <c r="H351" i="85" s="1"/>
  <c r="M348" i="85"/>
  <c r="N348" i="85" s="1"/>
  <c r="L348" i="85"/>
  <c r="K347" i="85"/>
  <c r="K346" i="85" s="1"/>
  <c r="K345" i="85" s="1"/>
  <c r="J347" i="85"/>
  <c r="J346" i="85" s="1"/>
  <c r="L346" i="85" s="1"/>
  <c r="H347" i="85"/>
  <c r="H346" i="85" s="1"/>
  <c r="H345" i="85" s="1"/>
  <c r="H344" i="85" s="1"/>
  <c r="G347" i="85"/>
  <c r="G346" i="85" s="1"/>
  <c r="F347" i="85"/>
  <c r="K344" i="85"/>
  <c r="K343" i="85" s="1"/>
  <c r="H343" i="85"/>
  <c r="M342" i="85"/>
  <c r="N342" i="85" s="1"/>
  <c r="L342" i="85"/>
  <c r="I342" i="85"/>
  <c r="K341" i="85"/>
  <c r="K340" i="85" s="1"/>
  <c r="K339" i="85" s="1"/>
  <c r="K338" i="85" s="1"/>
  <c r="K337" i="85" s="1"/>
  <c r="J341" i="85"/>
  <c r="I341" i="85"/>
  <c r="H341" i="85"/>
  <c r="H340" i="85" s="1"/>
  <c r="H339" i="85" s="1"/>
  <c r="H338" i="85" s="1"/>
  <c r="H337" i="85" s="1"/>
  <c r="G341" i="85"/>
  <c r="G340" i="85" s="1"/>
  <c r="F341" i="85"/>
  <c r="F340" i="85"/>
  <c r="F339" i="85" s="1"/>
  <c r="G339" i="85"/>
  <c r="L336" i="85"/>
  <c r="I336" i="85"/>
  <c r="M336" i="85" s="1"/>
  <c r="N336" i="85" s="1"/>
  <c r="K335" i="85"/>
  <c r="K334" i="85" s="1"/>
  <c r="K333" i="85" s="1"/>
  <c r="K332" i="85" s="1"/>
  <c r="K331" i="85" s="1"/>
  <c r="J335" i="85"/>
  <c r="H335" i="85"/>
  <c r="H334" i="85" s="1"/>
  <c r="H333" i="85" s="1"/>
  <c r="H332" i="85" s="1"/>
  <c r="H331" i="85" s="1"/>
  <c r="G335" i="85"/>
  <c r="I335" i="85" s="1"/>
  <c r="F335" i="85"/>
  <c r="F334" i="85" s="1"/>
  <c r="L330" i="85"/>
  <c r="I330" i="85"/>
  <c r="M330" i="85" s="1"/>
  <c r="N330" i="85" s="1"/>
  <c r="L329" i="85"/>
  <c r="M329" i="85" s="1"/>
  <c r="N329" i="85" s="1"/>
  <c r="L328" i="85"/>
  <c r="M328" i="85" s="1"/>
  <c r="N328" i="85" s="1"/>
  <c r="L327" i="85"/>
  <c r="M327" i="85" s="1"/>
  <c r="N327" i="85" s="1"/>
  <c r="L326" i="85"/>
  <c r="M326" i="85" s="1"/>
  <c r="N326" i="85" s="1"/>
  <c r="L325" i="85"/>
  <c r="M325" i="85" s="1"/>
  <c r="N325" i="85" s="1"/>
  <c r="N324" i="85"/>
  <c r="M324" i="85"/>
  <c r="L324" i="85"/>
  <c r="K323" i="85"/>
  <c r="K322" i="85" s="1"/>
  <c r="J323" i="85"/>
  <c r="J322" i="85" s="1"/>
  <c r="H323" i="85"/>
  <c r="G323" i="85"/>
  <c r="G322" i="85" s="1"/>
  <c r="F323" i="85"/>
  <c r="F322" i="85"/>
  <c r="L321" i="85"/>
  <c r="M321" i="85" s="1"/>
  <c r="N321" i="85" s="1"/>
  <c r="K320" i="85"/>
  <c r="J320" i="85"/>
  <c r="H320" i="85"/>
  <c r="H319" i="85" s="1"/>
  <c r="G320" i="85"/>
  <c r="I320" i="85" s="1"/>
  <c r="F320" i="85"/>
  <c r="F319" i="85" s="1"/>
  <c r="K319" i="85"/>
  <c r="L318" i="85"/>
  <c r="M318" i="85" s="1"/>
  <c r="N318" i="85" s="1"/>
  <c r="L317" i="85"/>
  <c r="M317" i="85" s="1"/>
  <c r="N317" i="85" s="1"/>
  <c r="K316" i="85"/>
  <c r="J316" i="85"/>
  <c r="I316" i="85"/>
  <c r="H316" i="85"/>
  <c r="H315" i="85" s="1"/>
  <c r="G316" i="85"/>
  <c r="F316" i="85"/>
  <c r="F315" i="85" s="1"/>
  <c r="K315" i="85"/>
  <c r="G315" i="85"/>
  <c r="L311" i="85"/>
  <c r="I311" i="85"/>
  <c r="K310" i="85"/>
  <c r="K309" i="85" s="1"/>
  <c r="J310" i="85"/>
  <c r="J309" i="85" s="1"/>
  <c r="H310" i="85"/>
  <c r="H309" i="85" s="1"/>
  <c r="G310" i="85"/>
  <c r="F310" i="85"/>
  <c r="F309" i="85" s="1"/>
  <c r="L308" i="85"/>
  <c r="I308" i="85"/>
  <c r="L307" i="85"/>
  <c r="I307" i="85"/>
  <c r="K306" i="85"/>
  <c r="K305" i="85" s="1"/>
  <c r="J306" i="85"/>
  <c r="J305" i="85" s="1"/>
  <c r="H306" i="85"/>
  <c r="H305" i="85" s="1"/>
  <c r="G306" i="85"/>
  <c r="G305" i="85" s="1"/>
  <c r="F306" i="85"/>
  <c r="F305" i="85"/>
  <c r="L304" i="85"/>
  <c r="M304" i="85" s="1"/>
  <c r="N304" i="85" s="1"/>
  <c r="K303" i="85"/>
  <c r="K302" i="85" s="1"/>
  <c r="J303" i="85"/>
  <c r="H303" i="85"/>
  <c r="H302" i="85" s="1"/>
  <c r="G303" i="85"/>
  <c r="F303" i="85"/>
  <c r="F302" i="85" s="1"/>
  <c r="L296" i="85"/>
  <c r="M296" i="85" s="1"/>
  <c r="N296" i="85" s="1"/>
  <c r="L295" i="85"/>
  <c r="I295" i="85"/>
  <c r="L294" i="85"/>
  <c r="I294" i="85"/>
  <c r="L293" i="85"/>
  <c r="I293" i="85"/>
  <c r="M293" i="85" s="1"/>
  <c r="N293" i="85" s="1"/>
  <c r="K292" i="85"/>
  <c r="K291" i="85" s="1"/>
  <c r="J292" i="85"/>
  <c r="J291" i="85" s="1"/>
  <c r="H292" i="85"/>
  <c r="G292" i="85"/>
  <c r="F292" i="85"/>
  <c r="F291" i="85" s="1"/>
  <c r="H291" i="85"/>
  <c r="L290" i="85"/>
  <c r="M290" i="85" s="1"/>
  <c r="N290" i="85" s="1"/>
  <c r="L289" i="85"/>
  <c r="M289" i="85" s="1"/>
  <c r="N289" i="85" s="1"/>
  <c r="L288" i="85"/>
  <c r="M288" i="85" s="1"/>
  <c r="N288" i="85" s="1"/>
  <c r="M287" i="85"/>
  <c r="N287" i="85" s="1"/>
  <c r="L287" i="85"/>
  <c r="I287" i="85"/>
  <c r="L286" i="85"/>
  <c r="M286" i="85" s="1"/>
  <c r="N286" i="85" s="1"/>
  <c r="M285" i="85"/>
  <c r="N285" i="85" s="1"/>
  <c r="L285" i="85"/>
  <c r="L284" i="85"/>
  <c r="M284" i="85" s="1"/>
  <c r="N284" i="85" s="1"/>
  <c r="L283" i="85"/>
  <c r="I283" i="85"/>
  <c r="M283" i="85" s="1"/>
  <c r="N283" i="85" s="1"/>
  <c r="K282" i="85"/>
  <c r="K281" i="85" s="1"/>
  <c r="J282" i="85"/>
  <c r="J281" i="85" s="1"/>
  <c r="H282" i="85"/>
  <c r="G282" i="85"/>
  <c r="F282" i="85"/>
  <c r="F281" i="85" s="1"/>
  <c r="H281" i="85"/>
  <c r="L277" i="85"/>
  <c r="I277" i="85"/>
  <c r="I276" i="85"/>
  <c r="M276" i="85" s="1"/>
  <c r="N276" i="85" s="1"/>
  <c r="I275" i="85"/>
  <c r="M275" i="85" s="1"/>
  <c r="N275" i="85" s="1"/>
  <c r="M274" i="85"/>
  <c r="N274" i="85" s="1"/>
  <c r="L274" i="85"/>
  <c r="I274" i="85"/>
  <c r="K273" i="85"/>
  <c r="J273" i="85"/>
  <c r="L273" i="85" s="1"/>
  <c r="H273" i="85"/>
  <c r="G273" i="85"/>
  <c r="F273" i="85"/>
  <c r="K272" i="85"/>
  <c r="K271" i="85" s="1"/>
  <c r="K270" i="85" s="1"/>
  <c r="K269" i="85" s="1"/>
  <c r="J272" i="85"/>
  <c r="G272" i="85"/>
  <c r="G271" i="85" s="1"/>
  <c r="F272" i="85"/>
  <c r="F271" i="85" s="1"/>
  <c r="L268" i="85"/>
  <c r="I268" i="85"/>
  <c r="L267" i="85"/>
  <c r="I267" i="85"/>
  <c r="L266" i="85"/>
  <c r="I266" i="85"/>
  <c r="L265" i="85"/>
  <c r="I265" i="85"/>
  <c r="L264" i="85"/>
  <c r="I264" i="85"/>
  <c r="K263" i="85"/>
  <c r="K262" i="85" s="1"/>
  <c r="J263" i="85"/>
  <c r="J262" i="85" s="1"/>
  <c r="H263" i="85"/>
  <c r="H262" i="85" s="1"/>
  <c r="G263" i="85"/>
  <c r="F263" i="85"/>
  <c r="L261" i="85"/>
  <c r="I261" i="85"/>
  <c r="K260" i="85"/>
  <c r="K259" i="85" s="1"/>
  <c r="J260" i="85"/>
  <c r="H260" i="85"/>
  <c r="H259" i="85" s="1"/>
  <c r="G260" i="85"/>
  <c r="G259" i="85" s="1"/>
  <c r="I259" i="85" s="1"/>
  <c r="F260" i="85"/>
  <c r="J259" i="85"/>
  <c r="L255" i="85"/>
  <c r="I255" i="85"/>
  <c r="M255" i="85" s="1"/>
  <c r="N255" i="85" s="1"/>
  <c r="L254" i="85"/>
  <c r="I254" i="85"/>
  <c r="M254" i="85" s="1"/>
  <c r="N254" i="85" s="1"/>
  <c r="L253" i="85"/>
  <c r="I253" i="85"/>
  <c r="M253" i="85" s="1"/>
  <c r="N253" i="85" s="1"/>
  <c r="K252" i="85"/>
  <c r="K251" i="85" s="1"/>
  <c r="K250" i="85" s="1"/>
  <c r="K249" i="85" s="1"/>
  <c r="K248" i="85" s="1"/>
  <c r="J252" i="85"/>
  <c r="H252" i="85"/>
  <c r="H251" i="85" s="1"/>
  <c r="H250" i="85" s="1"/>
  <c r="H249" i="85" s="1"/>
  <c r="H248" i="85" s="1"/>
  <c r="G252" i="85"/>
  <c r="I252" i="85" s="1"/>
  <c r="F252" i="85"/>
  <c r="F251" i="85" s="1"/>
  <c r="I245" i="85"/>
  <c r="M245" i="85" s="1"/>
  <c r="N245" i="85" s="1"/>
  <c r="K244" i="85"/>
  <c r="K243" i="85" s="1"/>
  <c r="K242" i="85" s="1"/>
  <c r="K241" i="85" s="1"/>
  <c r="K240" i="85" s="1"/>
  <c r="K239" i="85" s="1"/>
  <c r="J244" i="85"/>
  <c r="J243" i="85" s="1"/>
  <c r="L243" i="85" s="1"/>
  <c r="H244" i="85"/>
  <c r="G244" i="85"/>
  <c r="F244" i="85"/>
  <c r="H243" i="85"/>
  <c r="H242" i="85" s="1"/>
  <c r="H241" i="85" s="1"/>
  <c r="H240" i="85" s="1"/>
  <c r="H239" i="85" s="1"/>
  <c r="L237" i="85"/>
  <c r="M237" i="85" s="1"/>
  <c r="N237" i="85" s="1"/>
  <c r="I237" i="85"/>
  <c r="K236" i="85"/>
  <c r="J236" i="85"/>
  <c r="L236" i="85" s="1"/>
  <c r="H236" i="85"/>
  <c r="G236" i="85"/>
  <c r="F236" i="85"/>
  <c r="K235" i="85"/>
  <c r="J235" i="85"/>
  <c r="G235" i="85"/>
  <c r="F235" i="85"/>
  <c r="K234" i="85"/>
  <c r="K232" i="85" s="1"/>
  <c r="J234" i="85"/>
  <c r="J232" i="85" s="1"/>
  <c r="J231" i="85" s="1"/>
  <c r="F234" i="85"/>
  <c r="L233" i="85"/>
  <c r="I233" i="85"/>
  <c r="M233" i="85" s="1"/>
  <c r="N233" i="85" s="1"/>
  <c r="F232" i="85"/>
  <c r="F231" i="85"/>
  <c r="L230" i="85"/>
  <c r="I230" i="85"/>
  <c r="L229" i="85"/>
  <c r="I229" i="85"/>
  <c r="M229" i="85" s="1"/>
  <c r="N229" i="85" s="1"/>
  <c r="L228" i="85"/>
  <c r="M228" i="85" s="1"/>
  <c r="N228" i="85" s="1"/>
  <c r="I228" i="85"/>
  <c r="K227" i="85"/>
  <c r="J227" i="85"/>
  <c r="H227" i="85"/>
  <c r="G227" i="85"/>
  <c r="F227" i="85"/>
  <c r="K226" i="85"/>
  <c r="J226" i="85"/>
  <c r="L226" i="85" s="1"/>
  <c r="H226" i="85"/>
  <c r="G226" i="85"/>
  <c r="F226" i="85"/>
  <c r="F222" i="85" s="1"/>
  <c r="L225" i="85"/>
  <c r="I225" i="85"/>
  <c r="M225" i="85" s="1"/>
  <c r="N225" i="85" s="1"/>
  <c r="K224" i="85"/>
  <c r="K223" i="85" s="1"/>
  <c r="J224" i="85"/>
  <c r="L224" i="85" s="1"/>
  <c r="I224" i="85"/>
  <c r="M224" i="85" s="1"/>
  <c r="H224" i="85"/>
  <c r="G224" i="85"/>
  <c r="G223" i="85" s="1"/>
  <c r="I223" i="85" s="1"/>
  <c r="F224" i="85"/>
  <c r="F223" i="85" s="1"/>
  <c r="J223" i="85"/>
  <c r="L223" i="85" s="1"/>
  <c r="H223" i="85"/>
  <c r="H222" i="85" s="1"/>
  <c r="K222" i="85"/>
  <c r="K221" i="85" s="1"/>
  <c r="M220" i="85"/>
  <c r="N220" i="85" s="1"/>
  <c r="I220" i="85"/>
  <c r="N219" i="85"/>
  <c r="L219" i="85"/>
  <c r="M219" i="85" s="1"/>
  <c r="L218" i="85"/>
  <c r="I218" i="85"/>
  <c r="M218" i="85" s="1"/>
  <c r="N218" i="85" s="1"/>
  <c r="K217" i="85"/>
  <c r="J217" i="85"/>
  <c r="H217" i="85"/>
  <c r="H216" i="85" s="1"/>
  <c r="G217" i="85"/>
  <c r="F217" i="85"/>
  <c r="K216" i="85"/>
  <c r="J216" i="85"/>
  <c r="L216" i="85" s="1"/>
  <c r="F216" i="85"/>
  <c r="L215" i="85"/>
  <c r="I215" i="85"/>
  <c r="M215" i="85" s="1"/>
  <c r="N215" i="85" s="1"/>
  <c r="L214" i="85"/>
  <c r="M214" i="85" s="1"/>
  <c r="N214" i="85" s="1"/>
  <c r="I214" i="85"/>
  <c r="K213" i="85"/>
  <c r="K212" i="85" s="1"/>
  <c r="J213" i="85"/>
  <c r="H213" i="85"/>
  <c r="H212" i="85" s="1"/>
  <c r="H208" i="85" s="1"/>
  <c r="H207" i="85" s="1"/>
  <c r="G213" i="85"/>
  <c r="G212" i="85" s="1"/>
  <c r="F213" i="85"/>
  <c r="F212" i="85"/>
  <c r="L211" i="85"/>
  <c r="I211" i="85"/>
  <c r="M211" i="85" s="1"/>
  <c r="N211" i="85" s="1"/>
  <c r="K210" i="85"/>
  <c r="J210" i="85"/>
  <c r="H210" i="85"/>
  <c r="G210" i="85"/>
  <c r="I210" i="85" s="1"/>
  <c r="F210" i="85"/>
  <c r="F209" i="85" s="1"/>
  <c r="F208" i="85" s="1"/>
  <c r="K209" i="85"/>
  <c r="J209" i="85"/>
  <c r="H209" i="85"/>
  <c r="L205" i="85"/>
  <c r="I205" i="85"/>
  <c r="K204" i="85"/>
  <c r="J204" i="85"/>
  <c r="J203" i="85" s="1"/>
  <c r="L203" i="85" s="1"/>
  <c r="H204" i="85"/>
  <c r="H203" i="85" s="1"/>
  <c r="H202" i="85" s="1"/>
  <c r="H201" i="85" s="1"/>
  <c r="H199" i="85" s="1"/>
  <c r="H198" i="85" s="1"/>
  <c r="G204" i="85"/>
  <c r="G203" i="85" s="1"/>
  <c r="G202" i="85" s="1"/>
  <c r="I202" i="85" s="1"/>
  <c r="F204" i="85"/>
  <c r="F203" i="85" s="1"/>
  <c r="F202" i="85" s="1"/>
  <c r="K203" i="85"/>
  <c r="K202" i="85" s="1"/>
  <c r="K201" i="85" s="1"/>
  <c r="K199" i="85" s="1"/>
  <c r="K198" i="85" s="1"/>
  <c r="J202" i="85"/>
  <c r="L202" i="85" s="1"/>
  <c r="J201" i="85"/>
  <c r="L201" i="85" s="1"/>
  <c r="L200" i="85"/>
  <c r="I200" i="85"/>
  <c r="M200" i="85" s="1"/>
  <c r="N200" i="85" s="1"/>
  <c r="F199" i="85"/>
  <c r="F198" i="85" s="1"/>
  <c r="L197" i="85"/>
  <c r="I197" i="85"/>
  <c r="M196" i="85"/>
  <c r="N196" i="85" s="1"/>
  <c r="L196" i="85"/>
  <c r="I196" i="85"/>
  <c r="K195" i="85"/>
  <c r="K194" i="85" s="1"/>
  <c r="J195" i="85"/>
  <c r="L195" i="85" s="1"/>
  <c r="H195" i="85"/>
  <c r="G195" i="85"/>
  <c r="G194" i="85" s="1"/>
  <c r="F195" i="85"/>
  <c r="F194" i="85"/>
  <c r="L193" i="85"/>
  <c r="M193" i="85" s="1"/>
  <c r="N193" i="85" s="1"/>
  <c r="L192" i="85"/>
  <c r="M192" i="85" s="1"/>
  <c r="N192" i="85" s="1"/>
  <c r="L191" i="85"/>
  <c r="M191" i="85" s="1"/>
  <c r="N191" i="85" s="1"/>
  <c r="L190" i="85"/>
  <c r="M190" i="85" s="1"/>
  <c r="N190" i="85" s="1"/>
  <c r="L189" i="85"/>
  <c r="I189" i="85"/>
  <c r="M189" i="85" s="1"/>
  <c r="N189" i="85" s="1"/>
  <c r="K188" i="85"/>
  <c r="K187" i="85" s="1"/>
  <c r="J188" i="85"/>
  <c r="J187" i="85" s="1"/>
  <c r="H188" i="85"/>
  <c r="G188" i="85"/>
  <c r="I188" i="85" s="1"/>
  <c r="F188" i="85"/>
  <c r="F187" i="85" s="1"/>
  <c r="H187" i="85"/>
  <c r="L183" i="85"/>
  <c r="M183" i="85" s="1"/>
  <c r="N183" i="85" s="1"/>
  <c r="L182" i="85"/>
  <c r="I182" i="85"/>
  <c r="K181" i="85"/>
  <c r="K180" i="85" s="1"/>
  <c r="K175" i="85" s="1"/>
  <c r="K174" i="85" s="1"/>
  <c r="K173" i="85" s="1"/>
  <c r="J181" i="85"/>
  <c r="J180" i="85" s="1"/>
  <c r="H181" i="85"/>
  <c r="H180" i="85" s="1"/>
  <c r="G181" i="85"/>
  <c r="I181" i="85" s="1"/>
  <c r="F181" i="85"/>
  <c r="F180" i="85" s="1"/>
  <c r="L179" i="85"/>
  <c r="I179" i="85"/>
  <c r="L178" i="85"/>
  <c r="I178" i="85"/>
  <c r="M178" i="85" s="1"/>
  <c r="N178" i="85" s="1"/>
  <c r="K177" i="85"/>
  <c r="K176" i="85" s="1"/>
  <c r="J177" i="85"/>
  <c r="L177" i="85" s="1"/>
  <c r="H177" i="85"/>
  <c r="H176" i="85" s="1"/>
  <c r="G177" i="85"/>
  <c r="G176" i="85" s="1"/>
  <c r="F177" i="85"/>
  <c r="J176" i="85"/>
  <c r="L176" i="85" s="1"/>
  <c r="F176" i="85"/>
  <c r="M172" i="85"/>
  <c r="N172" i="85" s="1"/>
  <c r="L172" i="85"/>
  <c r="L171" i="85"/>
  <c r="I171" i="85"/>
  <c r="L170" i="85"/>
  <c r="M170" i="85" s="1"/>
  <c r="N170" i="85" s="1"/>
  <c r="I170" i="85"/>
  <c r="K169" i="85"/>
  <c r="K168" i="85" s="1"/>
  <c r="K167" i="85" s="1"/>
  <c r="K166" i="85" s="1"/>
  <c r="K165" i="85" s="1"/>
  <c r="J169" i="85"/>
  <c r="H169" i="85"/>
  <c r="H168" i="85" s="1"/>
  <c r="H167" i="85" s="1"/>
  <c r="H166" i="85" s="1"/>
  <c r="H165" i="85" s="1"/>
  <c r="G169" i="85"/>
  <c r="G168" i="85" s="1"/>
  <c r="F169" i="85"/>
  <c r="J168" i="85"/>
  <c r="F168" i="85"/>
  <c r="F167" i="85" s="1"/>
  <c r="L164" i="85"/>
  <c r="I164" i="85"/>
  <c r="L163" i="85"/>
  <c r="M163" i="85" s="1"/>
  <c r="N163" i="85" s="1"/>
  <c r="I163" i="85"/>
  <c r="L162" i="85"/>
  <c r="K162" i="85"/>
  <c r="J162" i="85"/>
  <c r="H162" i="85"/>
  <c r="I162" i="85" s="1"/>
  <c r="M162" i="85" s="1"/>
  <c r="G162" i="85"/>
  <c r="F162" i="85"/>
  <c r="M161" i="85"/>
  <c r="N161" i="85" s="1"/>
  <c r="L161" i="85"/>
  <c r="I161" i="85"/>
  <c r="K160" i="85"/>
  <c r="K159" i="85" s="1"/>
  <c r="J160" i="85"/>
  <c r="H160" i="85"/>
  <c r="G160" i="85"/>
  <c r="G159" i="85" s="1"/>
  <c r="F160" i="85"/>
  <c r="J159" i="85"/>
  <c r="F159" i="85"/>
  <c r="L158" i="85"/>
  <c r="I158" i="85"/>
  <c r="M158" i="85" s="1"/>
  <c r="N158" i="85" s="1"/>
  <c r="K157" i="85"/>
  <c r="L157" i="85" s="1"/>
  <c r="J157" i="85"/>
  <c r="H157" i="85"/>
  <c r="G157" i="85"/>
  <c r="F157" i="85"/>
  <c r="J156" i="85"/>
  <c r="H156" i="85"/>
  <c r="F156" i="85"/>
  <c r="M155" i="85"/>
  <c r="N155" i="85" s="1"/>
  <c r="L155" i="85"/>
  <c r="I155" i="85"/>
  <c r="M154" i="85"/>
  <c r="N154" i="85" s="1"/>
  <c r="L154" i="85"/>
  <c r="I154" i="85"/>
  <c r="K153" i="85"/>
  <c r="K149" i="85" s="1"/>
  <c r="J153" i="85"/>
  <c r="H153" i="85"/>
  <c r="H149" i="85" s="1"/>
  <c r="G153" i="85"/>
  <c r="I153" i="85" s="1"/>
  <c r="F153" i="85"/>
  <c r="L152" i="85"/>
  <c r="I152" i="85"/>
  <c r="L151" i="85"/>
  <c r="I151" i="85"/>
  <c r="M151" i="85" s="1"/>
  <c r="N151" i="85" s="1"/>
  <c r="K150" i="85"/>
  <c r="J150" i="85"/>
  <c r="H150" i="85"/>
  <c r="G150" i="85"/>
  <c r="F150" i="85"/>
  <c r="G149" i="85"/>
  <c r="L146" i="85"/>
  <c r="I146" i="85"/>
  <c r="L145" i="85"/>
  <c r="I145" i="85"/>
  <c r="M145" i="85" s="1"/>
  <c r="N145" i="85" s="1"/>
  <c r="L144" i="85"/>
  <c r="I144" i="85"/>
  <c r="M144" i="85" s="1"/>
  <c r="N144" i="85" s="1"/>
  <c r="K143" i="85"/>
  <c r="K142" i="85" s="1"/>
  <c r="K141" i="85" s="1"/>
  <c r="K140" i="85" s="1"/>
  <c r="J143" i="85"/>
  <c r="H143" i="85"/>
  <c r="H142" i="85" s="1"/>
  <c r="H141" i="85" s="1"/>
  <c r="H140" i="85" s="1"/>
  <c r="G143" i="85"/>
  <c r="I143" i="85" s="1"/>
  <c r="F143" i="85"/>
  <c r="G142" i="85"/>
  <c r="I142" i="85" s="1"/>
  <c r="L136" i="85"/>
  <c r="I136" i="85"/>
  <c r="L135" i="85"/>
  <c r="M135" i="85" s="1"/>
  <c r="N135" i="85" s="1"/>
  <c r="I135" i="85"/>
  <c r="L134" i="85"/>
  <c r="I134" i="85"/>
  <c r="L133" i="85"/>
  <c r="M133" i="85" s="1"/>
  <c r="N133" i="85" s="1"/>
  <c r="I133" i="85"/>
  <c r="L132" i="85"/>
  <c r="K132" i="85"/>
  <c r="J132" i="85"/>
  <c r="J131" i="85" s="1"/>
  <c r="H132" i="85"/>
  <c r="I132" i="85" s="1"/>
  <c r="M132" i="85" s="1"/>
  <c r="G132" i="85"/>
  <c r="G131" i="85" s="1"/>
  <c r="F132" i="85"/>
  <c r="F131" i="85" s="1"/>
  <c r="K131" i="85"/>
  <c r="L130" i="85"/>
  <c r="I130" i="85"/>
  <c r="M130" i="85" s="1"/>
  <c r="N130" i="85" s="1"/>
  <c r="L129" i="85"/>
  <c r="I129" i="85"/>
  <c r="M129" i="85" s="1"/>
  <c r="N129" i="85" s="1"/>
  <c r="L128" i="85"/>
  <c r="I128" i="85"/>
  <c r="K127" i="85"/>
  <c r="K126" i="85" s="1"/>
  <c r="J127" i="85"/>
  <c r="H127" i="85"/>
  <c r="H126" i="85" s="1"/>
  <c r="G127" i="85"/>
  <c r="I127" i="85" s="1"/>
  <c r="F127" i="85"/>
  <c r="L120" i="85"/>
  <c r="I120" i="85"/>
  <c r="L119" i="85"/>
  <c r="I119" i="85"/>
  <c r="L118" i="85"/>
  <c r="M118" i="85" s="1"/>
  <c r="N118" i="85" s="1"/>
  <c r="I118" i="85"/>
  <c r="K117" i="85"/>
  <c r="K116" i="85" s="1"/>
  <c r="K115" i="85" s="1"/>
  <c r="K114" i="85" s="1"/>
  <c r="J117" i="85"/>
  <c r="J116" i="85" s="1"/>
  <c r="H117" i="85"/>
  <c r="G117" i="85"/>
  <c r="G116" i="85" s="1"/>
  <c r="G115" i="85" s="1"/>
  <c r="F117" i="85"/>
  <c r="F116" i="85" s="1"/>
  <c r="L112" i="85"/>
  <c r="M112" i="85" s="1"/>
  <c r="N112" i="85" s="1"/>
  <c r="I112" i="85"/>
  <c r="L111" i="85"/>
  <c r="M111" i="85" s="1"/>
  <c r="N111" i="85" s="1"/>
  <c r="I111" i="85"/>
  <c r="L110" i="85"/>
  <c r="M110" i="85" s="1"/>
  <c r="N110" i="85" s="1"/>
  <c r="I110" i="85"/>
  <c r="L109" i="85"/>
  <c r="M109" i="85" s="1"/>
  <c r="N109" i="85" s="1"/>
  <c r="I109" i="85"/>
  <c r="L108" i="85"/>
  <c r="M108" i="85" s="1"/>
  <c r="N108" i="85" s="1"/>
  <c r="I108" i="85"/>
  <c r="L107" i="85"/>
  <c r="I107" i="85"/>
  <c r="M107" i="85" s="1"/>
  <c r="N107" i="85" s="1"/>
  <c r="L106" i="85"/>
  <c r="I106" i="85"/>
  <c r="M106" i="85" s="1"/>
  <c r="N106" i="85" s="1"/>
  <c r="L105" i="85"/>
  <c r="I105" i="85"/>
  <c r="M105" i="85" s="1"/>
  <c r="N105" i="85" s="1"/>
  <c r="L104" i="85"/>
  <c r="I104" i="85"/>
  <c r="M104" i="85" s="1"/>
  <c r="N104" i="85" s="1"/>
  <c r="L103" i="85"/>
  <c r="I103" i="85"/>
  <c r="M103" i="85" s="1"/>
  <c r="N103" i="85" s="1"/>
  <c r="K102" i="85"/>
  <c r="J102" i="85"/>
  <c r="L102" i="85" s="1"/>
  <c r="H102" i="85"/>
  <c r="G102" i="85"/>
  <c r="G101" i="85" s="1"/>
  <c r="I101" i="85" s="1"/>
  <c r="F102" i="85"/>
  <c r="K101" i="85"/>
  <c r="J101" i="85"/>
  <c r="L101" i="85" s="1"/>
  <c r="H101" i="85"/>
  <c r="F101" i="85"/>
  <c r="L100" i="85"/>
  <c r="I100" i="85"/>
  <c r="M100" i="85" s="1"/>
  <c r="N100" i="85" s="1"/>
  <c r="H99" i="85"/>
  <c r="G99" i="85"/>
  <c r="F99" i="85"/>
  <c r="L98" i="85"/>
  <c r="I98" i="85"/>
  <c r="L97" i="85"/>
  <c r="I97" i="85"/>
  <c r="M97" i="85" s="1"/>
  <c r="N97" i="85" s="1"/>
  <c r="L96" i="85"/>
  <c r="I96" i="85"/>
  <c r="M96" i="85" s="1"/>
  <c r="N96" i="85" s="1"/>
  <c r="K95" i="85"/>
  <c r="L95" i="85" s="1"/>
  <c r="J95" i="85"/>
  <c r="H95" i="85"/>
  <c r="F95" i="85"/>
  <c r="L94" i="85"/>
  <c r="I94" i="85"/>
  <c r="L93" i="85"/>
  <c r="M93" i="85" s="1"/>
  <c r="N93" i="85" s="1"/>
  <c r="I93" i="85"/>
  <c r="L92" i="85"/>
  <c r="I92" i="85"/>
  <c r="L91" i="85"/>
  <c r="I91" i="85"/>
  <c r="L90" i="85"/>
  <c r="M90" i="85" s="1"/>
  <c r="N90" i="85" s="1"/>
  <c r="I90" i="85"/>
  <c r="L89" i="85"/>
  <c r="I89" i="85"/>
  <c r="L88" i="85"/>
  <c r="M88" i="85" s="1"/>
  <c r="N88" i="85" s="1"/>
  <c r="I88" i="85"/>
  <c r="L87" i="85"/>
  <c r="M87" i="85" s="1"/>
  <c r="N87" i="85" s="1"/>
  <c r="I87" i="85"/>
  <c r="L86" i="85"/>
  <c r="I86" i="85"/>
  <c r="L85" i="85"/>
  <c r="M85" i="85" s="1"/>
  <c r="N85" i="85" s="1"/>
  <c r="I85" i="85"/>
  <c r="L84" i="85"/>
  <c r="K84" i="85"/>
  <c r="H84" i="85"/>
  <c r="G84" i="85"/>
  <c r="I84" i="85" s="1"/>
  <c r="M84" i="85" s="1"/>
  <c r="N84" i="85" s="1"/>
  <c r="F84" i="85"/>
  <c r="K83" i="85"/>
  <c r="L83" i="85" s="1"/>
  <c r="I82" i="85"/>
  <c r="M82" i="85" s="1"/>
  <c r="N82" i="85" s="1"/>
  <c r="L81" i="85"/>
  <c r="K81" i="85"/>
  <c r="H81" i="85"/>
  <c r="G81" i="85"/>
  <c r="I81" i="85" s="1"/>
  <c r="F81" i="85"/>
  <c r="I80" i="85"/>
  <c r="M80" i="85" s="1"/>
  <c r="N80" i="85" s="1"/>
  <c r="K79" i="85"/>
  <c r="L79" i="85" s="1"/>
  <c r="H79" i="85"/>
  <c r="G79" i="85"/>
  <c r="F79" i="85"/>
  <c r="L78" i="85"/>
  <c r="I78" i="85"/>
  <c r="M78" i="85" s="1"/>
  <c r="N78" i="85" s="1"/>
  <c r="K77" i="85"/>
  <c r="H77" i="85"/>
  <c r="G77" i="85"/>
  <c r="F77" i="85"/>
  <c r="F76" i="85"/>
  <c r="L75" i="85"/>
  <c r="I75" i="85"/>
  <c r="K74" i="85"/>
  <c r="L74" i="85" s="1"/>
  <c r="H74" i="85"/>
  <c r="G74" i="85"/>
  <c r="F74" i="85"/>
  <c r="L73" i="85"/>
  <c r="I73" i="85"/>
  <c r="K72" i="85"/>
  <c r="L72" i="85" s="1"/>
  <c r="H72" i="85"/>
  <c r="G72" i="85"/>
  <c r="F72" i="85"/>
  <c r="L71" i="85"/>
  <c r="I71" i="85"/>
  <c r="K70" i="85"/>
  <c r="L70" i="85" s="1"/>
  <c r="H70" i="85"/>
  <c r="G70" i="85"/>
  <c r="F70" i="85"/>
  <c r="L69" i="85"/>
  <c r="I69" i="85"/>
  <c r="K68" i="85"/>
  <c r="L68" i="85" s="1"/>
  <c r="H68" i="85"/>
  <c r="G68" i="85"/>
  <c r="F68" i="85"/>
  <c r="L67" i="85"/>
  <c r="I67" i="85"/>
  <c r="K66" i="85"/>
  <c r="L66" i="85" s="1"/>
  <c r="H66" i="85"/>
  <c r="G66" i="85"/>
  <c r="F66" i="85"/>
  <c r="L65" i="85"/>
  <c r="I65" i="85"/>
  <c r="K64" i="85"/>
  <c r="L64" i="85" s="1"/>
  <c r="H64" i="85"/>
  <c r="G64" i="85"/>
  <c r="F64" i="85"/>
  <c r="L63" i="85"/>
  <c r="I63" i="85"/>
  <c r="K62" i="85"/>
  <c r="L62" i="85" s="1"/>
  <c r="H62" i="85"/>
  <c r="G62" i="85"/>
  <c r="F62" i="85"/>
  <c r="L61" i="85"/>
  <c r="I61" i="85"/>
  <c r="K60" i="85"/>
  <c r="L60" i="85" s="1"/>
  <c r="H60" i="85"/>
  <c r="G60" i="85"/>
  <c r="F60" i="85"/>
  <c r="L59" i="85"/>
  <c r="I59" i="85"/>
  <c r="K58" i="85"/>
  <c r="L58" i="85" s="1"/>
  <c r="H58" i="85"/>
  <c r="G58" i="85"/>
  <c r="F58" i="85"/>
  <c r="L57" i="85"/>
  <c r="I57" i="85"/>
  <c r="K56" i="85"/>
  <c r="L56" i="85" s="1"/>
  <c r="H56" i="85"/>
  <c r="G56" i="85"/>
  <c r="F56" i="85"/>
  <c r="L55" i="85"/>
  <c r="I55" i="85"/>
  <c r="K54" i="85"/>
  <c r="L54" i="85" s="1"/>
  <c r="H54" i="85"/>
  <c r="G54" i="85"/>
  <c r="F54" i="85"/>
  <c r="L53" i="85"/>
  <c r="I53" i="85"/>
  <c r="K52" i="85"/>
  <c r="L52" i="85" s="1"/>
  <c r="H52" i="85"/>
  <c r="G52" i="85"/>
  <c r="F52" i="85"/>
  <c r="K51" i="85"/>
  <c r="F51" i="85"/>
  <c r="J48" i="85"/>
  <c r="L45" i="85"/>
  <c r="M45" i="85" s="1"/>
  <c r="N45" i="85" s="1"/>
  <c r="I45" i="85"/>
  <c r="M44" i="85"/>
  <c r="N44" i="85" s="1"/>
  <c r="L44" i="85"/>
  <c r="I44" i="85"/>
  <c r="K43" i="85"/>
  <c r="K42" i="85" s="1"/>
  <c r="J43" i="85"/>
  <c r="I43" i="85"/>
  <c r="H43" i="85"/>
  <c r="H42" i="85" s="1"/>
  <c r="G43" i="85"/>
  <c r="F43" i="85"/>
  <c r="G42" i="85"/>
  <c r="F42" i="85"/>
  <c r="L41" i="85"/>
  <c r="I41" i="85"/>
  <c r="L40" i="85"/>
  <c r="M40" i="85" s="1"/>
  <c r="N40" i="85" s="1"/>
  <c r="L39" i="85"/>
  <c r="M39" i="85" s="1"/>
  <c r="N39" i="85" s="1"/>
  <c r="M38" i="85"/>
  <c r="N38" i="85" s="1"/>
  <c r="L38" i="85"/>
  <c r="L37" i="85"/>
  <c r="M37" i="85" s="1"/>
  <c r="N37" i="85" s="1"/>
  <c r="I37" i="85"/>
  <c r="K36" i="85"/>
  <c r="K35" i="85" s="1"/>
  <c r="J36" i="85"/>
  <c r="H36" i="85"/>
  <c r="I36" i="85" s="1"/>
  <c r="G36" i="85"/>
  <c r="F36" i="85"/>
  <c r="G35" i="85"/>
  <c r="G34" i="85" s="1"/>
  <c r="G33" i="85" s="1"/>
  <c r="F35" i="85"/>
  <c r="F34" i="85" s="1"/>
  <c r="F33" i="85" s="1"/>
  <c r="L31" i="85"/>
  <c r="I31" i="85"/>
  <c r="K30" i="85"/>
  <c r="J30" i="85"/>
  <c r="H30" i="85"/>
  <c r="G30" i="85"/>
  <c r="I30" i="85" s="1"/>
  <c r="F30" i="85"/>
  <c r="F29" i="85" s="1"/>
  <c r="K29" i="85"/>
  <c r="J29" i="85"/>
  <c r="H29" i="85"/>
  <c r="L28" i="85"/>
  <c r="M28" i="85" s="1"/>
  <c r="N28" i="85" s="1"/>
  <c r="L27" i="85"/>
  <c r="M27" i="85" s="1"/>
  <c r="N27" i="85" s="1"/>
  <c r="P26" i="85"/>
  <c r="L26" i="85"/>
  <c r="I26" i="85"/>
  <c r="L25" i="85"/>
  <c r="I25" i="85"/>
  <c r="L24" i="85"/>
  <c r="I24" i="85"/>
  <c r="K23" i="85"/>
  <c r="K22" i="85" s="1"/>
  <c r="J23" i="85"/>
  <c r="H23" i="85"/>
  <c r="G23" i="85"/>
  <c r="I23" i="85" s="1"/>
  <c r="F23" i="85"/>
  <c r="F22" i="85" s="1"/>
  <c r="H22" i="85"/>
  <c r="H21" i="85" s="1"/>
  <c r="H20" i="85" s="1"/>
  <c r="H19" i="85" s="1"/>
  <c r="T19" i="85"/>
  <c r="S19" i="85"/>
  <c r="U17" i="85"/>
  <c r="H414" i="84"/>
  <c r="I414" i="84" s="1"/>
  <c r="M414" i="84" s="1"/>
  <c r="H413" i="84"/>
  <c r="H408" i="84"/>
  <c r="H414" i="76"/>
  <c r="H413" i="76"/>
  <c r="H408" i="76"/>
  <c r="I419" i="84"/>
  <c r="M419" i="84" s="1"/>
  <c r="L418" i="84"/>
  <c r="M418" i="84" s="1"/>
  <c r="I417" i="84"/>
  <c r="M417" i="84" s="1"/>
  <c r="I416" i="84"/>
  <c r="M416" i="84" s="1"/>
  <c r="I415" i="84"/>
  <c r="M415" i="84" s="1"/>
  <c r="I413" i="84"/>
  <c r="M413" i="84" s="1"/>
  <c r="L412" i="84"/>
  <c r="I412" i="84"/>
  <c r="L410" i="84"/>
  <c r="I410" i="84"/>
  <c r="L409" i="84"/>
  <c r="M409" i="84" s="1"/>
  <c r="I409" i="84"/>
  <c r="L408" i="84"/>
  <c r="I408" i="84"/>
  <c r="L407" i="84"/>
  <c r="I407" i="84"/>
  <c r="M407" i="84" s="1"/>
  <c r="K406" i="84"/>
  <c r="J406" i="84"/>
  <c r="H406" i="84"/>
  <c r="G406" i="84"/>
  <c r="I400" i="84"/>
  <c r="M400" i="84" s="1"/>
  <c r="L399" i="84"/>
  <c r="M399" i="84" s="1"/>
  <c r="I398" i="84"/>
  <c r="M398" i="84" s="1"/>
  <c r="I397" i="84"/>
  <c r="M397" i="84" s="1"/>
  <c r="I396" i="84"/>
  <c r="M396" i="84" s="1"/>
  <c r="H395" i="84"/>
  <c r="I395" i="84" s="1"/>
  <c r="M395" i="84" s="1"/>
  <c r="L394" i="84"/>
  <c r="H394" i="84"/>
  <c r="L393" i="84"/>
  <c r="I393" i="84"/>
  <c r="L391" i="84"/>
  <c r="I391" i="84"/>
  <c r="L390" i="84"/>
  <c r="I390" i="84"/>
  <c r="M390" i="84" s="1"/>
  <c r="L389" i="84"/>
  <c r="H389" i="84"/>
  <c r="I389" i="84" s="1"/>
  <c r="M389" i="84" s="1"/>
  <c r="L388" i="84"/>
  <c r="I388" i="84"/>
  <c r="M388" i="84" s="1"/>
  <c r="K387" i="84"/>
  <c r="J387" i="84"/>
  <c r="L387" i="84" s="1"/>
  <c r="G387" i="84"/>
  <c r="L383" i="84"/>
  <c r="I383" i="84"/>
  <c r="M383" i="84" s="1"/>
  <c r="N383" i="84" s="1"/>
  <c r="K382" i="84"/>
  <c r="K381" i="84" s="1"/>
  <c r="J382" i="84"/>
  <c r="H382" i="84"/>
  <c r="G382" i="84"/>
  <c r="G381" i="84" s="1"/>
  <c r="F382" i="84"/>
  <c r="H381" i="84"/>
  <c r="F381" i="84"/>
  <c r="L380" i="84"/>
  <c r="I380" i="84"/>
  <c r="M380" i="84" s="1"/>
  <c r="N380" i="84" s="1"/>
  <c r="K379" i="84"/>
  <c r="K378" i="84" s="1"/>
  <c r="J379" i="84"/>
  <c r="H379" i="84"/>
  <c r="H378" i="84" s="1"/>
  <c r="H377" i="84" s="1"/>
  <c r="H376" i="84" s="1"/>
  <c r="H375" i="84" s="1"/>
  <c r="G379" i="84"/>
  <c r="F379" i="84"/>
  <c r="J378" i="84"/>
  <c r="G378" i="84"/>
  <c r="F378" i="84"/>
  <c r="L374" i="84"/>
  <c r="I374" i="84"/>
  <c r="M374" i="84" s="1"/>
  <c r="N374" i="84" s="1"/>
  <c r="K373" i="84"/>
  <c r="J373" i="84"/>
  <c r="J372" i="84" s="1"/>
  <c r="H373" i="84"/>
  <c r="H372" i="84" s="1"/>
  <c r="H371" i="84" s="1"/>
  <c r="H370" i="84" s="1"/>
  <c r="H369" i="84" s="1"/>
  <c r="G373" i="84"/>
  <c r="F373" i="84"/>
  <c r="F372" i="84" s="1"/>
  <c r="K372" i="84"/>
  <c r="K371" i="84" s="1"/>
  <c r="K370" i="84" s="1"/>
  <c r="K369" i="84" s="1"/>
  <c r="G372" i="84"/>
  <c r="G371" i="84" s="1"/>
  <c r="L368" i="84"/>
  <c r="I368" i="84"/>
  <c r="M368" i="84" s="1"/>
  <c r="N368" i="84" s="1"/>
  <c r="M367" i="84"/>
  <c r="N367" i="84" s="1"/>
  <c r="L367" i="84"/>
  <c r="I367" i="84"/>
  <c r="K366" i="84"/>
  <c r="J366" i="84"/>
  <c r="L366" i="84" s="1"/>
  <c r="H366" i="84"/>
  <c r="G366" i="84"/>
  <c r="F366" i="84"/>
  <c r="L365" i="84"/>
  <c r="I365" i="84"/>
  <c r="M365" i="84" s="1"/>
  <c r="N365" i="84" s="1"/>
  <c r="K364" i="84"/>
  <c r="J364" i="84"/>
  <c r="L364" i="84" s="1"/>
  <c r="H364" i="84"/>
  <c r="G364" i="84"/>
  <c r="I364" i="84" s="1"/>
  <c r="F364" i="84"/>
  <c r="F363" i="84" s="1"/>
  <c r="K363" i="84"/>
  <c r="G363" i="84"/>
  <c r="G359" i="84" s="1"/>
  <c r="L362" i="84"/>
  <c r="I362" i="84"/>
  <c r="M362" i="84" s="1"/>
  <c r="N362" i="84" s="1"/>
  <c r="K361" i="84"/>
  <c r="L361" i="84" s="1"/>
  <c r="J361" i="84"/>
  <c r="H361" i="84"/>
  <c r="H360" i="84" s="1"/>
  <c r="G361" i="84"/>
  <c r="F361" i="84"/>
  <c r="J360" i="84"/>
  <c r="G360" i="84"/>
  <c r="F360" i="84"/>
  <c r="L356" i="84"/>
  <c r="I356" i="84"/>
  <c r="M356" i="84" s="1"/>
  <c r="N356" i="84" s="1"/>
  <c r="K355" i="84"/>
  <c r="J355" i="84"/>
  <c r="I355" i="84"/>
  <c r="H355" i="84"/>
  <c r="G355" i="84"/>
  <c r="F355" i="84"/>
  <c r="K354" i="84"/>
  <c r="J354" i="84"/>
  <c r="L354" i="84" s="1"/>
  <c r="H354" i="84"/>
  <c r="H353" i="84" s="1"/>
  <c r="G354" i="84"/>
  <c r="F354" i="84"/>
  <c r="F353" i="84" s="1"/>
  <c r="K353" i="84"/>
  <c r="K352" i="84" s="1"/>
  <c r="G353" i="84"/>
  <c r="H352" i="84"/>
  <c r="H351" i="84" s="1"/>
  <c r="L348" i="84"/>
  <c r="M348" i="84" s="1"/>
  <c r="N348" i="84" s="1"/>
  <c r="K347" i="84"/>
  <c r="J347" i="84"/>
  <c r="L347" i="84" s="1"/>
  <c r="H347" i="84"/>
  <c r="G347" i="84"/>
  <c r="G346" i="84" s="1"/>
  <c r="I346" i="84" s="1"/>
  <c r="F347" i="84"/>
  <c r="F346" i="84" s="1"/>
  <c r="K346" i="84"/>
  <c r="K345" i="84" s="1"/>
  <c r="K344" i="84" s="1"/>
  <c r="K343" i="84" s="1"/>
  <c r="H346" i="84"/>
  <c r="H345" i="84"/>
  <c r="H344" i="84" s="1"/>
  <c r="H343" i="84" s="1"/>
  <c r="L342" i="84"/>
  <c r="I342" i="84"/>
  <c r="K341" i="84"/>
  <c r="K340" i="84" s="1"/>
  <c r="J341" i="84"/>
  <c r="H341" i="84"/>
  <c r="G341" i="84"/>
  <c r="I341" i="84" s="1"/>
  <c r="F341" i="84"/>
  <c r="F340" i="84" s="1"/>
  <c r="F339" i="84" s="1"/>
  <c r="F338" i="84" s="1"/>
  <c r="F337" i="84" s="1"/>
  <c r="J340" i="84"/>
  <c r="J339" i="84" s="1"/>
  <c r="J338" i="84" s="1"/>
  <c r="J337" i="84" s="1"/>
  <c r="H340" i="84"/>
  <c r="H339" i="84" s="1"/>
  <c r="H338" i="84" s="1"/>
  <c r="H337" i="84" s="1"/>
  <c r="L336" i="84"/>
  <c r="I336" i="84"/>
  <c r="M336" i="84" s="1"/>
  <c r="N336" i="84" s="1"/>
  <c r="L335" i="84"/>
  <c r="K335" i="84"/>
  <c r="J335" i="84"/>
  <c r="H335" i="84"/>
  <c r="G335" i="84"/>
  <c r="I335" i="84" s="1"/>
  <c r="F335" i="84"/>
  <c r="L334" i="84"/>
  <c r="K334" i="84"/>
  <c r="J334" i="84"/>
  <c r="J333" i="84" s="1"/>
  <c r="H334" i="84"/>
  <c r="H333" i="84" s="1"/>
  <c r="G334" i="84"/>
  <c r="G333" i="84" s="1"/>
  <c r="F334" i="84"/>
  <c r="F333" i="84" s="1"/>
  <c r="F332" i="84" s="1"/>
  <c r="F331" i="84" s="1"/>
  <c r="K333" i="84"/>
  <c r="K332" i="84" s="1"/>
  <c r="K331" i="84" s="1"/>
  <c r="G332" i="84"/>
  <c r="G331" i="84" s="1"/>
  <c r="L330" i="84"/>
  <c r="M330" i="84" s="1"/>
  <c r="N330" i="84" s="1"/>
  <c r="I330" i="84"/>
  <c r="L329" i="84"/>
  <c r="M329" i="84" s="1"/>
  <c r="N329" i="84" s="1"/>
  <c r="L328" i="84"/>
  <c r="M328" i="84" s="1"/>
  <c r="N328" i="84" s="1"/>
  <c r="L327" i="84"/>
  <c r="M327" i="84" s="1"/>
  <c r="N327" i="84" s="1"/>
  <c r="L326" i="84"/>
  <c r="M326" i="84" s="1"/>
  <c r="N326" i="84" s="1"/>
  <c r="L325" i="84"/>
  <c r="M325" i="84" s="1"/>
  <c r="N325" i="84" s="1"/>
  <c r="L324" i="84"/>
  <c r="M324" i="84" s="1"/>
  <c r="N324" i="84" s="1"/>
  <c r="K323" i="84"/>
  <c r="J323" i="84"/>
  <c r="L323" i="84" s="1"/>
  <c r="H323" i="84"/>
  <c r="G323" i="84"/>
  <c r="I323" i="84" s="1"/>
  <c r="M323" i="84" s="1"/>
  <c r="F323" i="84"/>
  <c r="F322" i="84" s="1"/>
  <c r="K322" i="84"/>
  <c r="H322" i="84"/>
  <c r="G322" i="84"/>
  <c r="I322" i="84" s="1"/>
  <c r="L321" i="84"/>
  <c r="M321" i="84" s="1"/>
  <c r="N321" i="84" s="1"/>
  <c r="K320" i="84"/>
  <c r="K319" i="84" s="1"/>
  <c r="J320" i="84"/>
  <c r="J319" i="84" s="1"/>
  <c r="H320" i="84"/>
  <c r="H319" i="84" s="1"/>
  <c r="G320" i="84"/>
  <c r="F320" i="84"/>
  <c r="F319" i="84"/>
  <c r="M318" i="84"/>
  <c r="N318" i="84" s="1"/>
  <c r="L318" i="84"/>
  <c r="L317" i="84"/>
  <c r="M317" i="84" s="1"/>
  <c r="N317" i="84" s="1"/>
  <c r="K316" i="84"/>
  <c r="K315" i="84" s="1"/>
  <c r="J316" i="84"/>
  <c r="H316" i="84"/>
  <c r="H315" i="84" s="1"/>
  <c r="H314" i="84" s="1"/>
  <c r="H313" i="84" s="1"/>
  <c r="H312" i="84" s="1"/>
  <c r="G316" i="84"/>
  <c r="I316" i="84" s="1"/>
  <c r="F316" i="84"/>
  <c r="J315" i="84"/>
  <c r="F315" i="84"/>
  <c r="L311" i="84"/>
  <c r="I311" i="84"/>
  <c r="K310" i="84"/>
  <c r="K309" i="84" s="1"/>
  <c r="J310" i="84"/>
  <c r="L310" i="84" s="1"/>
  <c r="H310" i="84"/>
  <c r="H309" i="84" s="1"/>
  <c r="G310" i="84"/>
  <c r="G309" i="84" s="1"/>
  <c r="F310" i="84"/>
  <c r="F309" i="84" s="1"/>
  <c r="J309" i="84"/>
  <c r="L308" i="84"/>
  <c r="I308" i="84"/>
  <c r="M308" i="84" s="1"/>
  <c r="N308" i="84" s="1"/>
  <c r="L307" i="84"/>
  <c r="I307" i="84"/>
  <c r="M307" i="84" s="1"/>
  <c r="N307" i="84" s="1"/>
  <c r="K306" i="84"/>
  <c r="J306" i="84"/>
  <c r="L306" i="84" s="1"/>
  <c r="H306" i="84"/>
  <c r="H305" i="84" s="1"/>
  <c r="G306" i="84"/>
  <c r="F306" i="84"/>
  <c r="F305" i="84" s="1"/>
  <c r="K305" i="84"/>
  <c r="L304" i="84"/>
  <c r="M304" i="84" s="1"/>
  <c r="N304" i="84" s="1"/>
  <c r="K303" i="84"/>
  <c r="K302" i="84" s="1"/>
  <c r="J303" i="84"/>
  <c r="H303" i="84"/>
  <c r="G303" i="84"/>
  <c r="F303" i="84"/>
  <c r="F302" i="84" s="1"/>
  <c r="J302" i="84"/>
  <c r="H302" i="84"/>
  <c r="L296" i="84"/>
  <c r="M296" i="84" s="1"/>
  <c r="N296" i="84" s="1"/>
  <c r="L295" i="84"/>
  <c r="I295" i="84"/>
  <c r="M295" i="84" s="1"/>
  <c r="N295" i="84" s="1"/>
  <c r="L294" i="84"/>
  <c r="I294" i="84"/>
  <c r="M294" i="84" s="1"/>
  <c r="N294" i="84" s="1"/>
  <c r="L293" i="84"/>
  <c r="I293" i="84"/>
  <c r="M293" i="84" s="1"/>
  <c r="N293" i="84" s="1"/>
  <c r="K292" i="84"/>
  <c r="J292" i="84"/>
  <c r="H292" i="84"/>
  <c r="G292" i="84"/>
  <c r="I292" i="84" s="1"/>
  <c r="F292" i="84"/>
  <c r="L291" i="84"/>
  <c r="K291" i="84"/>
  <c r="J291" i="84"/>
  <c r="H291" i="84"/>
  <c r="G291" i="84"/>
  <c r="F291" i="84"/>
  <c r="M290" i="84"/>
  <c r="N290" i="84" s="1"/>
  <c r="L290" i="84"/>
  <c r="L289" i="84"/>
  <c r="M289" i="84" s="1"/>
  <c r="N289" i="84" s="1"/>
  <c r="L288" i="84"/>
  <c r="M288" i="84" s="1"/>
  <c r="N288" i="84" s="1"/>
  <c r="L287" i="84"/>
  <c r="I287" i="84"/>
  <c r="L286" i="84"/>
  <c r="M286" i="84" s="1"/>
  <c r="N286" i="84" s="1"/>
  <c r="L285" i="84"/>
  <c r="M285" i="84" s="1"/>
  <c r="N285" i="84" s="1"/>
  <c r="L284" i="84"/>
  <c r="M284" i="84" s="1"/>
  <c r="N284" i="84" s="1"/>
  <c r="L283" i="84"/>
  <c r="I283" i="84"/>
  <c r="K282" i="84"/>
  <c r="J282" i="84"/>
  <c r="L282" i="84" s="1"/>
  <c r="H282" i="84"/>
  <c r="H281" i="84" s="1"/>
  <c r="G282" i="84"/>
  <c r="F282" i="84"/>
  <c r="K281" i="84"/>
  <c r="K280" i="84" s="1"/>
  <c r="K279" i="84" s="1"/>
  <c r="K278" i="84" s="1"/>
  <c r="G281" i="84"/>
  <c r="H280" i="84"/>
  <c r="H279" i="84" s="1"/>
  <c r="H278" i="84" s="1"/>
  <c r="L277" i="84"/>
  <c r="I277" i="84"/>
  <c r="M277" i="84" s="1"/>
  <c r="N277" i="84" s="1"/>
  <c r="I276" i="84"/>
  <c r="M276" i="84" s="1"/>
  <c r="N276" i="84" s="1"/>
  <c r="I275" i="84"/>
  <c r="M275" i="84" s="1"/>
  <c r="N275" i="84" s="1"/>
  <c r="L274" i="84"/>
  <c r="M274" i="84" s="1"/>
  <c r="N274" i="84" s="1"/>
  <c r="I274" i="84"/>
  <c r="K273" i="84"/>
  <c r="J273" i="84"/>
  <c r="L273" i="84" s="1"/>
  <c r="H273" i="84"/>
  <c r="G273" i="84"/>
  <c r="F273" i="84"/>
  <c r="K272" i="84"/>
  <c r="K271" i="84" s="1"/>
  <c r="K270" i="84" s="1"/>
  <c r="K269" i="84" s="1"/>
  <c r="J272" i="84"/>
  <c r="L272" i="84" s="1"/>
  <c r="H272" i="84"/>
  <c r="F272" i="84"/>
  <c r="H271" i="84"/>
  <c r="H270" i="84"/>
  <c r="H269" i="84" s="1"/>
  <c r="L268" i="84"/>
  <c r="I268" i="84"/>
  <c r="M268" i="84" s="1"/>
  <c r="N268" i="84" s="1"/>
  <c r="L267" i="84"/>
  <c r="I267" i="84"/>
  <c r="M267" i="84" s="1"/>
  <c r="N267" i="84" s="1"/>
  <c r="L266" i="84"/>
  <c r="H266" i="84"/>
  <c r="I266" i="84" s="1"/>
  <c r="M266" i="84" s="1"/>
  <c r="N266" i="84" s="1"/>
  <c r="L265" i="84"/>
  <c r="I265" i="84"/>
  <c r="M265" i="84" s="1"/>
  <c r="N265" i="84" s="1"/>
  <c r="L264" i="84"/>
  <c r="I264" i="84"/>
  <c r="M264" i="84" s="1"/>
  <c r="N264" i="84" s="1"/>
  <c r="K263" i="84"/>
  <c r="J263" i="84"/>
  <c r="J262" i="84" s="1"/>
  <c r="H263" i="84"/>
  <c r="G263" i="84"/>
  <c r="I263" i="84" s="1"/>
  <c r="F263" i="84"/>
  <c r="H262" i="84"/>
  <c r="F262" i="84"/>
  <c r="L261" i="84"/>
  <c r="I261" i="84"/>
  <c r="M261" i="84" s="1"/>
  <c r="N261" i="84" s="1"/>
  <c r="K260" i="84"/>
  <c r="J260" i="84"/>
  <c r="L260" i="84" s="1"/>
  <c r="H260" i="84"/>
  <c r="G260" i="84"/>
  <c r="F260" i="84"/>
  <c r="K259" i="84"/>
  <c r="J259" i="84"/>
  <c r="L259" i="84" s="1"/>
  <c r="H259" i="84"/>
  <c r="H258" i="84" s="1"/>
  <c r="H257" i="84" s="1"/>
  <c r="H256" i="84" s="1"/>
  <c r="F259" i="84"/>
  <c r="L255" i="84"/>
  <c r="I255" i="84"/>
  <c r="L254" i="84"/>
  <c r="I254" i="84"/>
  <c r="M254" i="84" s="1"/>
  <c r="N254" i="84" s="1"/>
  <c r="L253" i="84"/>
  <c r="I253" i="84"/>
  <c r="M253" i="84" s="1"/>
  <c r="N253" i="84" s="1"/>
  <c r="K252" i="84"/>
  <c r="K251" i="84" s="1"/>
  <c r="K250" i="84" s="1"/>
  <c r="K249" i="84" s="1"/>
  <c r="K248" i="84" s="1"/>
  <c r="J252" i="84"/>
  <c r="H252" i="84"/>
  <c r="G252" i="84"/>
  <c r="F252" i="84"/>
  <c r="H251" i="84"/>
  <c r="H250" i="84" s="1"/>
  <c r="H249" i="84" s="1"/>
  <c r="H248" i="84" s="1"/>
  <c r="I245" i="84"/>
  <c r="M245" i="84" s="1"/>
  <c r="N245" i="84" s="1"/>
  <c r="K244" i="84"/>
  <c r="L244" i="84" s="1"/>
  <c r="J244" i="84"/>
  <c r="H244" i="84"/>
  <c r="G244" i="84"/>
  <c r="I244" i="84" s="1"/>
  <c r="M244" i="84" s="1"/>
  <c r="F244" i="84"/>
  <c r="J243" i="84"/>
  <c r="J242" i="84" s="1"/>
  <c r="J241" i="84" s="1"/>
  <c r="H243" i="84"/>
  <c r="H242" i="84" s="1"/>
  <c r="H241" i="84" s="1"/>
  <c r="H240" i="84" s="1"/>
  <c r="H239" i="84" s="1"/>
  <c r="F243" i="84"/>
  <c r="F242" i="84"/>
  <c r="F241" i="84"/>
  <c r="M237" i="84"/>
  <c r="N237" i="84" s="1"/>
  <c r="L237" i="84"/>
  <c r="I237" i="84"/>
  <c r="K236" i="84"/>
  <c r="J236" i="84"/>
  <c r="L236" i="84" s="1"/>
  <c r="I236" i="84"/>
  <c r="M236" i="84" s="1"/>
  <c r="H236" i="84"/>
  <c r="G236" i="84"/>
  <c r="F236" i="84"/>
  <c r="K235" i="84"/>
  <c r="J235" i="84"/>
  <c r="L235" i="84" s="1"/>
  <c r="H235" i="84"/>
  <c r="H234" i="84" s="1"/>
  <c r="H232" i="84" s="1"/>
  <c r="H231" i="84" s="1"/>
  <c r="G235" i="84"/>
  <c r="F235" i="84"/>
  <c r="K234" i="84"/>
  <c r="K232" i="84" s="1"/>
  <c r="K231" i="84" s="1"/>
  <c r="G234" i="84"/>
  <c r="L233" i="84"/>
  <c r="M233" i="84" s="1"/>
  <c r="N233" i="84" s="1"/>
  <c r="I233" i="84"/>
  <c r="F232" i="84"/>
  <c r="F231" i="84" s="1"/>
  <c r="L230" i="84"/>
  <c r="I230" i="84"/>
  <c r="M230" i="84" s="1"/>
  <c r="N230" i="84" s="1"/>
  <c r="L229" i="84"/>
  <c r="I229" i="84"/>
  <c r="L228" i="84"/>
  <c r="I228" i="84"/>
  <c r="M228" i="84" s="1"/>
  <c r="N228" i="84" s="1"/>
  <c r="K227" i="84"/>
  <c r="K226" i="84" s="1"/>
  <c r="J227" i="84"/>
  <c r="H227" i="84"/>
  <c r="G227" i="84"/>
  <c r="I227" i="84" s="1"/>
  <c r="F227" i="84"/>
  <c r="F226" i="84" s="1"/>
  <c r="H226" i="84"/>
  <c r="G226" i="84"/>
  <c r="L225" i="84"/>
  <c r="I225" i="84"/>
  <c r="K224" i="84"/>
  <c r="K223" i="84" s="1"/>
  <c r="K222" i="84" s="1"/>
  <c r="K221" i="84" s="1"/>
  <c r="J224" i="84"/>
  <c r="H224" i="84"/>
  <c r="G224" i="84"/>
  <c r="F224" i="84"/>
  <c r="F223" i="84" s="1"/>
  <c r="G223" i="84"/>
  <c r="I220" i="84"/>
  <c r="M220" i="84" s="1"/>
  <c r="N220" i="84" s="1"/>
  <c r="L219" i="84"/>
  <c r="M219" i="84" s="1"/>
  <c r="N219" i="84" s="1"/>
  <c r="L218" i="84"/>
  <c r="I218" i="84"/>
  <c r="K217" i="84"/>
  <c r="J217" i="84"/>
  <c r="H217" i="84"/>
  <c r="H216" i="84" s="1"/>
  <c r="G217" i="84"/>
  <c r="I217" i="84" s="1"/>
  <c r="F217" i="84"/>
  <c r="F216" i="84" s="1"/>
  <c r="K216" i="84"/>
  <c r="L215" i="84"/>
  <c r="I215" i="84"/>
  <c r="L214" i="84"/>
  <c r="M214" i="84" s="1"/>
  <c r="N214" i="84" s="1"/>
  <c r="I214" i="84"/>
  <c r="K213" i="84"/>
  <c r="J213" i="84"/>
  <c r="L213" i="84" s="1"/>
  <c r="H213" i="84"/>
  <c r="G213" i="84"/>
  <c r="G212" i="84" s="1"/>
  <c r="F213" i="84"/>
  <c r="K212" i="84"/>
  <c r="F212" i="84"/>
  <c r="L211" i="84"/>
  <c r="I211" i="84"/>
  <c r="K210" i="84"/>
  <c r="J210" i="84"/>
  <c r="H210" i="84"/>
  <c r="H209" i="84" s="1"/>
  <c r="G210" i="84"/>
  <c r="I210" i="84" s="1"/>
  <c r="F210" i="84"/>
  <c r="F209" i="84" s="1"/>
  <c r="K209" i="84"/>
  <c r="K208" i="84" s="1"/>
  <c r="K207" i="84" s="1"/>
  <c r="L205" i="84"/>
  <c r="I205" i="84"/>
  <c r="M205" i="84" s="1"/>
  <c r="N205" i="84" s="1"/>
  <c r="K204" i="84"/>
  <c r="J204" i="84"/>
  <c r="H204" i="84"/>
  <c r="G204" i="84"/>
  <c r="F204" i="84"/>
  <c r="J203" i="84"/>
  <c r="J202" i="84" s="1"/>
  <c r="J201" i="84" s="1"/>
  <c r="H203" i="84"/>
  <c r="H202" i="84" s="1"/>
  <c r="H201" i="84" s="1"/>
  <c r="H199" i="84" s="1"/>
  <c r="H198" i="84" s="1"/>
  <c r="F203" i="84"/>
  <c r="F202" i="84" s="1"/>
  <c r="F201" i="84" s="1"/>
  <c r="L200" i="84"/>
  <c r="I200" i="84"/>
  <c r="F199" i="84"/>
  <c r="F198" i="84"/>
  <c r="L197" i="84"/>
  <c r="I197" i="84"/>
  <c r="M197" i="84" s="1"/>
  <c r="N197" i="84" s="1"/>
  <c r="L196" i="84"/>
  <c r="I196" i="84"/>
  <c r="M196" i="84" s="1"/>
  <c r="N196" i="84" s="1"/>
  <c r="K195" i="84"/>
  <c r="J195" i="84"/>
  <c r="L195" i="84" s="1"/>
  <c r="H195" i="84"/>
  <c r="G195" i="84"/>
  <c r="G194" i="84" s="1"/>
  <c r="I194" i="84" s="1"/>
  <c r="F195" i="84"/>
  <c r="K194" i="84"/>
  <c r="J194" i="84"/>
  <c r="L194" i="84" s="1"/>
  <c r="H194" i="84"/>
  <c r="F194" i="84"/>
  <c r="L193" i="84"/>
  <c r="M193" i="84" s="1"/>
  <c r="N193" i="84" s="1"/>
  <c r="L192" i="84"/>
  <c r="M192" i="84" s="1"/>
  <c r="N192" i="84" s="1"/>
  <c r="L191" i="84"/>
  <c r="M191" i="84" s="1"/>
  <c r="N191" i="84" s="1"/>
  <c r="L190" i="84"/>
  <c r="M190" i="84" s="1"/>
  <c r="N190" i="84" s="1"/>
  <c r="M189" i="84"/>
  <c r="N189" i="84" s="1"/>
  <c r="L189" i="84"/>
  <c r="I189" i="84"/>
  <c r="K188" i="84"/>
  <c r="J188" i="84"/>
  <c r="L188" i="84" s="1"/>
  <c r="H188" i="84"/>
  <c r="H187" i="84" s="1"/>
  <c r="H186" i="84" s="1"/>
  <c r="H185" i="84" s="1"/>
  <c r="H184" i="84" s="1"/>
  <c r="G188" i="84"/>
  <c r="F188" i="84"/>
  <c r="F187" i="84" s="1"/>
  <c r="K187" i="84"/>
  <c r="K186" i="84" s="1"/>
  <c r="K185" i="84" s="1"/>
  <c r="G187" i="84"/>
  <c r="M183" i="84"/>
  <c r="N183" i="84" s="1"/>
  <c r="L183" i="84"/>
  <c r="L182" i="84"/>
  <c r="M182" i="84" s="1"/>
  <c r="N182" i="84" s="1"/>
  <c r="I182" i="84"/>
  <c r="K181" i="84"/>
  <c r="K180" i="84" s="1"/>
  <c r="J181" i="84"/>
  <c r="H181" i="84"/>
  <c r="H180" i="84" s="1"/>
  <c r="G181" i="84"/>
  <c r="I181" i="84" s="1"/>
  <c r="F181" i="84"/>
  <c r="F180" i="84" s="1"/>
  <c r="L179" i="84"/>
  <c r="I179" i="84"/>
  <c r="M179" i="84" s="1"/>
  <c r="N179" i="84" s="1"/>
  <c r="L178" i="84"/>
  <c r="I178" i="84"/>
  <c r="L177" i="84"/>
  <c r="K177" i="84"/>
  <c r="K176" i="84" s="1"/>
  <c r="J177" i="84"/>
  <c r="J176" i="84" s="1"/>
  <c r="H177" i="84"/>
  <c r="H176" i="84" s="1"/>
  <c r="G177" i="84"/>
  <c r="G176" i="84" s="1"/>
  <c r="F177" i="84"/>
  <c r="M172" i="84"/>
  <c r="N172" i="84" s="1"/>
  <c r="L172" i="84"/>
  <c r="L171" i="84"/>
  <c r="I171" i="84"/>
  <c r="M171" i="84" s="1"/>
  <c r="N171" i="84" s="1"/>
  <c r="L170" i="84"/>
  <c r="I170" i="84"/>
  <c r="L169" i="84"/>
  <c r="K169" i="84"/>
  <c r="K168" i="84" s="1"/>
  <c r="K167" i="84" s="1"/>
  <c r="K166" i="84" s="1"/>
  <c r="K165" i="84" s="1"/>
  <c r="J169" i="84"/>
  <c r="J168" i="84" s="1"/>
  <c r="H169" i="84"/>
  <c r="H168" i="84" s="1"/>
  <c r="H167" i="84" s="1"/>
  <c r="H166" i="84" s="1"/>
  <c r="H165" i="84" s="1"/>
  <c r="G169" i="84"/>
  <c r="G168" i="84" s="1"/>
  <c r="F169" i="84"/>
  <c r="M164" i="84"/>
  <c r="N164" i="84" s="1"/>
  <c r="L164" i="84"/>
  <c r="I164" i="84"/>
  <c r="M163" i="84"/>
  <c r="N163" i="84" s="1"/>
  <c r="L163" i="84"/>
  <c r="I163" i="84"/>
  <c r="L162" i="84"/>
  <c r="K162" i="84"/>
  <c r="J162" i="84"/>
  <c r="I162" i="84"/>
  <c r="H162" i="84"/>
  <c r="G162" i="84"/>
  <c r="F162" i="84"/>
  <c r="L161" i="84"/>
  <c r="I161" i="84"/>
  <c r="M161" i="84" s="1"/>
  <c r="N161" i="84" s="1"/>
  <c r="K160" i="84"/>
  <c r="J160" i="84"/>
  <c r="L160" i="84" s="1"/>
  <c r="H160" i="84"/>
  <c r="H159" i="84" s="1"/>
  <c r="G160" i="84"/>
  <c r="G156" i="84" s="1"/>
  <c r="I156" i="84" s="1"/>
  <c r="F160" i="84"/>
  <c r="K159" i="84"/>
  <c r="G159" i="84"/>
  <c r="I159" i="84" s="1"/>
  <c r="L158" i="84"/>
  <c r="I158" i="84"/>
  <c r="M158" i="84" s="1"/>
  <c r="N158" i="84" s="1"/>
  <c r="L157" i="84"/>
  <c r="K157" i="84"/>
  <c r="K156" i="84" s="1"/>
  <c r="J157" i="84"/>
  <c r="H157" i="84"/>
  <c r="G157" i="84"/>
  <c r="F157" i="84"/>
  <c r="H156" i="84"/>
  <c r="L155" i="84"/>
  <c r="I155" i="84"/>
  <c r="M155" i="84" s="1"/>
  <c r="N155" i="84" s="1"/>
  <c r="L154" i="84"/>
  <c r="I154" i="84"/>
  <c r="M154" i="84" s="1"/>
  <c r="N154" i="84" s="1"/>
  <c r="K153" i="84"/>
  <c r="J153" i="84"/>
  <c r="L153" i="84" s="1"/>
  <c r="H153" i="84"/>
  <c r="G153" i="84"/>
  <c r="I153" i="84" s="1"/>
  <c r="M153" i="84" s="1"/>
  <c r="F153" i="84"/>
  <c r="L152" i="84"/>
  <c r="I152" i="84"/>
  <c r="M152" i="84" s="1"/>
  <c r="N152" i="84" s="1"/>
  <c r="L151" i="84"/>
  <c r="I151" i="84"/>
  <c r="K150" i="84"/>
  <c r="K149" i="84" s="1"/>
  <c r="K148" i="84" s="1"/>
  <c r="K147" i="84" s="1"/>
  <c r="J150" i="84"/>
  <c r="H150" i="84"/>
  <c r="G150" i="84"/>
  <c r="I150" i="84" s="1"/>
  <c r="F150" i="84"/>
  <c r="H149" i="84"/>
  <c r="H148" i="84" s="1"/>
  <c r="H147" i="84" s="1"/>
  <c r="G149" i="84"/>
  <c r="G148" i="84" s="1"/>
  <c r="L146" i="84"/>
  <c r="I146" i="84"/>
  <c r="M146" i="84" s="1"/>
  <c r="N146" i="84" s="1"/>
  <c r="L145" i="84"/>
  <c r="I145" i="84"/>
  <c r="L144" i="84"/>
  <c r="I144" i="84"/>
  <c r="M144" i="84" s="1"/>
  <c r="N144" i="84" s="1"/>
  <c r="K143" i="84"/>
  <c r="K142" i="84" s="1"/>
  <c r="K141" i="84" s="1"/>
  <c r="K140" i="84" s="1"/>
  <c r="J143" i="84"/>
  <c r="J142" i="84" s="1"/>
  <c r="H143" i="84"/>
  <c r="G143" i="84"/>
  <c r="F143" i="84"/>
  <c r="F142" i="84" s="1"/>
  <c r="H142" i="84"/>
  <c r="H141" i="84" s="1"/>
  <c r="H140" i="84" s="1"/>
  <c r="L136" i="84"/>
  <c r="I136" i="84"/>
  <c r="M136" i="84" s="1"/>
  <c r="N136" i="84" s="1"/>
  <c r="L135" i="84"/>
  <c r="I135" i="84"/>
  <c r="M135" i="84" s="1"/>
  <c r="N135" i="84" s="1"/>
  <c r="L134" i="84"/>
  <c r="I134" i="84"/>
  <c r="M134" i="84" s="1"/>
  <c r="N134" i="84" s="1"/>
  <c r="L133" i="84"/>
  <c r="I133" i="84"/>
  <c r="M133" i="84" s="1"/>
  <c r="N133" i="84" s="1"/>
  <c r="K132" i="84"/>
  <c r="K131" i="84" s="1"/>
  <c r="J132" i="84"/>
  <c r="L132" i="84" s="1"/>
  <c r="H132" i="84"/>
  <c r="H131" i="84" s="1"/>
  <c r="G132" i="84"/>
  <c r="F132" i="84"/>
  <c r="J131" i="84"/>
  <c r="L131" i="84" s="1"/>
  <c r="F131" i="84"/>
  <c r="L130" i="84"/>
  <c r="I130" i="84"/>
  <c r="M130" i="84" s="1"/>
  <c r="N130" i="84" s="1"/>
  <c r="L129" i="84"/>
  <c r="I129" i="84"/>
  <c r="L128" i="84"/>
  <c r="I128" i="84"/>
  <c r="M128" i="84" s="1"/>
  <c r="N128" i="84" s="1"/>
  <c r="K127" i="84"/>
  <c r="K126" i="84" s="1"/>
  <c r="J127" i="84"/>
  <c r="J126" i="84" s="1"/>
  <c r="H127" i="84"/>
  <c r="H126" i="84" s="1"/>
  <c r="G127" i="84"/>
  <c r="F127" i="84"/>
  <c r="F126" i="84" s="1"/>
  <c r="L120" i="84"/>
  <c r="I120" i="84"/>
  <c r="M120" i="84" s="1"/>
  <c r="N120" i="84" s="1"/>
  <c r="L119" i="84"/>
  <c r="I119" i="84"/>
  <c r="M119" i="84" s="1"/>
  <c r="N119" i="84" s="1"/>
  <c r="L118" i="84"/>
  <c r="I118" i="84"/>
  <c r="M118" i="84" s="1"/>
  <c r="N118" i="84" s="1"/>
  <c r="K117" i="84"/>
  <c r="K116" i="84" s="1"/>
  <c r="J117" i="84"/>
  <c r="L117" i="84" s="1"/>
  <c r="H117" i="84"/>
  <c r="H116" i="84" s="1"/>
  <c r="H115" i="84" s="1"/>
  <c r="H114" i="84" s="1"/>
  <c r="H113" i="84" s="1"/>
  <c r="G117" i="84"/>
  <c r="F117" i="84"/>
  <c r="F116" i="84" s="1"/>
  <c r="F115" i="84" s="1"/>
  <c r="J116" i="84"/>
  <c r="K115" i="84"/>
  <c r="K114" i="84" s="1"/>
  <c r="L112" i="84"/>
  <c r="I112" i="84"/>
  <c r="M112" i="84" s="1"/>
  <c r="N112" i="84" s="1"/>
  <c r="L111" i="84"/>
  <c r="M111" i="84" s="1"/>
  <c r="N111" i="84" s="1"/>
  <c r="I111" i="84"/>
  <c r="L110" i="84"/>
  <c r="I110" i="84"/>
  <c r="M110" i="84" s="1"/>
  <c r="N110" i="84" s="1"/>
  <c r="L109" i="84"/>
  <c r="I109" i="84"/>
  <c r="M109" i="84" s="1"/>
  <c r="N109" i="84" s="1"/>
  <c r="L108" i="84"/>
  <c r="M108" i="84" s="1"/>
  <c r="N108" i="84" s="1"/>
  <c r="I108" i="84"/>
  <c r="L107" i="84"/>
  <c r="I107" i="84"/>
  <c r="M107" i="84" s="1"/>
  <c r="N107" i="84" s="1"/>
  <c r="L106" i="84"/>
  <c r="I106" i="84"/>
  <c r="M106" i="84" s="1"/>
  <c r="N106" i="84" s="1"/>
  <c r="L105" i="84"/>
  <c r="M105" i="84" s="1"/>
  <c r="N105" i="84" s="1"/>
  <c r="I105" i="84"/>
  <c r="L104" i="84"/>
  <c r="I104" i="84"/>
  <c r="M104" i="84" s="1"/>
  <c r="N104" i="84" s="1"/>
  <c r="L103" i="84"/>
  <c r="I103" i="84"/>
  <c r="M103" i="84" s="1"/>
  <c r="N103" i="84" s="1"/>
  <c r="K102" i="84"/>
  <c r="J102" i="84"/>
  <c r="I102" i="84"/>
  <c r="H102" i="84"/>
  <c r="H101" i="84" s="1"/>
  <c r="G102" i="84"/>
  <c r="G101" i="84" s="1"/>
  <c r="I101" i="84" s="1"/>
  <c r="F102" i="84"/>
  <c r="F101" i="84" s="1"/>
  <c r="K101" i="84"/>
  <c r="L100" i="84"/>
  <c r="I100" i="84"/>
  <c r="H99" i="84"/>
  <c r="G99" i="84"/>
  <c r="F99" i="84"/>
  <c r="L98" i="84"/>
  <c r="I98" i="84"/>
  <c r="L97" i="84"/>
  <c r="I97" i="84"/>
  <c r="M97" i="84" s="1"/>
  <c r="N97" i="84" s="1"/>
  <c r="L96" i="84"/>
  <c r="I96" i="84"/>
  <c r="J95" i="84"/>
  <c r="H95" i="84"/>
  <c r="G95" i="84"/>
  <c r="F95" i="84"/>
  <c r="L94" i="84"/>
  <c r="I94" i="84"/>
  <c r="M94" i="84" s="1"/>
  <c r="N94" i="84" s="1"/>
  <c r="M93" i="84"/>
  <c r="N93" i="84" s="1"/>
  <c r="L93" i="84"/>
  <c r="I93" i="84"/>
  <c r="L92" i="84"/>
  <c r="I92" i="84"/>
  <c r="M92" i="84" s="1"/>
  <c r="N92" i="84" s="1"/>
  <c r="M91" i="84"/>
  <c r="N91" i="84" s="1"/>
  <c r="L91" i="84"/>
  <c r="I91" i="84"/>
  <c r="L90" i="84"/>
  <c r="I90" i="84"/>
  <c r="M90" i="84" s="1"/>
  <c r="N90" i="84" s="1"/>
  <c r="M89" i="84"/>
  <c r="N89" i="84" s="1"/>
  <c r="L89" i="84"/>
  <c r="I89" i="84"/>
  <c r="L88" i="84"/>
  <c r="I88" i="84"/>
  <c r="M88" i="84" s="1"/>
  <c r="N88" i="84" s="1"/>
  <c r="M87" i="84"/>
  <c r="N87" i="84" s="1"/>
  <c r="L87" i="84"/>
  <c r="I87" i="84"/>
  <c r="L86" i="84"/>
  <c r="I86" i="84"/>
  <c r="M86" i="84" s="1"/>
  <c r="N86" i="84" s="1"/>
  <c r="M85" i="84"/>
  <c r="N85" i="84" s="1"/>
  <c r="L85" i="84"/>
  <c r="I85" i="84"/>
  <c r="K84" i="84"/>
  <c r="L84" i="84" s="1"/>
  <c r="H84" i="84"/>
  <c r="G84" i="84"/>
  <c r="F84" i="84"/>
  <c r="H82" i="84"/>
  <c r="K81" i="84"/>
  <c r="L81" i="84" s="1"/>
  <c r="G81" i="84"/>
  <c r="F81" i="84"/>
  <c r="M80" i="84"/>
  <c r="N80" i="84" s="1"/>
  <c r="I80" i="84"/>
  <c r="K79" i="84"/>
  <c r="L79" i="84" s="1"/>
  <c r="H79" i="84"/>
  <c r="G79" i="84"/>
  <c r="I79" i="84" s="1"/>
  <c r="F79" i="84"/>
  <c r="F76" i="84" s="1"/>
  <c r="L78" i="84"/>
  <c r="I78" i="84"/>
  <c r="K77" i="84"/>
  <c r="L77" i="84" s="1"/>
  <c r="H77" i="84"/>
  <c r="G77" i="84"/>
  <c r="I77" i="84" s="1"/>
  <c r="M77" i="84" s="1"/>
  <c r="F77" i="84"/>
  <c r="L75" i="84"/>
  <c r="I75" i="84"/>
  <c r="I74" i="84" s="1"/>
  <c r="K74" i="84"/>
  <c r="L74" i="84" s="1"/>
  <c r="H74" i="84"/>
  <c r="G74" i="84"/>
  <c r="F74" i="84"/>
  <c r="L73" i="84"/>
  <c r="I73" i="84"/>
  <c r="K72" i="84"/>
  <c r="L72" i="84" s="1"/>
  <c r="H72" i="84"/>
  <c r="G72" i="84"/>
  <c r="I72" i="84" s="1"/>
  <c r="F72" i="84"/>
  <c r="L71" i="84"/>
  <c r="I71" i="84"/>
  <c r="K70" i="84"/>
  <c r="L70" i="84" s="1"/>
  <c r="H70" i="84"/>
  <c r="G70" i="84"/>
  <c r="I70" i="84" s="1"/>
  <c r="M70" i="84" s="1"/>
  <c r="F70" i="84"/>
  <c r="L69" i="84"/>
  <c r="I69" i="84"/>
  <c r="K68" i="84"/>
  <c r="L68" i="84" s="1"/>
  <c r="H68" i="84"/>
  <c r="G68" i="84"/>
  <c r="F68" i="84"/>
  <c r="L67" i="84"/>
  <c r="I67" i="84"/>
  <c r="M67" i="84" s="1"/>
  <c r="N67" i="84" s="1"/>
  <c r="K66" i="84"/>
  <c r="L66" i="84" s="1"/>
  <c r="H66" i="84"/>
  <c r="G66" i="84"/>
  <c r="I66" i="84" s="1"/>
  <c r="F66" i="84"/>
  <c r="L65" i="84"/>
  <c r="I65" i="84"/>
  <c r="L64" i="84"/>
  <c r="K64" i="84"/>
  <c r="H64" i="84"/>
  <c r="G64" i="84"/>
  <c r="F64" i="84"/>
  <c r="L63" i="84"/>
  <c r="I63" i="84"/>
  <c r="K62" i="84"/>
  <c r="L62" i="84" s="1"/>
  <c r="H62" i="84"/>
  <c r="G62" i="84"/>
  <c r="I62" i="84" s="1"/>
  <c r="F62" i="84"/>
  <c r="L61" i="84"/>
  <c r="I61" i="84"/>
  <c r="K60" i="84"/>
  <c r="L60" i="84" s="1"/>
  <c r="H60" i="84"/>
  <c r="G60" i="84"/>
  <c r="F60" i="84"/>
  <c r="F51" i="84" s="1"/>
  <c r="L59" i="84"/>
  <c r="I59" i="84"/>
  <c r="M59" i="84" s="1"/>
  <c r="N59" i="84" s="1"/>
  <c r="K58" i="84"/>
  <c r="L58" i="84" s="1"/>
  <c r="H58" i="84"/>
  <c r="G58" i="84"/>
  <c r="I58" i="84" s="1"/>
  <c r="F58" i="84"/>
  <c r="L57" i="84"/>
  <c r="I57" i="84"/>
  <c r="K56" i="84"/>
  <c r="L56" i="84" s="1"/>
  <c r="H56" i="84"/>
  <c r="G56" i="84"/>
  <c r="F56" i="84"/>
  <c r="L55" i="84"/>
  <c r="I55" i="84"/>
  <c r="K54" i="84"/>
  <c r="L54" i="84" s="1"/>
  <c r="H54" i="84"/>
  <c r="G54" i="84"/>
  <c r="I54" i="84" s="1"/>
  <c r="F54" i="84"/>
  <c r="L53" i="84"/>
  <c r="I53" i="84"/>
  <c r="L52" i="84"/>
  <c r="K52" i="84"/>
  <c r="H52" i="84"/>
  <c r="G52" i="84"/>
  <c r="F52" i="84"/>
  <c r="J48" i="84"/>
  <c r="L45" i="84"/>
  <c r="M45" i="84" s="1"/>
  <c r="N45" i="84" s="1"/>
  <c r="I45" i="84"/>
  <c r="L44" i="84"/>
  <c r="I44" i="84"/>
  <c r="M44" i="84" s="1"/>
  <c r="N44" i="84" s="1"/>
  <c r="K43" i="84"/>
  <c r="K42" i="84" s="1"/>
  <c r="J43" i="84"/>
  <c r="H43" i="84"/>
  <c r="H42" i="84" s="1"/>
  <c r="G43" i="84"/>
  <c r="I43" i="84" s="1"/>
  <c r="F43" i="84"/>
  <c r="F42" i="84" s="1"/>
  <c r="L41" i="84"/>
  <c r="I41" i="84"/>
  <c r="L40" i="84"/>
  <c r="M40" i="84" s="1"/>
  <c r="N40" i="84" s="1"/>
  <c r="M39" i="84"/>
  <c r="N39" i="84" s="1"/>
  <c r="L39" i="84"/>
  <c r="L38" i="84"/>
  <c r="M38" i="84" s="1"/>
  <c r="N38" i="84" s="1"/>
  <c r="L37" i="84"/>
  <c r="I37" i="84"/>
  <c r="M37" i="84" s="1"/>
  <c r="N37" i="84" s="1"/>
  <c r="K36" i="84"/>
  <c r="K35" i="84" s="1"/>
  <c r="J36" i="84"/>
  <c r="L36" i="84" s="1"/>
  <c r="H36" i="84"/>
  <c r="G36" i="84"/>
  <c r="G35" i="84" s="1"/>
  <c r="F36" i="84"/>
  <c r="F35" i="84"/>
  <c r="F34" i="84" s="1"/>
  <c r="M31" i="84"/>
  <c r="N31" i="84" s="1"/>
  <c r="L31" i="84"/>
  <c r="I31" i="84"/>
  <c r="K30" i="84"/>
  <c r="K29" i="84" s="1"/>
  <c r="J30" i="84"/>
  <c r="H30" i="84"/>
  <c r="H29" i="84" s="1"/>
  <c r="G30" i="84"/>
  <c r="F30" i="84"/>
  <c r="F29" i="84" s="1"/>
  <c r="L28" i="84"/>
  <c r="M28" i="84" s="1"/>
  <c r="N28" i="84" s="1"/>
  <c r="N27" i="84"/>
  <c r="M27" i="84"/>
  <c r="L27" i="84"/>
  <c r="P26" i="84"/>
  <c r="L26" i="84"/>
  <c r="I26" i="84"/>
  <c r="M26" i="84" s="1"/>
  <c r="N26" i="84" s="1"/>
  <c r="L25" i="84"/>
  <c r="I25" i="84"/>
  <c r="L24" i="84"/>
  <c r="I24" i="84"/>
  <c r="M24" i="84" s="1"/>
  <c r="N24" i="84" s="1"/>
  <c r="K23" i="84"/>
  <c r="K22" i="84" s="1"/>
  <c r="K21" i="84" s="1"/>
  <c r="K20" i="84" s="1"/>
  <c r="K19" i="84" s="1"/>
  <c r="J23" i="84"/>
  <c r="L23" i="84" s="1"/>
  <c r="H23" i="84"/>
  <c r="H22" i="84" s="1"/>
  <c r="H21" i="84" s="1"/>
  <c r="H20" i="84" s="1"/>
  <c r="H19" i="84" s="1"/>
  <c r="G23" i="84"/>
  <c r="F23" i="84"/>
  <c r="T19" i="84"/>
  <c r="S19" i="84"/>
  <c r="U17" i="84"/>
  <c r="M25" i="84" l="1"/>
  <c r="N25" i="84" s="1"/>
  <c r="I30" i="84"/>
  <c r="N162" i="84"/>
  <c r="I188" i="84"/>
  <c r="M188" i="84" s="1"/>
  <c r="N188" i="84" s="1"/>
  <c r="I252" i="84"/>
  <c r="G251" i="84"/>
  <c r="I251" i="84" s="1"/>
  <c r="I306" i="84"/>
  <c r="M306" i="84" s="1"/>
  <c r="G305" i="84"/>
  <c r="I305" i="84" s="1"/>
  <c r="L333" i="84"/>
  <c r="J332" i="84"/>
  <c r="L332" i="84" s="1"/>
  <c r="M179" i="85"/>
  <c r="N179" i="85" s="1"/>
  <c r="H235" i="85"/>
  <c r="H234" i="85" s="1"/>
  <c r="H232" i="85" s="1"/>
  <c r="H231" i="85" s="1"/>
  <c r="I236" i="85"/>
  <c r="M236" i="85" s="1"/>
  <c r="L379" i="85"/>
  <c r="M379" i="85" s="1"/>
  <c r="N379" i="85" s="1"/>
  <c r="J378" i="85"/>
  <c r="L378" i="85" s="1"/>
  <c r="M378" i="85" s="1"/>
  <c r="N378" i="85" s="1"/>
  <c r="I366" i="84"/>
  <c r="H363" i="84"/>
  <c r="H81" i="84"/>
  <c r="H76" i="84" s="1"/>
  <c r="I82" i="84"/>
  <c r="M82" i="84" s="1"/>
  <c r="N82" i="84" s="1"/>
  <c r="H301" i="84"/>
  <c r="H300" i="84" s="1"/>
  <c r="H299" i="84" s="1"/>
  <c r="I378" i="84"/>
  <c r="M378" i="84" s="1"/>
  <c r="N378" i="84" s="1"/>
  <c r="H194" i="85"/>
  <c r="I195" i="85"/>
  <c r="G116" i="84"/>
  <c r="G115" i="84" s="1"/>
  <c r="I117" i="84"/>
  <c r="M117" i="84" s="1"/>
  <c r="G131" i="84"/>
  <c r="I131" i="84" s="1"/>
  <c r="M131" i="84" s="1"/>
  <c r="N131" i="84" s="1"/>
  <c r="I132" i="84"/>
  <c r="M132" i="84" s="1"/>
  <c r="N132" i="84" s="1"/>
  <c r="I260" i="84"/>
  <c r="M260" i="84" s="1"/>
  <c r="G259" i="84"/>
  <c r="I259" i="84" s="1"/>
  <c r="I273" i="84"/>
  <c r="M273" i="84" s="1"/>
  <c r="G272" i="84"/>
  <c r="M292" i="84"/>
  <c r="I394" i="84"/>
  <c r="M394" i="84" s="1"/>
  <c r="H387" i="84"/>
  <c r="I42" i="85"/>
  <c r="H83" i="85"/>
  <c r="H221" i="85"/>
  <c r="M230" i="85"/>
  <c r="N230" i="85" s="1"/>
  <c r="G345" i="85"/>
  <c r="G344" i="85" s="1"/>
  <c r="G343" i="85" s="1"/>
  <c r="I343" i="85" s="1"/>
  <c r="I346" i="85"/>
  <c r="M346" i="85" s="1"/>
  <c r="G83" i="85"/>
  <c r="L216" i="86"/>
  <c r="M216" i="86" s="1"/>
  <c r="N216" i="86" s="1"/>
  <c r="J208" i="86"/>
  <c r="K51" i="84"/>
  <c r="L51" i="84" s="1"/>
  <c r="M74" i="84"/>
  <c r="N74" i="84" s="1"/>
  <c r="H35" i="84"/>
  <c r="I36" i="84"/>
  <c r="M36" i="84" s="1"/>
  <c r="M194" i="84"/>
  <c r="N194" i="84" s="1"/>
  <c r="L382" i="84"/>
  <c r="J381" i="84"/>
  <c r="J377" i="84" s="1"/>
  <c r="J376" i="84" s="1"/>
  <c r="L36" i="85"/>
  <c r="M36" i="85" s="1"/>
  <c r="N36" i="85" s="1"/>
  <c r="J35" i="85"/>
  <c r="L35" i="85" s="1"/>
  <c r="L77" i="85"/>
  <c r="K76" i="85"/>
  <c r="L76" i="85" s="1"/>
  <c r="H272" i="85"/>
  <c r="H271" i="85" s="1"/>
  <c r="H270" i="85" s="1"/>
  <c r="H269" i="85" s="1"/>
  <c r="I273" i="85"/>
  <c r="M273" i="85" s="1"/>
  <c r="N273" i="85" s="1"/>
  <c r="G302" i="85"/>
  <c r="I302" i="85" s="1"/>
  <c r="I303" i="85"/>
  <c r="H322" i="85"/>
  <c r="I323" i="85"/>
  <c r="I235" i="85"/>
  <c r="G234" i="85"/>
  <c r="I234" i="85" s="1"/>
  <c r="M234" i="85" s="1"/>
  <c r="N234" i="85" s="1"/>
  <c r="L341" i="85"/>
  <c r="M341" i="85" s="1"/>
  <c r="N341" i="85" s="1"/>
  <c r="J340" i="85"/>
  <c r="G29" i="84"/>
  <c r="I29" i="84" s="1"/>
  <c r="H51" i="84"/>
  <c r="M58" i="84"/>
  <c r="L224" i="84"/>
  <c r="J223" i="84"/>
  <c r="L223" i="84" s="1"/>
  <c r="L51" i="85"/>
  <c r="K50" i="85"/>
  <c r="H206" i="85"/>
  <c r="H301" i="85"/>
  <c r="H300" i="85" s="1"/>
  <c r="H299" i="85" s="1"/>
  <c r="H298" i="85" s="1"/>
  <c r="I35" i="84"/>
  <c r="G42" i="84"/>
  <c r="I42" i="84" s="1"/>
  <c r="I56" i="84"/>
  <c r="I68" i="84"/>
  <c r="M68" i="84" s="1"/>
  <c r="M100" i="84"/>
  <c r="N100" i="84" s="1"/>
  <c r="M129" i="84"/>
  <c r="N129" i="84" s="1"/>
  <c r="L150" i="84"/>
  <c r="F149" i="84"/>
  <c r="I157" i="84"/>
  <c r="M157" i="84" s="1"/>
  <c r="I160" i="84"/>
  <c r="G180" i="84"/>
  <c r="I180" i="84" s="1"/>
  <c r="L181" i="84"/>
  <c r="M181" i="84" s="1"/>
  <c r="N181" i="84" s="1"/>
  <c r="I195" i="84"/>
  <c r="M195" i="84" s="1"/>
  <c r="N195" i="84" s="1"/>
  <c r="M200" i="84"/>
  <c r="N200" i="84" s="1"/>
  <c r="K206" i="84"/>
  <c r="M211" i="84"/>
  <c r="N211" i="84" s="1"/>
  <c r="M218" i="84"/>
  <c r="N218" i="84" s="1"/>
  <c r="I235" i="84"/>
  <c r="M235" i="84" s="1"/>
  <c r="N235" i="84" s="1"/>
  <c r="I282" i="84"/>
  <c r="M282" i="84" s="1"/>
  <c r="N282" i="84" s="1"/>
  <c r="M287" i="84"/>
  <c r="N287" i="84" s="1"/>
  <c r="I320" i="84"/>
  <c r="M342" i="84"/>
  <c r="N342" i="84" s="1"/>
  <c r="I354" i="84"/>
  <c r="I361" i="84"/>
  <c r="M361" i="84" s="1"/>
  <c r="N361" i="84" s="1"/>
  <c r="I373" i="84"/>
  <c r="F377" i="84"/>
  <c r="I379" i="84"/>
  <c r="M412" i="84"/>
  <c r="M53" i="85"/>
  <c r="N53" i="85" s="1"/>
  <c r="M55" i="85"/>
  <c r="N55" i="85" s="1"/>
  <c r="M57" i="85"/>
  <c r="N57" i="85" s="1"/>
  <c r="M59" i="85"/>
  <c r="N59" i="85" s="1"/>
  <c r="M61" i="85"/>
  <c r="N61" i="85" s="1"/>
  <c r="M63" i="85"/>
  <c r="N63" i="85" s="1"/>
  <c r="M65" i="85"/>
  <c r="N65" i="85" s="1"/>
  <c r="M67" i="85"/>
  <c r="N67" i="85" s="1"/>
  <c r="M69" i="85"/>
  <c r="N69" i="85" s="1"/>
  <c r="M71" i="85"/>
  <c r="N71" i="85" s="1"/>
  <c r="M73" i="85"/>
  <c r="N73" i="85" s="1"/>
  <c r="M75" i="85"/>
  <c r="N75" i="85" s="1"/>
  <c r="H76" i="85"/>
  <c r="M91" i="85"/>
  <c r="N91" i="85" s="1"/>
  <c r="M94" i="85"/>
  <c r="N94" i="85" s="1"/>
  <c r="I102" i="85"/>
  <c r="I117" i="85"/>
  <c r="M119" i="85"/>
  <c r="N119" i="85" s="1"/>
  <c r="M136" i="85"/>
  <c r="N136" i="85" s="1"/>
  <c r="L143" i="85"/>
  <c r="M143" i="85" s="1"/>
  <c r="N143" i="85" s="1"/>
  <c r="M146" i="85"/>
  <c r="N146" i="85" s="1"/>
  <c r="I150" i="85"/>
  <c r="M152" i="85"/>
  <c r="N152" i="85" s="1"/>
  <c r="L153" i="85"/>
  <c r="I157" i="85"/>
  <c r="M157" i="85" s="1"/>
  <c r="N157" i="85" s="1"/>
  <c r="L160" i="85"/>
  <c r="M160" i="85" s="1"/>
  <c r="N160" i="85" s="1"/>
  <c r="I194" i="85"/>
  <c r="I217" i="85"/>
  <c r="H314" i="85"/>
  <c r="H313" i="85" s="1"/>
  <c r="H312" i="85" s="1"/>
  <c r="G319" i="85"/>
  <c r="I319" i="85" s="1"/>
  <c r="I322" i="85"/>
  <c r="G334" i="85"/>
  <c r="G333" i="85" s="1"/>
  <c r="G360" i="85"/>
  <c r="I360" i="85" s="1"/>
  <c r="G372" i="85"/>
  <c r="N309" i="86"/>
  <c r="L156" i="86"/>
  <c r="M156" i="86" s="1"/>
  <c r="N156" i="86" s="1"/>
  <c r="M127" i="86"/>
  <c r="N127" i="86" s="1"/>
  <c r="J242" i="86"/>
  <c r="L243" i="86"/>
  <c r="I60" i="84"/>
  <c r="M60" i="84" s="1"/>
  <c r="M79" i="84"/>
  <c r="N79" i="84" s="1"/>
  <c r="H83" i="84"/>
  <c r="H50" i="84" s="1"/>
  <c r="H49" i="84" s="1"/>
  <c r="H48" i="84" s="1"/>
  <c r="H47" i="84" s="1"/>
  <c r="M151" i="84"/>
  <c r="N151" i="84" s="1"/>
  <c r="M170" i="84"/>
  <c r="N170" i="84" s="1"/>
  <c r="M178" i="84"/>
  <c r="N178" i="84" s="1"/>
  <c r="I234" i="84"/>
  <c r="I281" i="84"/>
  <c r="I291" i="84"/>
  <c r="M291" i="84" s="1"/>
  <c r="N291" i="84" s="1"/>
  <c r="M311" i="84"/>
  <c r="N311" i="84" s="1"/>
  <c r="I347" i="84"/>
  <c r="I353" i="84"/>
  <c r="L355" i="84"/>
  <c r="M355" i="84" s="1"/>
  <c r="N355" i="84" s="1"/>
  <c r="L379" i="84"/>
  <c r="M31" i="85"/>
  <c r="N31" i="85" s="1"/>
  <c r="K34" i="85"/>
  <c r="K33" i="85" s="1"/>
  <c r="K32" i="85" s="1"/>
  <c r="M86" i="85"/>
  <c r="N86" i="85" s="1"/>
  <c r="M89" i="85"/>
  <c r="N89" i="85" s="1"/>
  <c r="M92" i="85"/>
  <c r="N92" i="85" s="1"/>
  <c r="M120" i="85"/>
  <c r="N120" i="85" s="1"/>
  <c r="L131" i="85"/>
  <c r="M134" i="85"/>
  <c r="N134" i="85" s="1"/>
  <c r="I149" i="85"/>
  <c r="L150" i="85"/>
  <c r="M164" i="85"/>
  <c r="N164" i="85" s="1"/>
  <c r="I169" i="85"/>
  <c r="M171" i="85"/>
  <c r="N171" i="85" s="1"/>
  <c r="I226" i="85"/>
  <c r="M226" i="85" s="1"/>
  <c r="I227" i="85"/>
  <c r="M261" i="85"/>
  <c r="N261" i="85" s="1"/>
  <c r="L291" i="85"/>
  <c r="K353" i="85"/>
  <c r="K352" i="85" s="1"/>
  <c r="I363" i="85"/>
  <c r="H280" i="86"/>
  <c r="H279" i="86" s="1"/>
  <c r="H278" i="86" s="1"/>
  <c r="M117" i="86"/>
  <c r="N117" i="86" s="1"/>
  <c r="K18" i="86"/>
  <c r="M62" i="84"/>
  <c r="N62" i="84" s="1"/>
  <c r="L126" i="84"/>
  <c r="I143" i="84"/>
  <c r="M145" i="84"/>
  <c r="N145" i="84" s="1"/>
  <c r="F159" i="84"/>
  <c r="I176" i="84"/>
  <c r="I187" i="84"/>
  <c r="M215" i="84"/>
  <c r="N215" i="84" s="1"/>
  <c r="L252" i="84"/>
  <c r="M255" i="84"/>
  <c r="N255" i="84" s="1"/>
  <c r="I309" i="84"/>
  <c r="L319" i="84"/>
  <c r="M335" i="84"/>
  <c r="L360" i="84"/>
  <c r="G29" i="85"/>
  <c r="I29" i="85" s="1"/>
  <c r="M98" i="85"/>
  <c r="N98" i="85" s="1"/>
  <c r="G126" i="85"/>
  <c r="I126" i="85" s="1"/>
  <c r="M197" i="85"/>
  <c r="N197" i="85" s="1"/>
  <c r="M307" i="85"/>
  <c r="N307" i="85" s="1"/>
  <c r="M29" i="86"/>
  <c r="N29" i="86" s="1"/>
  <c r="J35" i="84"/>
  <c r="K34" i="84"/>
  <c r="K33" i="84" s="1"/>
  <c r="K32" i="84" s="1"/>
  <c r="K18" i="84" s="1"/>
  <c r="I52" i="84"/>
  <c r="M52" i="84" s="1"/>
  <c r="N52" i="84" s="1"/>
  <c r="I64" i="84"/>
  <c r="K76" i="84"/>
  <c r="L76" i="84" s="1"/>
  <c r="K83" i="84"/>
  <c r="L83" i="84" s="1"/>
  <c r="M162" i="84"/>
  <c r="G209" i="84"/>
  <c r="G208" i="84" s="1"/>
  <c r="J212" i="84"/>
  <c r="L212" i="84" s="1"/>
  <c r="G216" i="84"/>
  <c r="I216" i="84" s="1"/>
  <c r="L263" i="84"/>
  <c r="M263" i="84" s="1"/>
  <c r="N263" i="84" s="1"/>
  <c r="M283" i="84"/>
  <c r="N283" i="84" s="1"/>
  <c r="L292" i="84"/>
  <c r="I303" i="84"/>
  <c r="L341" i="84"/>
  <c r="M341" i="84" s="1"/>
  <c r="N341" i="84" s="1"/>
  <c r="K360" i="84"/>
  <c r="K359" i="84" s="1"/>
  <c r="K358" i="84" s="1"/>
  <c r="K357" i="84" s="1"/>
  <c r="M391" i="84"/>
  <c r="M41" i="85"/>
  <c r="N41" i="85" s="1"/>
  <c r="M81" i="85"/>
  <c r="N81" i="85" s="1"/>
  <c r="I212" i="85"/>
  <c r="I260" i="85"/>
  <c r="K363" i="85"/>
  <c r="M36" i="86"/>
  <c r="N36" i="86" s="1"/>
  <c r="K50" i="86"/>
  <c r="M51" i="86"/>
  <c r="N51" i="86" s="1"/>
  <c r="M54" i="84"/>
  <c r="M66" i="84"/>
  <c r="M225" i="84"/>
  <c r="N225" i="84" s="1"/>
  <c r="M229" i="84"/>
  <c r="N229" i="84" s="1"/>
  <c r="L309" i="84"/>
  <c r="I387" i="84"/>
  <c r="M387" i="84" s="1"/>
  <c r="M393" i="84"/>
  <c r="I160" i="85"/>
  <c r="N162" i="85"/>
  <c r="I177" i="85"/>
  <c r="M177" i="85" s="1"/>
  <c r="H186" i="85"/>
  <c r="H185" i="85" s="1"/>
  <c r="H184" i="85" s="1"/>
  <c r="L204" i="85"/>
  <c r="L234" i="85"/>
  <c r="N236" i="85"/>
  <c r="H258" i="85"/>
  <c r="H257" i="85" s="1"/>
  <c r="H256" i="85" s="1"/>
  <c r="M294" i="85"/>
  <c r="N294" i="85" s="1"/>
  <c r="K301" i="85"/>
  <c r="K300" i="85" s="1"/>
  <c r="K299" i="85" s="1"/>
  <c r="I306" i="85"/>
  <c r="M308" i="85"/>
  <c r="N308" i="85" s="1"/>
  <c r="L309" i="85"/>
  <c r="L347" i="85"/>
  <c r="H359" i="85"/>
  <c r="H358" i="85" s="1"/>
  <c r="H357" i="85" s="1"/>
  <c r="L364" i="85"/>
  <c r="L366" i="85"/>
  <c r="M366" i="85" s="1"/>
  <c r="N366" i="85" s="1"/>
  <c r="M406" i="86"/>
  <c r="I281" i="86"/>
  <c r="G76" i="85"/>
  <c r="G377" i="86"/>
  <c r="I378" i="86"/>
  <c r="M378" i="86" s="1"/>
  <c r="N378" i="86" s="1"/>
  <c r="J345" i="86"/>
  <c r="L346" i="86"/>
  <c r="M346" i="86" s="1"/>
  <c r="N346" i="86" s="1"/>
  <c r="I271" i="86"/>
  <c r="G270" i="86"/>
  <c r="I149" i="86"/>
  <c r="G148" i="86"/>
  <c r="I371" i="86"/>
  <c r="M371" i="86" s="1"/>
  <c r="N371" i="86" s="1"/>
  <c r="G370" i="86"/>
  <c r="F338" i="86"/>
  <c r="J270" i="86"/>
  <c r="L271" i="86"/>
  <c r="J250" i="86"/>
  <c r="L251" i="86"/>
  <c r="G199" i="86"/>
  <c r="I201" i="86"/>
  <c r="G115" i="86"/>
  <c r="I116" i="86"/>
  <c r="M116" i="86" s="1"/>
  <c r="N116" i="86" s="1"/>
  <c r="L222" i="86"/>
  <c r="J221" i="86"/>
  <c r="L175" i="86"/>
  <c r="J174" i="86"/>
  <c r="F141" i="86"/>
  <c r="N142" i="86"/>
  <c r="H174" i="86"/>
  <c r="I175" i="86"/>
  <c r="F185" i="86"/>
  <c r="J301" i="86"/>
  <c r="N319" i="86"/>
  <c r="G314" i="86"/>
  <c r="G34" i="86"/>
  <c r="I251" i="86"/>
  <c r="M251" i="86" s="1"/>
  <c r="N251" i="86" s="1"/>
  <c r="M126" i="86"/>
  <c r="M101" i="86"/>
  <c r="J352" i="86"/>
  <c r="L353" i="86"/>
  <c r="G339" i="86"/>
  <c r="I340" i="86"/>
  <c r="M340" i="86" s="1"/>
  <c r="N340" i="86" s="1"/>
  <c r="G279" i="86"/>
  <c r="I280" i="86"/>
  <c r="F241" i="86"/>
  <c r="I258" i="86"/>
  <c r="G257" i="86"/>
  <c r="I234" i="86"/>
  <c r="G232" i="86"/>
  <c r="F221" i="86"/>
  <c r="F313" i="86"/>
  <c r="J201" i="86"/>
  <c r="L202" i="86"/>
  <c r="M202" i="86" s="1"/>
  <c r="N202" i="86" s="1"/>
  <c r="J185" i="86"/>
  <c r="L186" i="86"/>
  <c r="G165" i="86"/>
  <c r="I165" i="86" s="1"/>
  <c r="I166" i="86"/>
  <c r="F256" i="86"/>
  <c r="G222" i="86"/>
  <c r="I223" i="86"/>
  <c r="M223" i="86" s="1"/>
  <c r="N223" i="86" s="1"/>
  <c r="J34" i="86"/>
  <c r="L35" i="86"/>
  <c r="M35" i="86" s="1"/>
  <c r="N35" i="86" s="1"/>
  <c r="L377" i="86"/>
  <c r="J376" i="86"/>
  <c r="G249" i="86"/>
  <c r="I250" i="86"/>
  <c r="F49" i="86"/>
  <c r="F20" i="86"/>
  <c r="I125" i="86"/>
  <c r="G124" i="86"/>
  <c r="L141" i="86"/>
  <c r="J140" i="86"/>
  <c r="L115" i="86"/>
  <c r="J114" i="86"/>
  <c r="F32" i="86"/>
  <c r="L263" i="86"/>
  <c r="M263" i="86" s="1"/>
  <c r="N263" i="86" s="1"/>
  <c r="J359" i="86"/>
  <c r="L363" i="86"/>
  <c r="M363" i="86" s="1"/>
  <c r="N363" i="86" s="1"/>
  <c r="J313" i="86"/>
  <c r="L314" i="86"/>
  <c r="J280" i="86"/>
  <c r="L281" i="86"/>
  <c r="M281" i="86" s="1"/>
  <c r="N281" i="86" s="1"/>
  <c r="I359" i="86"/>
  <c r="G358" i="86"/>
  <c r="F376" i="86"/>
  <c r="F358" i="86"/>
  <c r="I333" i="86"/>
  <c r="G332" i="86"/>
  <c r="I301" i="86"/>
  <c r="G300" i="86"/>
  <c r="J257" i="86"/>
  <c r="G186" i="86"/>
  <c r="I194" i="86"/>
  <c r="M194" i="86" s="1"/>
  <c r="N194" i="86" s="1"/>
  <c r="J166" i="86"/>
  <c r="L167" i="86"/>
  <c r="I353" i="86"/>
  <c r="G352" i="86"/>
  <c r="G242" i="86"/>
  <c r="I243" i="86"/>
  <c r="M243" i="86" s="1"/>
  <c r="N243" i="86" s="1"/>
  <c r="L333" i="86"/>
  <c r="J332" i="86"/>
  <c r="F148" i="86"/>
  <c r="F279" i="86"/>
  <c r="F165" i="86"/>
  <c r="F207" i="86"/>
  <c r="H247" i="86"/>
  <c r="L262" i="86"/>
  <c r="M262" i="86" s="1"/>
  <c r="N262" i="86" s="1"/>
  <c r="N126" i="86"/>
  <c r="F125" i="86"/>
  <c r="L180" i="86"/>
  <c r="M83" i="86"/>
  <c r="N83" i="86" s="1"/>
  <c r="J369" i="86"/>
  <c r="L369" i="86" s="1"/>
  <c r="L370" i="86"/>
  <c r="G344" i="86"/>
  <c r="I345" i="86"/>
  <c r="F333" i="86"/>
  <c r="N334" i="86"/>
  <c r="J231" i="86"/>
  <c r="L231" i="86" s="1"/>
  <c r="L232" i="86"/>
  <c r="L22" i="86"/>
  <c r="M22" i="86" s="1"/>
  <c r="N22" i="86" s="1"/>
  <c r="J21" i="86"/>
  <c r="F344" i="86"/>
  <c r="F249" i="86"/>
  <c r="F351" i="86"/>
  <c r="F269" i="86"/>
  <c r="I208" i="86"/>
  <c r="G207" i="86"/>
  <c r="F174" i="86"/>
  <c r="L149" i="86"/>
  <c r="J148" i="86"/>
  <c r="L339" i="86"/>
  <c r="J338" i="86"/>
  <c r="F114" i="86"/>
  <c r="I141" i="86"/>
  <c r="M141" i="86" s="1"/>
  <c r="G140" i="86"/>
  <c r="G49" i="86"/>
  <c r="I50" i="86"/>
  <c r="K258" i="86"/>
  <c r="K257" i="86" s="1"/>
  <c r="K256" i="86" s="1"/>
  <c r="K247" i="86" s="1"/>
  <c r="K17" i="86" s="1"/>
  <c r="K386" i="86" s="1"/>
  <c r="K405" i="86" s="1"/>
  <c r="M372" i="86"/>
  <c r="N372" i="86" s="1"/>
  <c r="L272" i="86"/>
  <c r="M272" i="86" s="1"/>
  <c r="N272" i="86" s="1"/>
  <c r="F301" i="86"/>
  <c r="M176" i="86"/>
  <c r="N176" i="86" s="1"/>
  <c r="L234" i="86"/>
  <c r="L235" i="86"/>
  <c r="M235" i="86" s="1"/>
  <c r="N235" i="86" s="1"/>
  <c r="N101" i="86"/>
  <c r="G21" i="86"/>
  <c r="L168" i="86"/>
  <c r="M168" i="86" s="1"/>
  <c r="N168" i="86" s="1"/>
  <c r="M180" i="86"/>
  <c r="N180" i="86" s="1"/>
  <c r="I167" i="86"/>
  <c r="J125" i="86"/>
  <c r="H51" i="85"/>
  <c r="M409" i="85"/>
  <c r="M407" i="85"/>
  <c r="I406" i="85"/>
  <c r="M391" i="85"/>
  <c r="M390" i="85"/>
  <c r="M24" i="85"/>
  <c r="N24" i="85" s="1"/>
  <c r="M25" i="85"/>
  <c r="N25" i="85" s="1"/>
  <c r="M311" i="85"/>
  <c r="N311" i="85" s="1"/>
  <c r="K280" i="85"/>
  <c r="K279" i="85" s="1"/>
  <c r="K278" i="85" s="1"/>
  <c r="L169" i="85"/>
  <c r="L127" i="85"/>
  <c r="M127" i="85" s="1"/>
  <c r="N127" i="85" s="1"/>
  <c r="M128" i="85"/>
  <c r="N128" i="85" s="1"/>
  <c r="K125" i="85"/>
  <c r="K124" i="85" s="1"/>
  <c r="K123" i="85" s="1"/>
  <c r="K122" i="85" s="1"/>
  <c r="L117" i="85"/>
  <c r="M117" i="85" s="1"/>
  <c r="N117" i="85" s="1"/>
  <c r="M26" i="85"/>
  <c r="N26" i="85" s="1"/>
  <c r="L23" i="85"/>
  <c r="M23" i="85" s="1"/>
  <c r="N23" i="85" s="1"/>
  <c r="K314" i="85"/>
  <c r="K313" i="85" s="1"/>
  <c r="K312" i="85" s="1"/>
  <c r="K298" i="85" s="1"/>
  <c r="L323" i="85"/>
  <c r="M323" i="85" s="1"/>
  <c r="N323" i="85" s="1"/>
  <c r="L260" i="85"/>
  <c r="M260" i="85" s="1"/>
  <c r="N260" i="85" s="1"/>
  <c r="K258" i="85"/>
  <c r="K257" i="85" s="1"/>
  <c r="K256" i="85" s="1"/>
  <c r="M182" i="85"/>
  <c r="N182" i="85" s="1"/>
  <c r="L406" i="85"/>
  <c r="M408" i="85"/>
  <c r="M412" i="85"/>
  <c r="M410" i="85"/>
  <c r="L387" i="85"/>
  <c r="M393" i="85"/>
  <c r="M394" i="85"/>
  <c r="L305" i="85"/>
  <c r="L306" i="85"/>
  <c r="M295" i="85"/>
  <c r="N295" i="85" s="1"/>
  <c r="L262" i="85"/>
  <c r="M267" i="85"/>
  <c r="N267" i="85" s="1"/>
  <c r="L263" i="85"/>
  <c r="M268" i="85"/>
  <c r="N268" i="85" s="1"/>
  <c r="M266" i="85"/>
  <c r="N266" i="85" s="1"/>
  <c r="L213" i="85"/>
  <c r="K208" i="85"/>
  <c r="K207" i="85" s="1"/>
  <c r="K206" i="85" s="1"/>
  <c r="J208" i="85"/>
  <c r="J212" i="85"/>
  <c r="L212" i="85" s="1"/>
  <c r="J194" i="85"/>
  <c r="J186" i="85" s="1"/>
  <c r="M195" i="85"/>
  <c r="N195" i="85" s="1"/>
  <c r="I99" i="85"/>
  <c r="I79" i="85"/>
  <c r="M79" i="85" s="1"/>
  <c r="N79" i="85" s="1"/>
  <c r="I77" i="85"/>
  <c r="M77" i="85" s="1"/>
  <c r="N77" i="85" s="1"/>
  <c r="I72" i="85"/>
  <c r="M72" i="85" s="1"/>
  <c r="N72" i="85" s="1"/>
  <c r="I70" i="85"/>
  <c r="M70" i="85" s="1"/>
  <c r="N70" i="85" s="1"/>
  <c r="I68" i="85"/>
  <c r="M68" i="85" s="1"/>
  <c r="N68" i="85" s="1"/>
  <c r="I66" i="85"/>
  <c r="M66" i="85" s="1"/>
  <c r="N66" i="85" s="1"/>
  <c r="I64" i="85"/>
  <c r="M64" i="85" s="1"/>
  <c r="I62" i="85"/>
  <c r="M62" i="85" s="1"/>
  <c r="N62" i="85" s="1"/>
  <c r="I60" i="85"/>
  <c r="M60" i="85" s="1"/>
  <c r="N60" i="85" s="1"/>
  <c r="I58" i="85"/>
  <c r="M58" i="85" s="1"/>
  <c r="N58" i="85" s="1"/>
  <c r="I56" i="85"/>
  <c r="M56" i="85" s="1"/>
  <c r="N56" i="85" s="1"/>
  <c r="I54" i="85"/>
  <c r="G51" i="85"/>
  <c r="I52" i="85"/>
  <c r="M52" i="85" s="1"/>
  <c r="L43" i="85"/>
  <c r="M43" i="85" s="1"/>
  <c r="N43" i="85" s="1"/>
  <c r="J42" i="85"/>
  <c r="L29" i="85"/>
  <c r="K21" i="85"/>
  <c r="K20" i="85" s="1"/>
  <c r="K19" i="85" s="1"/>
  <c r="K18" i="85" s="1"/>
  <c r="L30" i="85"/>
  <c r="M30" i="85" s="1"/>
  <c r="N30" i="85" s="1"/>
  <c r="F32" i="85"/>
  <c r="F166" i="85"/>
  <c r="N101" i="85"/>
  <c r="M102" i="85"/>
  <c r="N102" i="85" s="1"/>
  <c r="M153" i="85"/>
  <c r="L159" i="85"/>
  <c r="N177" i="85"/>
  <c r="L194" i="85"/>
  <c r="M194" i="85" s="1"/>
  <c r="N194" i="85" s="1"/>
  <c r="M223" i="85"/>
  <c r="N223" i="85" s="1"/>
  <c r="F115" i="85"/>
  <c r="I168" i="85"/>
  <c r="G167" i="85"/>
  <c r="F186" i="85"/>
  <c r="F221" i="85"/>
  <c r="K148" i="85"/>
  <c r="K147" i="85" s="1"/>
  <c r="K139" i="85" s="1"/>
  <c r="K186" i="85"/>
  <c r="K185" i="85" s="1"/>
  <c r="K184" i="85" s="1"/>
  <c r="M202" i="85"/>
  <c r="N202" i="85" s="1"/>
  <c r="F21" i="85"/>
  <c r="K113" i="85"/>
  <c r="K99" i="85" s="1"/>
  <c r="L99" i="85" s="1"/>
  <c r="K47" i="85"/>
  <c r="J115" i="85"/>
  <c r="L116" i="85"/>
  <c r="F175" i="85"/>
  <c r="L187" i="85"/>
  <c r="F201" i="85"/>
  <c r="K231" i="85"/>
  <c r="L231" i="85" s="1"/>
  <c r="L232" i="85"/>
  <c r="N52" i="85"/>
  <c r="N64" i="85"/>
  <c r="M235" i="85"/>
  <c r="N235" i="85" s="1"/>
  <c r="I83" i="85"/>
  <c r="M83" i="85" s="1"/>
  <c r="G114" i="85"/>
  <c r="J175" i="85"/>
  <c r="L180" i="85"/>
  <c r="M29" i="85"/>
  <c r="N29" i="85" s="1"/>
  <c r="M54" i="85"/>
  <c r="N54" i="85" s="1"/>
  <c r="M101" i="85"/>
  <c r="M150" i="85"/>
  <c r="N150" i="85" s="1"/>
  <c r="N153" i="85"/>
  <c r="L168" i="85"/>
  <c r="I176" i="85"/>
  <c r="M176" i="85" s="1"/>
  <c r="N176" i="85" s="1"/>
  <c r="H175" i="85"/>
  <c r="H174" i="85" s="1"/>
  <c r="H173" i="85" s="1"/>
  <c r="N216" i="85"/>
  <c r="G243" i="85"/>
  <c r="I244" i="85"/>
  <c r="J251" i="85"/>
  <c r="L252" i="85"/>
  <c r="M252" i="85" s="1"/>
  <c r="N252" i="85" s="1"/>
  <c r="I282" i="85"/>
  <c r="G281" i="85"/>
  <c r="F314" i="85"/>
  <c r="L316" i="85"/>
  <c r="M316" i="85" s="1"/>
  <c r="N316" i="85" s="1"/>
  <c r="J315" i="85"/>
  <c r="F333" i="85"/>
  <c r="L335" i="85"/>
  <c r="M335" i="85" s="1"/>
  <c r="N335" i="85" s="1"/>
  <c r="J334" i="85"/>
  <c r="I355" i="85"/>
  <c r="G354" i="85"/>
  <c r="I372" i="85"/>
  <c r="G371" i="85"/>
  <c r="J377" i="85"/>
  <c r="I382" i="85"/>
  <c r="G381" i="85"/>
  <c r="I381" i="85" s="1"/>
  <c r="M381" i="85" s="1"/>
  <c r="G22" i="85"/>
  <c r="G32" i="85"/>
  <c r="H35" i="85"/>
  <c r="I74" i="85"/>
  <c r="M74" i="85" s="1"/>
  <c r="N74" i="85" s="1"/>
  <c r="F83" i="85"/>
  <c r="H116" i="85"/>
  <c r="F126" i="85"/>
  <c r="J126" i="85"/>
  <c r="H131" i="85"/>
  <c r="I131" i="85" s="1"/>
  <c r="M131" i="85" s="1"/>
  <c r="N131" i="85" s="1"/>
  <c r="G141" i="85"/>
  <c r="F142" i="85"/>
  <c r="J142" i="85"/>
  <c r="G148" i="85"/>
  <c r="F149" i="85"/>
  <c r="J149" i="85"/>
  <c r="G156" i="85"/>
  <c r="I156" i="85" s="1"/>
  <c r="M156" i="85" s="1"/>
  <c r="N156" i="85" s="1"/>
  <c r="K156" i="85"/>
  <c r="L156" i="85" s="1"/>
  <c r="L181" i="85"/>
  <c r="M181" i="85" s="1"/>
  <c r="N181" i="85" s="1"/>
  <c r="L188" i="85"/>
  <c r="M188" i="85" s="1"/>
  <c r="N188" i="85" s="1"/>
  <c r="G201" i="85"/>
  <c r="M205" i="85"/>
  <c r="N205" i="85" s="1"/>
  <c r="G209" i="85"/>
  <c r="L209" i="85"/>
  <c r="I213" i="85"/>
  <c r="G216" i="85"/>
  <c r="I216" i="85" s="1"/>
  <c r="M216" i="85" s="1"/>
  <c r="J222" i="85"/>
  <c r="N226" i="85"/>
  <c r="L235" i="85"/>
  <c r="J242" i="85"/>
  <c r="L244" i="85"/>
  <c r="M264" i="85"/>
  <c r="N264" i="85" s="1"/>
  <c r="I272" i="85"/>
  <c r="M277" i="85"/>
  <c r="N277" i="85" s="1"/>
  <c r="L322" i="85"/>
  <c r="J345" i="85"/>
  <c r="K359" i="85"/>
  <c r="K358" i="85" s="1"/>
  <c r="K357" i="85" s="1"/>
  <c r="N373" i="85"/>
  <c r="H377" i="85"/>
  <c r="H376" i="85" s="1"/>
  <c r="H375" i="85" s="1"/>
  <c r="H350" i="85" s="1"/>
  <c r="I387" i="85"/>
  <c r="M389" i="85"/>
  <c r="J258" i="85"/>
  <c r="L259" i="85"/>
  <c r="M259" i="85" s="1"/>
  <c r="G262" i="85"/>
  <c r="I262" i="85" s="1"/>
  <c r="I263" i="85"/>
  <c r="M263" i="85" s="1"/>
  <c r="N263" i="85" s="1"/>
  <c r="G270" i="85"/>
  <c r="I271" i="85"/>
  <c r="F270" i="85"/>
  <c r="F280" i="85"/>
  <c r="F301" i="85"/>
  <c r="L303" i="85"/>
  <c r="M303" i="85" s="1"/>
  <c r="N303" i="85" s="1"/>
  <c r="J302" i="85"/>
  <c r="I339" i="85"/>
  <c r="G338" i="85"/>
  <c r="F353" i="85"/>
  <c r="L361" i="85"/>
  <c r="M361" i="85" s="1"/>
  <c r="N361" i="85" s="1"/>
  <c r="J360" i="85"/>
  <c r="L360" i="85" s="1"/>
  <c r="L363" i="85"/>
  <c r="M363" i="85" s="1"/>
  <c r="F376" i="85"/>
  <c r="J22" i="85"/>
  <c r="I95" i="85"/>
  <c r="M95" i="85" s="1"/>
  <c r="N95" i="85" s="1"/>
  <c r="N132" i="85"/>
  <c r="H159" i="85"/>
  <c r="H148" i="85" s="1"/>
  <c r="H147" i="85" s="1"/>
  <c r="H139" i="85" s="1"/>
  <c r="H138" i="85" s="1"/>
  <c r="N224" i="85"/>
  <c r="N381" i="85"/>
  <c r="I315" i="85"/>
  <c r="G314" i="85"/>
  <c r="L340" i="85"/>
  <c r="J339" i="85"/>
  <c r="F371" i="85"/>
  <c r="L373" i="85"/>
  <c r="J372" i="85"/>
  <c r="J167" i="85"/>
  <c r="G180" i="85"/>
  <c r="G187" i="85"/>
  <c r="J199" i="85"/>
  <c r="I204" i="85"/>
  <c r="F207" i="85"/>
  <c r="L210" i="85"/>
  <c r="M210" i="85" s="1"/>
  <c r="N210" i="85" s="1"/>
  <c r="L217" i="85"/>
  <c r="M217" i="85" s="1"/>
  <c r="N217" i="85" s="1"/>
  <c r="G222" i="85"/>
  <c r="M265" i="85"/>
  <c r="N265" i="85" s="1"/>
  <c r="L281" i="85"/>
  <c r="J280" i="85"/>
  <c r="L354" i="85"/>
  <c r="M365" i="85"/>
  <c r="N365" i="85" s="1"/>
  <c r="F250" i="85"/>
  <c r="J271" i="85"/>
  <c r="L272" i="85"/>
  <c r="I292" i="85"/>
  <c r="G291" i="85"/>
  <c r="I291" i="85" s="1"/>
  <c r="I310" i="85"/>
  <c r="G309" i="85"/>
  <c r="I309" i="85" s="1"/>
  <c r="M309" i="85" s="1"/>
  <c r="N309" i="85" s="1"/>
  <c r="L320" i="85"/>
  <c r="M320" i="85" s="1"/>
  <c r="N320" i="85" s="1"/>
  <c r="J319" i="85"/>
  <c r="L319" i="85" s="1"/>
  <c r="M319" i="85" s="1"/>
  <c r="N319" i="85" s="1"/>
  <c r="F338" i="85"/>
  <c r="I203" i="85"/>
  <c r="M203" i="85" s="1"/>
  <c r="N203" i="85" s="1"/>
  <c r="J207" i="85"/>
  <c r="L227" i="85"/>
  <c r="M227" i="85" s="1"/>
  <c r="N227" i="85" s="1"/>
  <c r="G251" i="85"/>
  <c r="G258" i="85"/>
  <c r="F259" i="85"/>
  <c r="H280" i="85"/>
  <c r="H279" i="85" s="1"/>
  <c r="H278" i="85" s="1"/>
  <c r="H247" i="85" s="1"/>
  <c r="I305" i="85"/>
  <c r="M305" i="85" s="1"/>
  <c r="N305" i="85" s="1"/>
  <c r="I340" i="85"/>
  <c r="J352" i="85"/>
  <c r="M360" i="85"/>
  <c r="N360" i="85" s="1"/>
  <c r="G359" i="85"/>
  <c r="M373" i="85"/>
  <c r="G377" i="85"/>
  <c r="M388" i="85"/>
  <c r="F243" i="85"/>
  <c r="F262" i="85"/>
  <c r="L282" i="85"/>
  <c r="L292" i="85"/>
  <c r="L310" i="85"/>
  <c r="F346" i="85"/>
  <c r="I347" i="85"/>
  <c r="M347" i="85" s="1"/>
  <c r="N347" i="85" s="1"/>
  <c r="L355" i="85"/>
  <c r="F363" i="85"/>
  <c r="I364" i="85"/>
  <c r="M364" i="85" s="1"/>
  <c r="N364" i="85" s="1"/>
  <c r="L382" i="85"/>
  <c r="L406" i="84"/>
  <c r="M406" i="84" s="1"/>
  <c r="M408" i="84"/>
  <c r="M410" i="84"/>
  <c r="I406" i="84"/>
  <c r="L102" i="84"/>
  <c r="M102" i="84" s="1"/>
  <c r="N102" i="84" s="1"/>
  <c r="J101" i="84"/>
  <c r="L101" i="84" s="1"/>
  <c r="M101" i="84" s="1"/>
  <c r="N101" i="84" s="1"/>
  <c r="G167" i="84"/>
  <c r="I168" i="84"/>
  <c r="I23" i="84"/>
  <c r="M23" i="84" s="1"/>
  <c r="N23" i="84" s="1"/>
  <c r="G22" i="84"/>
  <c r="L35" i="84"/>
  <c r="L43" i="84"/>
  <c r="M43" i="84" s="1"/>
  <c r="N43" i="84" s="1"/>
  <c r="J42" i="84"/>
  <c r="L42" i="84" s="1"/>
  <c r="M42" i="84" s="1"/>
  <c r="N42" i="84" s="1"/>
  <c r="I99" i="84"/>
  <c r="G83" i="84"/>
  <c r="F114" i="84"/>
  <c r="I127" i="84"/>
  <c r="G126" i="84"/>
  <c r="N117" i="84"/>
  <c r="N66" i="84"/>
  <c r="G76" i="84"/>
  <c r="I76" i="84" s="1"/>
  <c r="M76" i="84" s="1"/>
  <c r="M78" i="84"/>
  <c r="N78" i="84" s="1"/>
  <c r="G34" i="84"/>
  <c r="G51" i="84"/>
  <c r="M55" i="84"/>
  <c r="N55" i="84" s="1"/>
  <c r="N60" i="84"/>
  <c r="M63" i="84"/>
  <c r="N63" i="84" s="1"/>
  <c r="N76" i="84"/>
  <c r="N77" i="84"/>
  <c r="H34" i="84"/>
  <c r="H33" i="84" s="1"/>
  <c r="H32" i="84" s="1"/>
  <c r="H18" i="84" s="1"/>
  <c r="M41" i="84"/>
  <c r="N41" i="84" s="1"/>
  <c r="N54" i="84"/>
  <c r="M56" i="84"/>
  <c r="N56" i="84" s="1"/>
  <c r="M57" i="84"/>
  <c r="N57" i="84" s="1"/>
  <c r="M64" i="84"/>
  <c r="N64" i="84" s="1"/>
  <c r="M65" i="84"/>
  <c r="N65" i="84" s="1"/>
  <c r="N70" i="84"/>
  <c r="M72" i="84"/>
  <c r="N72" i="84" s="1"/>
  <c r="M73" i="84"/>
  <c r="N73" i="84" s="1"/>
  <c r="I81" i="84"/>
  <c r="M81" i="84" s="1"/>
  <c r="N81" i="84" s="1"/>
  <c r="I116" i="84"/>
  <c r="M150" i="84"/>
  <c r="N150" i="84" s="1"/>
  <c r="H175" i="84"/>
  <c r="H174" i="84" s="1"/>
  <c r="H173" i="84" s="1"/>
  <c r="K95" i="84"/>
  <c r="L95" i="84" s="1"/>
  <c r="I115" i="84"/>
  <c r="G114" i="84"/>
  <c r="F141" i="84"/>
  <c r="N58" i="84"/>
  <c r="J125" i="84"/>
  <c r="F125" i="84"/>
  <c r="K125" i="84"/>
  <c r="K124" i="84" s="1"/>
  <c r="K123" i="84" s="1"/>
  <c r="K122" i="84" s="1"/>
  <c r="K139" i="84"/>
  <c r="M160" i="84"/>
  <c r="N160" i="84" s="1"/>
  <c r="N169" i="84"/>
  <c r="F33" i="84"/>
  <c r="K113" i="84"/>
  <c r="K99" i="84" s="1"/>
  <c r="L99" i="84" s="1"/>
  <c r="K47" i="84"/>
  <c r="L30" i="84"/>
  <c r="M30" i="84" s="1"/>
  <c r="N30" i="84" s="1"/>
  <c r="J29" i="84"/>
  <c r="L29" i="84" s="1"/>
  <c r="M29" i="84" s="1"/>
  <c r="N29" i="84" s="1"/>
  <c r="L116" i="84"/>
  <c r="J115" i="84"/>
  <c r="L142" i="84"/>
  <c r="J141" i="84"/>
  <c r="G147" i="84"/>
  <c r="I147" i="84" s="1"/>
  <c r="I148" i="84"/>
  <c r="J167" i="84"/>
  <c r="L168" i="84"/>
  <c r="F186" i="84"/>
  <c r="N36" i="84"/>
  <c r="M53" i="84"/>
  <c r="N53" i="84" s="1"/>
  <c r="M61" i="84"/>
  <c r="N61" i="84" s="1"/>
  <c r="M69" i="84"/>
  <c r="N69" i="84" s="1"/>
  <c r="N68" i="84"/>
  <c r="M71" i="84"/>
  <c r="N71" i="84" s="1"/>
  <c r="I84" i="84"/>
  <c r="M84" i="84" s="1"/>
  <c r="N84" i="84" s="1"/>
  <c r="I95" i="84"/>
  <c r="M95" i="84" s="1"/>
  <c r="N95" i="84" s="1"/>
  <c r="M96" i="84"/>
  <c r="N96" i="84" s="1"/>
  <c r="M98" i="84"/>
  <c r="N98" i="84" s="1"/>
  <c r="H125" i="84"/>
  <c r="H124" i="84" s="1"/>
  <c r="H123" i="84" s="1"/>
  <c r="H122" i="84" s="1"/>
  <c r="H139" i="84"/>
  <c r="N157" i="84"/>
  <c r="L176" i="84"/>
  <c r="M176" i="84" s="1"/>
  <c r="K175" i="84"/>
  <c r="K174" i="84" s="1"/>
  <c r="K173" i="84" s="1"/>
  <c r="G222" i="84"/>
  <c r="I226" i="84"/>
  <c r="I204" i="84"/>
  <c r="G203" i="84"/>
  <c r="F208" i="84"/>
  <c r="H332" i="84"/>
  <c r="H331" i="84" s="1"/>
  <c r="I333" i="84"/>
  <c r="F345" i="84"/>
  <c r="F359" i="84"/>
  <c r="L372" i="84"/>
  <c r="J371" i="84"/>
  <c r="F376" i="84"/>
  <c r="L381" i="84"/>
  <c r="K377" i="84"/>
  <c r="K376" i="84" s="1"/>
  <c r="K375" i="84" s="1"/>
  <c r="N213" i="84"/>
  <c r="F22" i="84"/>
  <c r="J22" i="84"/>
  <c r="M75" i="84"/>
  <c r="N75" i="84" s="1"/>
  <c r="L127" i="84"/>
  <c r="L143" i="84"/>
  <c r="M143" i="84" s="1"/>
  <c r="N143" i="84" s="1"/>
  <c r="I149" i="84"/>
  <c r="F156" i="84"/>
  <c r="J156" i="84"/>
  <c r="L156" i="84" s="1"/>
  <c r="M156" i="84" s="1"/>
  <c r="F168" i="84"/>
  <c r="I169" i="84"/>
  <c r="M169" i="84" s="1"/>
  <c r="G175" i="84"/>
  <c r="F176" i="84"/>
  <c r="I177" i="84"/>
  <c r="M177" i="84" s="1"/>
  <c r="N177" i="84" s="1"/>
  <c r="N236" i="84"/>
  <c r="N244" i="84"/>
  <c r="M259" i="84"/>
  <c r="N260" i="84"/>
  <c r="N273" i="84"/>
  <c r="I331" i="84"/>
  <c r="N335" i="84"/>
  <c r="M354" i="84"/>
  <c r="N354" i="84" s="1"/>
  <c r="L204" i="84"/>
  <c r="K203" i="84"/>
  <c r="L217" i="84"/>
  <c r="M217" i="84" s="1"/>
  <c r="N217" i="84" s="1"/>
  <c r="J216" i="84"/>
  <c r="L216" i="84" s="1"/>
  <c r="M216" i="84" s="1"/>
  <c r="N216" i="84" s="1"/>
  <c r="F352" i="84"/>
  <c r="H359" i="84"/>
  <c r="H358" i="84" s="1"/>
  <c r="H357" i="84" s="1"/>
  <c r="H350" i="84" s="1"/>
  <c r="I360" i="84"/>
  <c r="F301" i="84"/>
  <c r="K314" i="84"/>
  <c r="K313" i="84" s="1"/>
  <c r="K312" i="84" s="1"/>
  <c r="L315" i="84"/>
  <c r="F314" i="84"/>
  <c r="K350" i="84"/>
  <c r="K351" i="84"/>
  <c r="I371" i="84"/>
  <c r="G370" i="84"/>
  <c r="N153" i="84"/>
  <c r="N259" i="84"/>
  <c r="H298" i="84"/>
  <c r="M316" i="84"/>
  <c r="N316" i="84" s="1"/>
  <c r="I332" i="84"/>
  <c r="M332" i="84" s="1"/>
  <c r="N332" i="84" s="1"/>
  <c r="N366" i="84"/>
  <c r="G142" i="84"/>
  <c r="J159" i="84"/>
  <c r="L159" i="84" s="1"/>
  <c r="M159" i="84" s="1"/>
  <c r="N159" i="84" s="1"/>
  <c r="J180" i="84"/>
  <c r="G186" i="84"/>
  <c r="J187" i="84"/>
  <c r="H247" i="84"/>
  <c r="N292" i="84"/>
  <c r="M347" i="84"/>
  <c r="N347" i="84" s="1"/>
  <c r="M366" i="84"/>
  <c r="L210" i="84"/>
  <c r="M210" i="84" s="1"/>
  <c r="N210" i="84" s="1"/>
  <c r="J209" i="84"/>
  <c r="J199" i="84"/>
  <c r="I209" i="84"/>
  <c r="I213" i="84"/>
  <c r="M213" i="84" s="1"/>
  <c r="H212" i="84"/>
  <c r="I224" i="84"/>
  <c r="H223" i="84"/>
  <c r="L227" i="84"/>
  <c r="M227" i="84" s="1"/>
  <c r="N227" i="84" s="1"/>
  <c r="J226" i="84"/>
  <c r="K301" i="84"/>
  <c r="K300" i="84" s="1"/>
  <c r="K299" i="84" s="1"/>
  <c r="L302" i="84"/>
  <c r="K339" i="84"/>
  <c r="K338" i="84" s="1"/>
  <c r="K337" i="84" s="1"/>
  <c r="L340" i="84"/>
  <c r="I359" i="84"/>
  <c r="G358" i="84"/>
  <c r="F371" i="84"/>
  <c r="G377" i="84"/>
  <c r="I381" i="84"/>
  <c r="F83" i="84"/>
  <c r="J149" i="84"/>
  <c r="F222" i="84"/>
  <c r="M309" i="84"/>
  <c r="N309" i="84" s="1"/>
  <c r="L337" i="84"/>
  <c r="M364" i="84"/>
  <c r="N364" i="84" s="1"/>
  <c r="G232" i="84"/>
  <c r="F234" i="84"/>
  <c r="J234" i="84"/>
  <c r="F240" i="84"/>
  <c r="J240" i="84"/>
  <c r="G243" i="84"/>
  <c r="K243" i="84"/>
  <c r="G250" i="84"/>
  <c r="F251" i="84"/>
  <c r="J251" i="84"/>
  <c r="F258" i="84"/>
  <c r="J258" i="84"/>
  <c r="G262" i="84"/>
  <c r="K262" i="84"/>
  <c r="F271" i="84"/>
  <c r="J271" i="84"/>
  <c r="G280" i="84"/>
  <c r="F281" i="84"/>
  <c r="J281" i="84"/>
  <c r="L303" i="84"/>
  <c r="I310" i="84"/>
  <c r="M310" i="84" s="1"/>
  <c r="N310" i="84" s="1"/>
  <c r="L316" i="84"/>
  <c r="L320" i="84"/>
  <c r="M320" i="84" s="1"/>
  <c r="N320" i="84" s="1"/>
  <c r="I334" i="84"/>
  <c r="M334" i="84" s="1"/>
  <c r="N334" i="84" s="1"/>
  <c r="I372" i="84"/>
  <c r="M372" i="84" s="1"/>
  <c r="N372" i="84" s="1"/>
  <c r="L373" i="84"/>
  <c r="L378" i="84"/>
  <c r="I382" i="84"/>
  <c r="M382" i="84" s="1"/>
  <c r="N382" i="84" s="1"/>
  <c r="F239" i="84"/>
  <c r="N306" i="84"/>
  <c r="N323" i="84"/>
  <c r="G340" i="84"/>
  <c r="G345" i="84"/>
  <c r="J346" i="84"/>
  <c r="G352" i="84"/>
  <c r="J363" i="84"/>
  <c r="J353" i="84" s="1"/>
  <c r="G302" i="84"/>
  <c r="J305" i="84"/>
  <c r="G315" i="84"/>
  <c r="G319" i="84"/>
  <c r="I319" i="84" s="1"/>
  <c r="M319" i="84" s="1"/>
  <c r="N319" i="84" s="1"/>
  <c r="J322" i="84"/>
  <c r="J331" i="84"/>
  <c r="L331" i="84" s="1"/>
  <c r="I363" i="84"/>
  <c r="K350" i="85" l="1"/>
  <c r="K351" i="85"/>
  <c r="M373" i="84"/>
  <c r="N373" i="84" s="1"/>
  <c r="M333" i="84"/>
  <c r="N333" i="84" s="1"/>
  <c r="L353" i="85"/>
  <c r="J359" i="85"/>
  <c r="M322" i="85"/>
  <c r="N322" i="85" s="1"/>
  <c r="M99" i="85"/>
  <c r="N99" i="85" s="1"/>
  <c r="L208" i="85"/>
  <c r="M50" i="86"/>
  <c r="N50" i="86" s="1"/>
  <c r="M208" i="86"/>
  <c r="N208" i="86" s="1"/>
  <c r="M234" i="86"/>
  <c r="N234" i="86" s="1"/>
  <c r="M252" i="84"/>
  <c r="N252" i="84" s="1"/>
  <c r="M224" i="84"/>
  <c r="N224" i="84" s="1"/>
  <c r="M360" i="84"/>
  <c r="N360" i="84" s="1"/>
  <c r="M331" i="84"/>
  <c r="N331" i="84" s="1"/>
  <c r="N176" i="84"/>
  <c r="K50" i="84"/>
  <c r="I345" i="85"/>
  <c r="I344" i="85"/>
  <c r="G301" i="85"/>
  <c r="I334" i="85"/>
  <c r="I159" i="85"/>
  <c r="M159" i="85" s="1"/>
  <c r="N159" i="85" s="1"/>
  <c r="M306" i="85"/>
  <c r="N306" i="85" s="1"/>
  <c r="H50" i="85"/>
  <c r="H49" i="85" s="1"/>
  <c r="H48" i="85" s="1"/>
  <c r="L50" i="86"/>
  <c r="K49" i="86"/>
  <c r="J207" i="86"/>
  <c r="L207" i="86" s="1"/>
  <c r="L208" i="86"/>
  <c r="I272" i="84"/>
  <c r="M272" i="84" s="1"/>
  <c r="N272" i="84" s="1"/>
  <c r="G271" i="84"/>
  <c r="M35" i="84"/>
  <c r="N35" i="84" s="1"/>
  <c r="I83" i="84"/>
  <c r="M83" i="84" s="1"/>
  <c r="M340" i="85"/>
  <c r="N340" i="85" s="1"/>
  <c r="G232" i="85"/>
  <c r="G231" i="85" s="1"/>
  <c r="I231" i="85" s="1"/>
  <c r="M231" i="85" s="1"/>
  <c r="N231" i="85" s="1"/>
  <c r="M204" i="85"/>
  <c r="N204" i="85" s="1"/>
  <c r="G125" i="85"/>
  <c r="L50" i="85"/>
  <c r="K49" i="85"/>
  <c r="M175" i="86"/>
  <c r="N175" i="86" s="1"/>
  <c r="M381" i="84"/>
  <c r="N381" i="84" s="1"/>
  <c r="M303" i="84"/>
  <c r="N303" i="84" s="1"/>
  <c r="K298" i="84"/>
  <c r="M291" i="85"/>
  <c r="N291" i="85" s="1"/>
  <c r="H125" i="85"/>
  <c r="H124" i="85" s="1"/>
  <c r="H123" i="85" s="1"/>
  <c r="H122" i="85" s="1"/>
  <c r="M212" i="85"/>
  <c r="N212" i="85" s="1"/>
  <c r="M169" i="85"/>
  <c r="N169" i="85" s="1"/>
  <c r="M333" i="86"/>
  <c r="I76" i="85"/>
  <c r="M76" i="85" s="1"/>
  <c r="N76" i="85" s="1"/>
  <c r="L242" i="86"/>
  <c r="J241" i="86"/>
  <c r="M379" i="84"/>
  <c r="N379" i="84" s="1"/>
  <c r="L125" i="86"/>
  <c r="M125" i="86" s="1"/>
  <c r="N125" i="86" s="1"/>
  <c r="J124" i="86"/>
  <c r="G48" i="86"/>
  <c r="I49" i="86"/>
  <c r="F113" i="86"/>
  <c r="I344" i="86"/>
  <c r="G343" i="86"/>
  <c r="I343" i="86" s="1"/>
  <c r="F278" i="86"/>
  <c r="J331" i="86"/>
  <c r="L331" i="86" s="1"/>
  <c r="L332" i="86"/>
  <c r="G351" i="86"/>
  <c r="I352" i="86"/>
  <c r="G299" i="86"/>
  <c r="I300" i="86"/>
  <c r="F48" i="86"/>
  <c r="I222" i="86"/>
  <c r="M222" i="86" s="1"/>
  <c r="N222" i="86" s="1"/>
  <c r="G221" i="86"/>
  <c r="I221" i="86" s="1"/>
  <c r="L201" i="86"/>
  <c r="M201" i="86" s="1"/>
  <c r="N201" i="86" s="1"/>
  <c r="J199" i="86"/>
  <c r="I279" i="86"/>
  <c r="G278" i="86"/>
  <c r="I278" i="86" s="1"/>
  <c r="L352" i="86"/>
  <c r="J351" i="86"/>
  <c r="G33" i="86"/>
  <c r="I34" i="86"/>
  <c r="L174" i="86"/>
  <c r="J173" i="86"/>
  <c r="L173" i="86" s="1"/>
  <c r="I148" i="86"/>
  <c r="G147" i="86"/>
  <c r="I147" i="86" s="1"/>
  <c r="F300" i="86"/>
  <c r="L148" i="86"/>
  <c r="J147" i="86"/>
  <c r="L147" i="86" s="1"/>
  <c r="I207" i="86"/>
  <c r="F343" i="86"/>
  <c r="F147" i="86"/>
  <c r="G241" i="86"/>
  <c r="I242" i="86"/>
  <c r="M242" i="86" s="1"/>
  <c r="N242" i="86" s="1"/>
  <c r="L166" i="86"/>
  <c r="M166" i="86" s="1"/>
  <c r="N166" i="86" s="1"/>
  <c r="J165" i="86"/>
  <c r="L165" i="86" s="1"/>
  <c r="M165" i="86" s="1"/>
  <c r="N165" i="86" s="1"/>
  <c r="J256" i="86"/>
  <c r="L256" i="86" s="1"/>
  <c r="L257" i="86"/>
  <c r="F375" i="86"/>
  <c r="F350" i="86" s="1"/>
  <c r="L313" i="86"/>
  <c r="J312" i="86"/>
  <c r="L312" i="86" s="1"/>
  <c r="L140" i="86"/>
  <c r="I124" i="86"/>
  <c r="G123" i="86"/>
  <c r="L376" i="86"/>
  <c r="J375" i="86"/>
  <c r="L375" i="86" s="1"/>
  <c r="G256" i="86"/>
  <c r="I256" i="86" s="1"/>
  <c r="I257" i="86"/>
  <c r="M257" i="86" s="1"/>
  <c r="N257" i="86" s="1"/>
  <c r="I314" i="86"/>
  <c r="M314" i="86" s="1"/>
  <c r="N314" i="86" s="1"/>
  <c r="G313" i="86"/>
  <c r="F184" i="86"/>
  <c r="F140" i="86"/>
  <c r="N141" i="86"/>
  <c r="I199" i="86"/>
  <c r="G198" i="86"/>
  <c r="I198" i="86" s="1"/>
  <c r="J269" i="86"/>
  <c r="L269" i="86" s="1"/>
  <c r="L270" i="86"/>
  <c r="I377" i="86"/>
  <c r="M377" i="86" s="1"/>
  <c r="N377" i="86" s="1"/>
  <c r="G376" i="86"/>
  <c r="M271" i="86"/>
  <c r="N271" i="86" s="1"/>
  <c r="I21" i="86"/>
  <c r="G20" i="86"/>
  <c r="F173" i="86"/>
  <c r="F332" i="86"/>
  <c r="N333" i="86"/>
  <c r="I332" i="86"/>
  <c r="M332" i="86" s="1"/>
  <c r="G331" i="86"/>
  <c r="I331" i="86" s="1"/>
  <c r="M331" i="86" s="1"/>
  <c r="I358" i="86"/>
  <c r="G357" i="86"/>
  <c r="I357" i="86" s="1"/>
  <c r="F19" i="86"/>
  <c r="G248" i="86"/>
  <c r="I249" i="86"/>
  <c r="L34" i="86"/>
  <c r="J33" i="86"/>
  <c r="L185" i="86"/>
  <c r="J184" i="86"/>
  <c r="L184" i="86" s="1"/>
  <c r="F312" i="86"/>
  <c r="I339" i="86"/>
  <c r="M339" i="86" s="1"/>
  <c r="N339" i="86" s="1"/>
  <c r="G338" i="86"/>
  <c r="L221" i="86"/>
  <c r="I370" i="86"/>
  <c r="M370" i="86" s="1"/>
  <c r="N370" i="86" s="1"/>
  <c r="G369" i="86"/>
  <c r="I369" i="86" s="1"/>
  <c r="M369" i="86" s="1"/>
  <c r="N369" i="86" s="1"/>
  <c r="G269" i="86"/>
  <c r="I269" i="86" s="1"/>
  <c r="I270" i="86"/>
  <c r="M270" i="86" s="1"/>
  <c r="N270" i="86" s="1"/>
  <c r="L258" i="86"/>
  <c r="M258" i="86" s="1"/>
  <c r="N258" i="86" s="1"/>
  <c r="I140" i="86"/>
  <c r="L338" i="86"/>
  <c r="J337" i="86"/>
  <c r="L337" i="86" s="1"/>
  <c r="F248" i="86"/>
  <c r="L21" i="86"/>
  <c r="J20" i="86"/>
  <c r="F124" i="86"/>
  <c r="F206" i="86"/>
  <c r="I186" i="86"/>
  <c r="M186" i="86" s="1"/>
  <c r="N186" i="86" s="1"/>
  <c r="G185" i="86"/>
  <c r="F357" i="86"/>
  <c r="L280" i="86"/>
  <c r="M280" i="86" s="1"/>
  <c r="N280" i="86" s="1"/>
  <c r="J279" i="86"/>
  <c r="L359" i="86"/>
  <c r="M359" i="86" s="1"/>
  <c r="N359" i="86" s="1"/>
  <c r="J358" i="86"/>
  <c r="L114" i="86"/>
  <c r="J113" i="86"/>
  <c r="L113" i="86" s="1"/>
  <c r="J47" i="86"/>
  <c r="L47" i="86" s="1"/>
  <c r="I232" i="86"/>
  <c r="M232" i="86" s="1"/>
  <c r="N232" i="86" s="1"/>
  <c r="G231" i="86"/>
  <c r="I231" i="86" s="1"/>
  <c r="M231" i="86" s="1"/>
  <c r="N231" i="86" s="1"/>
  <c r="F239" i="86"/>
  <c r="F240" i="86"/>
  <c r="J300" i="86"/>
  <c r="L301" i="86"/>
  <c r="M301" i="86" s="1"/>
  <c r="N301" i="86" s="1"/>
  <c r="I174" i="86"/>
  <c r="H173" i="86"/>
  <c r="I115" i="86"/>
  <c r="M115" i="86" s="1"/>
  <c r="N115" i="86" s="1"/>
  <c r="G114" i="86"/>
  <c r="J249" i="86"/>
  <c r="L250" i="86"/>
  <c r="F337" i="86"/>
  <c r="L345" i="86"/>
  <c r="M345" i="86" s="1"/>
  <c r="N345" i="86" s="1"/>
  <c r="J344" i="86"/>
  <c r="M167" i="86"/>
  <c r="N167" i="86" s="1"/>
  <c r="M353" i="86"/>
  <c r="N353" i="86" s="1"/>
  <c r="M250" i="86"/>
  <c r="N250" i="86" s="1"/>
  <c r="M149" i="86"/>
  <c r="N149" i="86" s="1"/>
  <c r="M406" i="85"/>
  <c r="I51" i="85"/>
  <c r="M51" i="85" s="1"/>
  <c r="N51" i="85" s="1"/>
  <c r="M387" i="85"/>
  <c r="K247" i="85"/>
  <c r="M262" i="85"/>
  <c r="N262" i="85" s="1"/>
  <c r="M213" i="85"/>
  <c r="N213" i="85" s="1"/>
  <c r="M310" i="85"/>
  <c r="N310" i="85" s="1"/>
  <c r="K138" i="85"/>
  <c r="K17" i="85" s="1"/>
  <c r="K386" i="85" s="1"/>
  <c r="K405" i="85" s="1"/>
  <c r="G50" i="85"/>
  <c r="I50" i="85" s="1"/>
  <c r="M50" i="85" s="1"/>
  <c r="L42" i="85"/>
  <c r="M42" i="85" s="1"/>
  <c r="N42" i="85" s="1"/>
  <c r="J34" i="85"/>
  <c r="G358" i="85"/>
  <c r="I359" i="85"/>
  <c r="G250" i="85"/>
  <c r="I251" i="85"/>
  <c r="F352" i="85"/>
  <c r="L352" i="85"/>
  <c r="J351" i="85"/>
  <c r="G257" i="85"/>
  <c r="I258" i="85"/>
  <c r="F337" i="85"/>
  <c r="L280" i="85"/>
  <c r="J279" i="85"/>
  <c r="J198" i="85"/>
  <c r="L198" i="85" s="1"/>
  <c r="L199" i="85"/>
  <c r="G175" i="85"/>
  <c r="I180" i="85"/>
  <c r="M180" i="85" s="1"/>
  <c r="N180" i="85" s="1"/>
  <c r="G332" i="85"/>
  <c r="I333" i="85"/>
  <c r="F375" i="85"/>
  <c r="F300" i="85"/>
  <c r="I201" i="85"/>
  <c r="M201" i="85" s="1"/>
  <c r="N201" i="85" s="1"/>
  <c r="G199" i="85"/>
  <c r="L142" i="85"/>
  <c r="M142" i="85" s="1"/>
  <c r="N142" i="85" s="1"/>
  <c r="J141" i="85"/>
  <c r="L126" i="85"/>
  <c r="M126" i="85" s="1"/>
  <c r="N126" i="85" s="1"/>
  <c r="J125" i="85"/>
  <c r="N83" i="85"/>
  <c r="F50" i="85"/>
  <c r="G370" i="85"/>
  <c r="I371" i="85"/>
  <c r="J333" i="85"/>
  <c r="L334" i="85"/>
  <c r="J314" i="85"/>
  <c r="L315" i="85"/>
  <c r="G280" i="85"/>
  <c r="I281" i="85"/>
  <c r="M281" i="85" s="1"/>
  <c r="N281" i="85" s="1"/>
  <c r="L186" i="85"/>
  <c r="J185" i="85"/>
  <c r="F359" i="85"/>
  <c r="N363" i="85"/>
  <c r="N243" i="85"/>
  <c r="F242" i="85"/>
  <c r="F258" i="85"/>
  <c r="N259" i="85"/>
  <c r="F249" i="85"/>
  <c r="G337" i="85"/>
  <c r="I337" i="85" s="1"/>
  <c r="I338" i="85"/>
  <c r="F269" i="85"/>
  <c r="L345" i="85"/>
  <c r="M345" i="85" s="1"/>
  <c r="J344" i="85"/>
  <c r="I148" i="85"/>
  <c r="G147" i="85"/>
  <c r="I147" i="85" s="1"/>
  <c r="I116" i="85"/>
  <c r="M116" i="85" s="1"/>
  <c r="N116" i="85" s="1"/>
  <c r="H115" i="85"/>
  <c r="F332" i="85"/>
  <c r="F313" i="85"/>
  <c r="J250" i="85"/>
  <c r="L251" i="85"/>
  <c r="G113" i="85"/>
  <c r="L115" i="85"/>
  <c r="J114" i="85"/>
  <c r="M334" i="85"/>
  <c r="N334" i="85" s="1"/>
  <c r="M292" i="85"/>
  <c r="N292" i="85" s="1"/>
  <c r="M244" i="85"/>
  <c r="N244" i="85" s="1"/>
  <c r="M315" i="85"/>
  <c r="N315" i="85" s="1"/>
  <c r="M272" i="85"/>
  <c r="N272" i="85" s="1"/>
  <c r="M355" i="85"/>
  <c r="N355" i="85" s="1"/>
  <c r="M168" i="85"/>
  <c r="N168" i="85" s="1"/>
  <c r="N346" i="85"/>
  <c r="F345" i="85"/>
  <c r="I377" i="85"/>
  <c r="G376" i="85"/>
  <c r="I232" i="85"/>
  <c r="M232" i="85" s="1"/>
  <c r="N232" i="85" s="1"/>
  <c r="L207" i="85"/>
  <c r="J270" i="85"/>
  <c r="L271" i="85"/>
  <c r="M271" i="85" s="1"/>
  <c r="N271" i="85" s="1"/>
  <c r="I222" i="85"/>
  <c r="G221" i="85"/>
  <c r="I221" i="85" s="1"/>
  <c r="G186" i="85"/>
  <c r="I187" i="85"/>
  <c r="M187" i="85" s="1"/>
  <c r="N187" i="85" s="1"/>
  <c r="J371" i="85"/>
  <c r="L372" i="85"/>
  <c r="M372" i="85" s="1"/>
  <c r="N372" i="85" s="1"/>
  <c r="J338" i="85"/>
  <c r="L339" i="85"/>
  <c r="M339" i="85" s="1"/>
  <c r="N339" i="85" s="1"/>
  <c r="G313" i="85"/>
  <c r="I314" i="85"/>
  <c r="L22" i="85"/>
  <c r="J21" i="85"/>
  <c r="J358" i="85"/>
  <c r="L359" i="85"/>
  <c r="G269" i="85"/>
  <c r="I269" i="85" s="1"/>
  <c r="I270" i="85"/>
  <c r="J257" i="85"/>
  <c r="L258" i="85"/>
  <c r="L242" i="85"/>
  <c r="J241" i="85"/>
  <c r="L222" i="85"/>
  <c r="J221" i="85"/>
  <c r="L221" i="85" s="1"/>
  <c r="I209" i="85"/>
  <c r="M209" i="85" s="1"/>
  <c r="N209" i="85" s="1"/>
  <c r="G208" i="85"/>
  <c r="F148" i="85"/>
  <c r="I141" i="85"/>
  <c r="G140" i="85"/>
  <c r="I125" i="85"/>
  <c r="G124" i="85"/>
  <c r="H34" i="85"/>
  <c r="I35" i="85"/>
  <c r="M35" i="85" s="1"/>
  <c r="N35" i="85" s="1"/>
  <c r="J376" i="85"/>
  <c r="L377" i="85"/>
  <c r="G353" i="85"/>
  <c r="I354" i="85"/>
  <c r="M354" i="85" s="1"/>
  <c r="N354" i="85" s="1"/>
  <c r="F174" i="85"/>
  <c r="F20" i="85"/>
  <c r="I167" i="85"/>
  <c r="G166" i="85"/>
  <c r="G300" i="85"/>
  <c r="I301" i="85"/>
  <c r="J166" i="85"/>
  <c r="L167" i="85"/>
  <c r="F279" i="85"/>
  <c r="L149" i="85"/>
  <c r="M149" i="85" s="1"/>
  <c r="N149" i="85" s="1"/>
  <c r="J148" i="85"/>
  <c r="F141" i="85"/>
  <c r="I22" i="85"/>
  <c r="G21" i="85"/>
  <c r="G242" i="85"/>
  <c r="I243" i="85"/>
  <c r="M243" i="85" s="1"/>
  <c r="J174" i="85"/>
  <c r="L175" i="85"/>
  <c r="F114" i="85"/>
  <c r="F165" i="85"/>
  <c r="M382" i="85"/>
  <c r="N382" i="85" s="1"/>
  <c r="M282" i="85"/>
  <c r="N282" i="85" s="1"/>
  <c r="F206" i="85"/>
  <c r="F370" i="85"/>
  <c r="J301" i="85"/>
  <c r="L302" i="85"/>
  <c r="M302" i="85" s="1"/>
  <c r="N302" i="85" s="1"/>
  <c r="F185" i="85"/>
  <c r="F125" i="85"/>
  <c r="L353" i="84"/>
  <c r="M353" i="84" s="1"/>
  <c r="N353" i="84" s="1"/>
  <c r="J352" i="84"/>
  <c r="G258" i="84"/>
  <c r="I262" i="84"/>
  <c r="I232" i="84"/>
  <c r="G231" i="84"/>
  <c r="I231" i="84" s="1"/>
  <c r="J186" i="84"/>
  <c r="L187" i="84"/>
  <c r="M187" i="84" s="1"/>
  <c r="N187" i="84" s="1"/>
  <c r="F375" i="84"/>
  <c r="I203" i="84"/>
  <c r="G202" i="84"/>
  <c r="L125" i="84"/>
  <c r="J124" i="84"/>
  <c r="I280" i="84"/>
  <c r="G279" i="84"/>
  <c r="I243" i="84"/>
  <c r="G242" i="84"/>
  <c r="L149" i="84"/>
  <c r="J148" i="84"/>
  <c r="I358" i="84"/>
  <c r="G357" i="84"/>
  <c r="I357" i="84" s="1"/>
  <c r="G207" i="84"/>
  <c r="L209" i="84"/>
  <c r="J208" i="84"/>
  <c r="L322" i="84"/>
  <c r="M322" i="84" s="1"/>
  <c r="N322" i="84" s="1"/>
  <c r="J314" i="84"/>
  <c r="G301" i="84"/>
  <c r="I302" i="84"/>
  <c r="M302" i="84" s="1"/>
  <c r="N302" i="84" s="1"/>
  <c r="L346" i="84"/>
  <c r="M346" i="84" s="1"/>
  <c r="N346" i="84" s="1"/>
  <c r="J345" i="84"/>
  <c r="F280" i="84"/>
  <c r="F257" i="84"/>
  <c r="L243" i="84"/>
  <c r="K242" i="84"/>
  <c r="L234" i="84"/>
  <c r="M234" i="84" s="1"/>
  <c r="N234" i="84" s="1"/>
  <c r="J232" i="84"/>
  <c r="J175" i="84"/>
  <c r="L180" i="84"/>
  <c r="M180" i="84" s="1"/>
  <c r="N180" i="84" s="1"/>
  <c r="I370" i="84"/>
  <c r="G369" i="84"/>
  <c r="I369" i="84" s="1"/>
  <c r="F313" i="84"/>
  <c r="F300" i="84"/>
  <c r="F21" i="84"/>
  <c r="L371" i="84"/>
  <c r="M371" i="84" s="1"/>
  <c r="N371" i="84" s="1"/>
  <c r="J370" i="84"/>
  <c r="F185" i="84"/>
  <c r="G125" i="84"/>
  <c r="I126" i="84"/>
  <c r="M126" i="84" s="1"/>
  <c r="N126" i="84" s="1"/>
  <c r="L305" i="84"/>
  <c r="M305" i="84" s="1"/>
  <c r="N305" i="84" s="1"/>
  <c r="J301" i="84"/>
  <c r="I352" i="84"/>
  <c r="G351" i="84"/>
  <c r="L281" i="84"/>
  <c r="M281" i="84" s="1"/>
  <c r="N281" i="84" s="1"/>
  <c r="J280" i="84"/>
  <c r="F270" i="84"/>
  <c r="J257" i="84"/>
  <c r="I250" i="84"/>
  <c r="G249" i="84"/>
  <c r="F221" i="84"/>
  <c r="F370" i="84"/>
  <c r="L226" i="84"/>
  <c r="J222" i="84"/>
  <c r="I212" i="84"/>
  <c r="M212" i="84" s="1"/>
  <c r="N212" i="84" s="1"/>
  <c r="H208" i="84"/>
  <c r="H207" i="84" s="1"/>
  <c r="J198" i="84"/>
  <c r="G185" i="84"/>
  <c r="I186" i="84"/>
  <c r="G141" i="84"/>
  <c r="I142" i="84"/>
  <c r="M142" i="84" s="1"/>
  <c r="N142" i="84" s="1"/>
  <c r="F351" i="84"/>
  <c r="J21" i="84"/>
  <c r="L22" i="84"/>
  <c r="J114" i="84"/>
  <c r="L115" i="84"/>
  <c r="F140" i="84"/>
  <c r="K49" i="84"/>
  <c r="L50" i="84"/>
  <c r="I51" i="84"/>
  <c r="M51" i="84" s="1"/>
  <c r="N51" i="84" s="1"/>
  <c r="G50" i="84"/>
  <c r="F113" i="84"/>
  <c r="M209" i="84"/>
  <c r="N209" i="84" s="1"/>
  <c r="N156" i="84"/>
  <c r="M115" i="84"/>
  <c r="N115" i="84" s="1"/>
  <c r="M226" i="84"/>
  <c r="N226" i="84" s="1"/>
  <c r="J34" i="84"/>
  <c r="M168" i="84"/>
  <c r="L339" i="84"/>
  <c r="L338" i="84"/>
  <c r="L377" i="84"/>
  <c r="M149" i="84"/>
  <c r="N149" i="84" s="1"/>
  <c r="M204" i="84"/>
  <c r="N204" i="84" s="1"/>
  <c r="M116" i="84"/>
  <c r="N116" i="84" s="1"/>
  <c r="F250" i="84"/>
  <c r="F50" i="84"/>
  <c r="N83" i="84"/>
  <c r="G376" i="84"/>
  <c r="I377" i="84"/>
  <c r="K202" i="84"/>
  <c r="L203" i="84"/>
  <c r="I22" i="84"/>
  <c r="G21" i="84"/>
  <c r="L363" i="84"/>
  <c r="M363" i="84" s="1"/>
  <c r="N363" i="84" s="1"/>
  <c r="J359" i="84"/>
  <c r="L251" i="84"/>
  <c r="M251" i="84" s="1"/>
  <c r="N251" i="84" s="1"/>
  <c r="J250" i="84"/>
  <c r="F344" i="84"/>
  <c r="F207" i="84"/>
  <c r="G221" i="84"/>
  <c r="I221" i="84" s="1"/>
  <c r="L141" i="84"/>
  <c r="J140" i="84"/>
  <c r="F124" i="84"/>
  <c r="G113" i="84"/>
  <c r="I113" i="84" s="1"/>
  <c r="I114" i="84"/>
  <c r="I34" i="84"/>
  <c r="G33" i="84"/>
  <c r="G166" i="84"/>
  <c r="I167" i="84"/>
  <c r="M167" i="84" s="1"/>
  <c r="F148" i="84"/>
  <c r="F175" i="84"/>
  <c r="M127" i="84"/>
  <c r="N127" i="84" s="1"/>
  <c r="M99" i="84"/>
  <c r="N99" i="84" s="1"/>
  <c r="G314" i="84"/>
  <c r="I315" i="84"/>
  <c r="M315" i="84" s="1"/>
  <c r="N315" i="84" s="1"/>
  <c r="I340" i="84"/>
  <c r="M340" i="84" s="1"/>
  <c r="N340" i="84" s="1"/>
  <c r="G339" i="84"/>
  <c r="L271" i="84"/>
  <c r="J270" i="84"/>
  <c r="J239" i="84"/>
  <c r="L376" i="84"/>
  <c r="J375" i="84"/>
  <c r="L375" i="84" s="1"/>
  <c r="G174" i="84"/>
  <c r="I175" i="84"/>
  <c r="F358" i="84"/>
  <c r="L167" i="84"/>
  <c r="J166" i="84"/>
  <c r="F32" i="84"/>
  <c r="I345" i="84"/>
  <c r="G344" i="84"/>
  <c r="L262" i="84"/>
  <c r="K258" i="84"/>
  <c r="K257" i="84" s="1"/>
  <c r="K256" i="84" s="1"/>
  <c r="K247" i="84" s="1"/>
  <c r="H222" i="84"/>
  <c r="H221" i="84" s="1"/>
  <c r="I223" i="84"/>
  <c r="M223" i="84" s="1"/>
  <c r="N223" i="84" s="1"/>
  <c r="N168" i="84"/>
  <c r="F167" i="84"/>
  <c r="M22" i="84" l="1"/>
  <c r="N22" i="84" s="1"/>
  <c r="M147" i="86"/>
  <c r="M221" i="86"/>
  <c r="N221" i="86" s="1"/>
  <c r="N147" i="86"/>
  <c r="L241" i="86"/>
  <c r="J240" i="86"/>
  <c r="L49" i="85"/>
  <c r="K48" i="85"/>
  <c r="L48" i="85" s="1"/>
  <c r="K48" i="86"/>
  <c r="L48" i="86" s="1"/>
  <c r="L49" i="86"/>
  <c r="M49" i="86" s="1"/>
  <c r="N49" i="86" s="1"/>
  <c r="M352" i="86"/>
  <c r="N352" i="86" s="1"/>
  <c r="M377" i="85"/>
  <c r="N377" i="85" s="1"/>
  <c r="M34" i="86"/>
  <c r="N34" i="86" s="1"/>
  <c r="M21" i="86"/>
  <c r="N21" i="86" s="1"/>
  <c r="M377" i="84"/>
  <c r="N377" i="84" s="1"/>
  <c r="M243" i="84"/>
  <c r="N243" i="84" s="1"/>
  <c r="J206" i="85"/>
  <c r="L206" i="85" s="1"/>
  <c r="M140" i="86"/>
  <c r="J206" i="86"/>
  <c r="L206" i="86" s="1"/>
  <c r="M256" i="86"/>
  <c r="N256" i="86" s="1"/>
  <c r="J139" i="86"/>
  <c r="J138" i="86" s="1"/>
  <c r="L138" i="86" s="1"/>
  <c r="M207" i="86"/>
  <c r="N207" i="86" s="1"/>
  <c r="I271" i="84"/>
  <c r="M271" i="84" s="1"/>
  <c r="N271" i="84" s="1"/>
  <c r="G270" i="84"/>
  <c r="J32" i="86"/>
  <c r="L32" i="86" s="1"/>
  <c r="L33" i="86"/>
  <c r="L139" i="86"/>
  <c r="F247" i="86"/>
  <c r="L344" i="86"/>
  <c r="J343" i="86"/>
  <c r="L343" i="86" s="1"/>
  <c r="I173" i="86"/>
  <c r="M173" i="86" s="1"/>
  <c r="N173" i="86" s="1"/>
  <c r="H138" i="86"/>
  <c r="H17" i="86" s="1"/>
  <c r="J357" i="86"/>
  <c r="L357" i="86" s="1"/>
  <c r="M357" i="86" s="1"/>
  <c r="N357" i="86" s="1"/>
  <c r="L358" i="86"/>
  <c r="L20" i="86"/>
  <c r="J19" i="86"/>
  <c r="F18" i="86"/>
  <c r="I376" i="86"/>
  <c r="M376" i="86" s="1"/>
  <c r="N376" i="86" s="1"/>
  <c r="G375" i="86"/>
  <c r="I375" i="86" s="1"/>
  <c r="M375" i="86" s="1"/>
  <c r="N375" i="86" s="1"/>
  <c r="G122" i="86"/>
  <c r="I122" i="86" s="1"/>
  <c r="I123" i="86"/>
  <c r="I33" i="86"/>
  <c r="M33" i="86" s="1"/>
  <c r="N33" i="86" s="1"/>
  <c r="G32" i="86"/>
  <c r="I32" i="86" s="1"/>
  <c r="I351" i="86"/>
  <c r="N206" i="86"/>
  <c r="M269" i="86"/>
  <c r="N269" i="86" s="1"/>
  <c r="M148" i="86"/>
  <c r="N148" i="86" s="1"/>
  <c r="F123" i="86"/>
  <c r="J123" i="86"/>
  <c r="L123" i="86" s="1"/>
  <c r="L124" i="86"/>
  <c r="J122" i="86"/>
  <c r="L122" i="86" s="1"/>
  <c r="G184" i="86"/>
  <c r="I184" i="86" s="1"/>
  <c r="M184" i="86" s="1"/>
  <c r="N184" i="86" s="1"/>
  <c r="I185" i="86"/>
  <c r="M185" i="86" s="1"/>
  <c r="N185" i="86" s="1"/>
  <c r="I248" i="86"/>
  <c r="G247" i="86"/>
  <c r="I247" i="86" s="1"/>
  <c r="F331" i="86"/>
  <c r="N331" i="86" s="1"/>
  <c r="N332" i="86"/>
  <c r="G312" i="86"/>
  <c r="I312" i="86" s="1"/>
  <c r="M312" i="86" s="1"/>
  <c r="N312" i="86" s="1"/>
  <c r="I313" i="86"/>
  <c r="M313" i="86" s="1"/>
  <c r="N313" i="86" s="1"/>
  <c r="G139" i="86"/>
  <c r="M358" i="86"/>
  <c r="N358" i="86" s="1"/>
  <c r="L300" i="86"/>
  <c r="J299" i="86"/>
  <c r="F139" i="86"/>
  <c r="N140" i="86"/>
  <c r="I114" i="86"/>
  <c r="M114" i="86" s="1"/>
  <c r="N114" i="86" s="1"/>
  <c r="G113" i="86"/>
  <c r="I113" i="86" s="1"/>
  <c r="M113" i="86" s="1"/>
  <c r="N113" i="86" s="1"/>
  <c r="L279" i="86"/>
  <c r="M279" i="86" s="1"/>
  <c r="N279" i="86" s="1"/>
  <c r="J278" i="86"/>
  <c r="L278" i="86" s="1"/>
  <c r="M278" i="86" s="1"/>
  <c r="N278" i="86" s="1"/>
  <c r="I299" i="86"/>
  <c r="I48" i="86"/>
  <c r="M48" i="86" s="1"/>
  <c r="N48" i="86" s="1"/>
  <c r="G47" i="86"/>
  <c r="I47" i="86" s="1"/>
  <c r="M47" i="86" s="1"/>
  <c r="L249" i="86"/>
  <c r="J248" i="86"/>
  <c r="I338" i="86"/>
  <c r="M338" i="86" s="1"/>
  <c r="N338" i="86" s="1"/>
  <c r="G337" i="86"/>
  <c r="I337" i="86" s="1"/>
  <c r="M337" i="86" s="1"/>
  <c r="N337" i="86" s="1"/>
  <c r="I20" i="86"/>
  <c r="G19" i="86"/>
  <c r="I241" i="86"/>
  <c r="M241" i="86" s="1"/>
  <c r="N241" i="86" s="1"/>
  <c r="G240" i="86"/>
  <c r="F299" i="86"/>
  <c r="L351" i="86"/>
  <c r="J350" i="86"/>
  <c r="L350" i="86" s="1"/>
  <c r="L199" i="86"/>
  <c r="M199" i="86" s="1"/>
  <c r="N199" i="86" s="1"/>
  <c r="J198" i="86"/>
  <c r="L198" i="86" s="1"/>
  <c r="M198" i="86" s="1"/>
  <c r="N198" i="86" s="1"/>
  <c r="F47" i="86"/>
  <c r="M344" i="86"/>
  <c r="N344" i="86" s="1"/>
  <c r="M174" i="86"/>
  <c r="N174" i="86" s="1"/>
  <c r="M249" i="86"/>
  <c r="N249" i="86" s="1"/>
  <c r="M124" i="86"/>
  <c r="N124" i="86" s="1"/>
  <c r="G206" i="86"/>
  <c r="I206" i="86" s="1"/>
  <c r="M206" i="86" s="1"/>
  <c r="M300" i="86"/>
  <c r="N300" i="86" s="1"/>
  <c r="M343" i="86"/>
  <c r="N343" i="86" s="1"/>
  <c r="M22" i="85"/>
  <c r="N22" i="85" s="1"/>
  <c r="G49" i="85"/>
  <c r="I49" i="85" s="1"/>
  <c r="M49" i="85" s="1"/>
  <c r="M258" i="85"/>
  <c r="N258" i="85" s="1"/>
  <c r="L34" i="85"/>
  <c r="J33" i="85"/>
  <c r="F369" i="85"/>
  <c r="F113" i="85"/>
  <c r="I21" i="85"/>
  <c r="G20" i="85"/>
  <c r="F173" i="85"/>
  <c r="J256" i="85"/>
  <c r="L256" i="85" s="1"/>
  <c r="L257" i="85"/>
  <c r="G312" i="85"/>
  <c r="I312" i="85" s="1"/>
  <c r="I313" i="85"/>
  <c r="J370" i="85"/>
  <c r="L371" i="85"/>
  <c r="G48" i="85"/>
  <c r="I242" i="85"/>
  <c r="M242" i="85" s="1"/>
  <c r="N242" i="85" s="1"/>
  <c r="G241" i="85"/>
  <c r="F140" i="85"/>
  <c r="G299" i="85"/>
  <c r="I300" i="85"/>
  <c r="G165" i="85"/>
  <c r="I165" i="85" s="1"/>
  <c r="I166" i="85"/>
  <c r="I124" i="85"/>
  <c r="G123" i="85"/>
  <c r="G375" i="85"/>
  <c r="I375" i="85" s="1"/>
  <c r="I376" i="85"/>
  <c r="J249" i="85"/>
  <c r="L250" i="85"/>
  <c r="F257" i="85"/>
  <c r="F358" i="85"/>
  <c r="G279" i="85"/>
  <c r="I280" i="85"/>
  <c r="M280" i="85" s="1"/>
  <c r="N280" i="85" s="1"/>
  <c r="J332" i="85"/>
  <c r="L333" i="85"/>
  <c r="M333" i="85" s="1"/>
  <c r="N333" i="85" s="1"/>
  <c r="G331" i="85"/>
  <c r="I331" i="85" s="1"/>
  <c r="I332" i="85"/>
  <c r="G249" i="85"/>
  <c r="I250" i="85"/>
  <c r="F124" i="85"/>
  <c r="F184" i="85"/>
  <c r="F278" i="85"/>
  <c r="G352" i="85"/>
  <c r="I353" i="85"/>
  <c r="M353" i="85" s="1"/>
  <c r="N353" i="85" s="1"/>
  <c r="H33" i="85"/>
  <c r="I34" i="85"/>
  <c r="M34" i="85" s="1"/>
  <c r="N34" i="85" s="1"/>
  <c r="J337" i="85"/>
  <c r="L337" i="85" s="1"/>
  <c r="M337" i="85" s="1"/>
  <c r="N337" i="85" s="1"/>
  <c r="L338" i="85"/>
  <c r="I186" i="85"/>
  <c r="M186" i="85" s="1"/>
  <c r="N186" i="85" s="1"/>
  <c r="G185" i="85"/>
  <c r="L270" i="85"/>
  <c r="J269" i="85"/>
  <c r="L269" i="85" s="1"/>
  <c r="L114" i="85"/>
  <c r="J113" i="85"/>
  <c r="L113" i="85" s="1"/>
  <c r="J47" i="85"/>
  <c r="L47" i="85" s="1"/>
  <c r="F331" i="85"/>
  <c r="H114" i="85"/>
  <c r="I115" i="85"/>
  <c r="M115" i="85" s="1"/>
  <c r="N115" i="85" s="1"/>
  <c r="J343" i="85"/>
  <c r="L343" i="85" s="1"/>
  <c r="M343" i="85" s="1"/>
  <c r="L344" i="85"/>
  <c r="M344" i="85" s="1"/>
  <c r="N50" i="85"/>
  <c r="F49" i="85"/>
  <c r="L141" i="85"/>
  <c r="M141" i="85" s="1"/>
  <c r="N141" i="85" s="1"/>
  <c r="J140" i="85"/>
  <c r="F299" i="85"/>
  <c r="L351" i="85"/>
  <c r="M167" i="85"/>
  <c r="N167" i="85" s="1"/>
  <c r="M221" i="85"/>
  <c r="N221" i="85" s="1"/>
  <c r="M269" i="85"/>
  <c r="N269" i="85" s="1"/>
  <c r="M338" i="85"/>
  <c r="N338" i="85" s="1"/>
  <c r="M251" i="85"/>
  <c r="N251" i="85" s="1"/>
  <c r="L174" i="85"/>
  <c r="J173" i="85"/>
  <c r="L173" i="85" s="1"/>
  <c r="L166" i="85"/>
  <c r="J165" i="85"/>
  <c r="L165" i="85" s="1"/>
  <c r="F19" i="85"/>
  <c r="I140" i="85"/>
  <c r="G139" i="85"/>
  <c r="G207" i="85"/>
  <c r="I208" i="85"/>
  <c r="M208" i="85" s="1"/>
  <c r="N208" i="85" s="1"/>
  <c r="L241" i="85"/>
  <c r="J240" i="85"/>
  <c r="L21" i="85"/>
  <c r="J20" i="85"/>
  <c r="F344" i="85"/>
  <c r="N345" i="85"/>
  <c r="J313" i="85"/>
  <c r="L314" i="85"/>
  <c r="M314" i="85" s="1"/>
  <c r="N314" i="85" s="1"/>
  <c r="G369" i="85"/>
  <c r="I369" i="85" s="1"/>
  <c r="I370" i="85"/>
  <c r="I175" i="85"/>
  <c r="M175" i="85" s="1"/>
  <c r="N175" i="85" s="1"/>
  <c r="G174" i="85"/>
  <c r="G256" i="85"/>
  <c r="I256" i="85" s="1"/>
  <c r="I257" i="85"/>
  <c r="G357" i="85"/>
  <c r="I357" i="85" s="1"/>
  <c r="I358" i="85"/>
  <c r="M270" i="85"/>
  <c r="N270" i="85" s="1"/>
  <c r="M148" i="85"/>
  <c r="N148" i="85" s="1"/>
  <c r="J300" i="85"/>
  <c r="L301" i="85"/>
  <c r="M301" i="85" s="1"/>
  <c r="N301" i="85" s="1"/>
  <c r="L148" i="85"/>
  <c r="J147" i="85"/>
  <c r="L147" i="85" s="1"/>
  <c r="M147" i="85" s="1"/>
  <c r="J375" i="85"/>
  <c r="L375" i="85" s="1"/>
  <c r="L376" i="85"/>
  <c r="F147" i="85"/>
  <c r="L358" i="85"/>
  <c r="J357" i="85"/>
  <c r="L357" i="85" s="1"/>
  <c r="F312" i="85"/>
  <c r="F248" i="85"/>
  <c r="F241" i="85"/>
  <c r="L185" i="85"/>
  <c r="J184" i="85"/>
  <c r="L184" i="85" s="1"/>
  <c r="L125" i="85"/>
  <c r="M125" i="85" s="1"/>
  <c r="N125" i="85" s="1"/>
  <c r="J124" i="85"/>
  <c r="I199" i="85"/>
  <c r="M199" i="85" s="1"/>
  <c r="N199" i="85" s="1"/>
  <c r="G198" i="85"/>
  <c r="I198" i="85" s="1"/>
  <c r="M198" i="85" s="1"/>
  <c r="N198" i="85" s="1"/>
  <c r="L279" i="85"/>
  <c r="J278" i="85"/>
  <c r="L278" i="85" s="1"/>
  <c r="F351" i="85"/>
  <c r="M222" i="85"/>
  <c r="N222" i="85" s="1"/>
  <c r="M371" i="85"/>
  <c r="N371" i="85" s="1"/>
  <c r="M359" i="85"/>
  <c r="N359" i="85" s="1"/>
  <c r="G32" i="84"/>
  <c r="I32" i="84" s="1"/>
  <c r="I33" i="84"/>
  <c r="K48" i="84"/>
  <c r="L48" i="84" s="1"/>
  <c r="L49" i="84"/>
  <c r="F269" i="84"/>
  <c r="F256" i="84"/>
  <c r="F357" i="84"/>
  <c r="F166" i="84"/>
  <c r="N167" i="84"/>
  <c r="F174" i="84"/>
  <c r="L250" i="84"/>
  <c r="J249" i="84"/>
  <c r="J20" i="84"/>
  <c r="L21" i="84"/>
  <c r="I174" i="84"/>
  <c r="G173" i="84"/>
  <c r="I173" i="84" s="1"/>
  <c r="F343" i="84"/>
  <c r="K201" i="84"/>
  <c r="L202" i="84"/>
  <c r="F49" i="84"/>
  <c r="I50" i="84"/>
  <c r="M50" i="84" s="1"/>
  <c r="N50" i="84" s="1"/>
  <c r="G49" i="84"/>
  <c r="L222" i="84"/>
  <c r="J221" i="84"/>
  <c r="L221" i="84" s="1"/>
  <c r="L257" i="84"/>
  <c r="J256" i="84"/>
  <c r="L256" i="84" s="1"/>
  <c r="L280" i="84"/>
  <c r="M280" i="84" s="1"/>
  <c r="N280" i="84" s="1"/>
  <c r="J279" i="84"/>
  <c r="L301" i="84"/>
  <c r="J300" i="84"/>
  <c r="F184" i="84"/>
  <c r="F20" i="84"/>
  <c r="N21" i="84"/>
  <c r="K241" i="84"/>
  <c r="L242" i="84"/>
  <c r="J344" i="84"/>
  <c r="L345" i="84"/>
  <c r="L314" i="84"/>
  <c r="J313" i="84"/>
  <c r="G206" i="84"/>
  <c r="I207" i="84"/>
  <c r="J147" i="84"/>
  <c r="L147" i="84" s="1"/>
  <c r="M147" i="84" s="1"/>
  <c r="L148" i="84"/>
  <c r="M148" i="84" s="1"/>
  <c r="N148" i="84" s="1"/>
  <c r="I279" i="84"/>
  <c r="G278" i="84"/>
  <c r="I278" i="84" s="1"/>
  <c r="G201" i="84"/>
  <c r="G184" i="84" s="1"/>
  <c r="I184" i="84" s="1"/>
  <c r="I202" i="84"/>
  <c r="M250" i="84"/>
  <c r="N250" i="84" s="1"/>
  <c r="M345" i="84"/>
  <c r="N345" i="84" s="1"/>
  <c r="I222" i="84"/>
  <c r="M262" i="84"/>
  <c r="N262" i="84" s="1"/>
  <c r="G343" i="84"/>
  <c r="I343" i="84" s="1"/>
  <c r="I344" i="84"/>
  <c r="J165" i="84"/>
  <c r="L165" i="84" s="1"/>
  <c r="L166" i="84"/>
  <c r="G338" i="84"/>
  <c r="I339" i="84"/>
  <c r="M339" i="84" s="1"/>
  <c r="N339" i="84" s="1"/>
  <c r="F299" i="84"/>
  <c r="F279" i="84"/>
  <c r="I314" i="84"/>
  <c r="G313" i="84"/>
  <c r="F147" i="84"/>
  <c r="I166" i="84"/>
  <c r="G165" i="84"/>
  <c r="I165" i="84" s="1"/>
  <c r="F206" i="84"/>
  <c r="I376" i="84"/>
  <c r="M376" i="84" s="1"/>
  <c r="N376" i="84" s="1"/>
  <c r="G375" i="84"/>
  <c r="I375" i="84" s="1"/>
  <c r="M375" i="84" s="1"/>
  <c r="N375" i="84" s="1"/>
  <c r="F249" i="84"/>
  <c r="I249" i="84"/>
  <c r="G248" i="84"/>
  <c r="I351" i="84"/>
  <c r="L370" i="84"/>
  <c r="M370" i="84" s="1"/>
  <c r="N370" i="84" s="1"/>
  <c r="J369" i="84"/>
  <c r="L369" i="84" s="1"/>
  <c r="M369" i="84" s="1"/>
  <c r="L232" i="84"/>
  <c r="M232" i="84" s="1"/>
  <c r="N232" i="84" s="1"/>
  <c r="J231" i="84"/>
  <c r="L231" i="84" s="1"/>
  <c r="J207" i="84"/>
  <c r="L208" i="84"/>
  <c r="I242" i="84"/>
  <c r="M242" i="84" s="1"/>
  <c r="N242" i="84" s="1"/>
  <c r="G241" i="84"/>
  <c r="L124" i="84"/>
  <c r="J122" i="84"/>
  <c r="L122" i="84" s="1"/>
  <c r="J123" i="84"/>
  <c r="L123" i="84" s="1"/>
  <c r="J351" i="84"/>
  <c r="L352" i="84"/>
  <c r="M352" i="84" s="1"/>
  <c r="N352" i="84" s="1"/>
  <c r="M221" i="84"/>
  <c r="M113" i="84"/>
  <c r="N113" i="84" s="1"/>
  <c r="H206" i="84"/>
  <c r="H138" i="84" s="1"/>
  <c r="H17" i="84" s="1"/>
  <c r="M231" i="84"/>
  <c r="N231" i="84" s="1"/>
  <c r="F123" i="84"/>
  <c r="L359" i="84"/>
  <c r="M359" i="84" s="1"/>
  <c r="N359" i="84" s="1"/>
  <c r="J358" i="84"/>
  <c r="J113" i="84"/>
  <c r="L113" i="84" s="1"/>
  <c r="J47" i="84"/>
  <c r="L47" i="84" s="1"/>
  <c r="L114" i="84"/>
  <c r="M114" i="84" s="1"/>
  <c r="N114" i="84" s="1"/>
  <c r="I185" i="84"/>
  <c r="F369" i="84"/>
  <c r="G124" i="84"/>
  <c r="I125" i="84"/>
  <c r="M125" i="84" s="1"/>
  <c r="N125" i="84" s="1"/>
  <c r="I301" i="84"/>
  <c r="M301" i="84" s="1"/>
  <c r="N301" i="84" s="1"/>
  <c r="G300" i="84"/>
  <c r="L270" i="84"/>
  <c r="J269" i="84"/>
  <c r="L269" i="84" s="1"/>
  <c r="L140" i="84"/>
  <c r="I21" i="84"/>
  <c r="M21" i="84" s="1"/>
  <c r="G20" i="84"/>
  <c r="J33" i="84"/>
  <c r="L34" i="84"/>
  <c r="M34" i="84" s="1"/>
  <c r="N34" i="84" s="1"/>
  <c r="F139" i="84"/>
  <c r="I141" i="84"/>
  <c r="M141" i="84" s="1"/>
  <c r="N141" i="84" s="1"/>
  <c r="G140" i="84"/>
  <c r="F312" i="84"/>
  <c r="L175" i="84"/>
  <c r="M175" i="84" s="1"/>
  <c r="N175" i="84" s="1"/>
  <c r="J174" i="84"/>
  <c r="L186" i="84"/>
  <c r="M186" i="84" s="1"/>
  <c r="N186" i="84" s="1"/>
  <c r="J185" i="84"/>
  <c r="I258" i="84"/>
  <c r="G257" i="84"/>
  <c r="N221" i="84"/>
  <c r="L258" i="84"/>
  <c r="I208" i="84"/>
  <c r="M203" i="84"/>
  <c r="N203" i="84" s="1"/>
  <c r="M314" i="84" l="1"/>
  <c r="N314" i="84" s="1"/>
  <c r="M357" i="85"/>
  <c r="G269" i="84"/>
  <c r="I269" i="84" s="1"/>
  <c r="M269" i="84" s="1"/>
  <c r="I270" i="84"/>
  <c r="M270" i="84" s="1"/>
  <c r="N270" i="84" s="1"/>
  <c r="N369" i="84"/>
  <c r="M258" i="84"/>
  <c r="N258" i="84" s="1"/>
  <c r="M208" i="84"/>
  <c r="N208" i="84" s="1"/>
  <c r="J139" i="84"/>
  <c r="M166" i="84"/>
  <c r="N47" i="86"/>
  <c r="J239" i="86"/>
  <c r="L239" i="86" s="1"/>
  <c r="L240" i="86"/>
  <c r="F138" i="86"/>
  <c r="F298" i="86"/>
  <c r="I19" i="86"/>
  <c r="M19" i="86" s="1"/>
  <c r="N19" i="86" s="1"/>
  <c r="G18" i="86"/>
  <c r="L248" i="86"/>
  <c r="M248" i="86" s="1"/>
  <c r="N248" i="86" s="1"/>
  <c r="J247" i="86"/>
  <c r="L247" i="86" s="1"/>
  <c r="L299" i="86"/>
  <c r="J298" i="86"/>
  <c r="L298" i="86" s="1"/>
  <c r="G298" i="86"/>
  <c r="I298" i="86" s="1"/>
  <c r="M247" i="86"/>
  <c r="N247" i="86" s="1"/>
  <c r="G350" i="86"/>
  <c r="I350" i="86" s="1"/>
  <c r="M350" i="86" s="1"/>
  <c r="N350" i="86" s="1"/>
  <c r="M123" i="86"/>
  <c r="G138" i="86"/>
  <c r="I138" i="86" s="1"/>
  <c r="M138" i="86" s="1"/>
  <c r="I139" i="86"/>
  <c r="M139" i="86" s="1"/>
  <c r="N139" i="86" s="1"/>
  <c r="I240" i="86"/>
  <c r="M240" i="86" s="1"/>
  <c r="N240" i="86" s="1"/>
  <c r="G239" i="86"/>
  <c r="I239" i="86" s="1"/>
  <c r="M239" i="86" s="1"/>
  <c r="N239" i="86" s="1"/>
  <c r="N123" i="86"/>
  <c r="F122" i="86"/>
  <c r="L19" i="86"/>
  <c r="J18" i="86"/>
  <c r="H386" i="86"/>
  <c r="P22" i="86"/>
  <c r="M32" i="86"/>
  <c r="N32" i="86" s="1"/>
  <c r="M20" i="86"/>
  <c r="N20" i="86" s="1"/>
  <c r="M299" i="86"/>
  <c r="N299" i="86" s="1"/>
  <c r="M351" i="86"/>
  <c r="N351" i="86" s="1"/>
  <c r="M122" i="86"/>
  <c r="M250" i="85"/>
  <c r="N250" i="85" s="1"/>
  <c r="M166" i="85"/>
  <c r="N166" i="85" s="1"/>
  <c r="M165" i="85"/>
  <c r="N165" i="85" s="1"/>
  <c r="M256" i="85"/>
  <c r="M257" i="85"/>
  <c r="N257" i="85" s="1"/>
  <c r="J32" i="85"/>
  <c r="L32" i="85" s="1"/>
  <c r="L33" i="85"/>
  <c r="L300" i="85"/>
  <c r="M300" i="85" s="1"/>
  <c r="N300" i="85" s="1"/>
  <c r="J299" i="85"/>
  <c r="J139" i="85"/>
  <c r="L140" i="85"/>
  <c r="M140" i="85" s="1"/>
  <c r="N140" i="85" s="1"/>
  <c r="F139" i="85"/>
  <c r="G173" i="85"/>
  <c r="I173" i="85" s="1"/>
  <c r="M173" i="85" s="1"/>
  <c r="N173" i="85" s="1"/>
  <c r="I174" i="85"/>
  <c r="M174" i="85" s="1"/>
  <c r="N174" i="85" s="1"/>
  <c r="L20" i="85"/>
  <c r="J19" i="85"/>
  <c r="H113" i="85"/>
  <c r="I114" i="85"/>
  <c r="M114" i="85" s="1"/>
  <c r="N114" i="85" s="1"/>
  <c r="I185" i="85"/>
  <c r="M185" i="85" s="1"/>
  <c r="N185" i="85" s="1"/>
  <c r="G184" i="85"/>
  <c r="I184" i="85" s="1"/>
  <c r="M184" i="85" s="1"/>
  <c r="N184" i="85" s="1"/>
  <c r="F256" i="85"/>
  <c r="F247" i="85" s="1"/>
  <c r="I48" i="85"/>
  <c r="M48" i="85" s="1"/>
  <c r="G47" i="85"/>
  <c r="F343" i="85"/>
  <c r="N343" i="85" s="1"/>
  <c r="N344" i="85"/>
  <c r="N49" i="85"/>
  <c r="F48" i="85"/>
  <c r="I352" i="85"/>
  <c r="M352" i="85" s="1"/>
  <c r="N352" i="85" s="1"/>
  <c r="G351" i="85"/>
  <c r="I249" i="85"/>
  <c r="G248" i="85"/>
  <c r="L332" i="85"/>
  <c r="J331" i="85"/>
  <c r="L331" i="85" s="1"/>
  <c r="M331" i="85" s="1"/>
  <c r="N331" i="85" s="1"/>
  <c r="L249" i="85"/>
  <c r="J248" i="85"/>
  <c r="I299" i="85"/>
  <c r="G298" i="85"/>
  <c r="I298" i="85" s="1"/>
  <c r="L370" i="85"/>
  <c r="J369" i="85"/>
  <c r="L369" i="85" s="1"/>
  <c r="M369" i="85" s="1"/>
  <c r="N369" i="85" s="1"/>
  <c r="M332" i="85"/>
  <c r="N332" i="85" s="1"/>
  <c r="M376" i="85"/>
  <c r="N376" i="85" s="1"/>
  <c r="N147" i="85"/>
  <c r="M21" i="85"/>
  <c r="N21" i="85" s="1"/>
  <c r="F18" i="85"/>
  <c r="J123" i="85"/>
  <c r="L123" i="85" s="1"/>
  <c r="L124" i="85"/>
  <c r="M124" i="85" s="1"/>
  <c r="N124" i="85" s="1"/>
  <c r="J122" i="85"/>
  <c r="L122" i="85" s="1"/>
  <c r="F239" i="85"/>
  <c r="F240" i="85"/>
  <c r="J239" i="85"/>
  <c r="L239" i="85" s="1"/>
  <c r="L240" i="85"/>
  <c r="I139" i="85"/>
  <c r="F357" i="85"/>
  <c r="N357" i="85" s="1"/>
  <c r="G122" i="85"/>
  <c r="I122" i="85" s="1"/>
  <c r="I123" i="85"/>
  <c r="I241" i="85"/>
  <c r="M241" i="85" s="1"/>
  <c r="N241" i="85" s="1"/>
  <c r="G240" i="85"/>
  <c r="G19" i="85"/>
  <c r="I20" i="85"/>
  <c r="M20" i="85" s="1"/>
  <c r="N20" i="85" s="1"/>
  <c r="M375" i="85"/>
  <c r="N375" i="85" s="1"/>
  <c r="M358" i="85"/>
  <c r="N358" i="85" s="1"/>
  <c r="M370" i="85"/>
  <c r="N370" i="85" s="1"/>
  <c r="J350" i="85"/>
  <c r="L350" i="85" s="1"/>
  <c r="F123" i="85"/>
  <c r="L313" i="85"/>
  <c r="M313" i="85" s="1"/>
  <c r="N313" i="85" s="1"/>
  <c r="J312" i="85"/>
  <c r="L312" i="85" s="1"/>
  <c r="M312" i="85" s="1"/>
  <c r="N312" i="85" s="1"/>
  <c r="I207" i="85"/>
  <c r="M207" i="85" s="1"/>
  <c r="N207" i="85" s="1"/>
  <c r="G206" i="85"/>
  <c r="I206" i="85" s="1"/>
  <c r="M206" i="85" s="1"/>
  <c r="N206" i="85" s="1"/>
  <c r="H32" i="85"/>
  <c r="I33" i="85"/>
  <c r="I279" i="85"/>
  <c r="M279" i="85" s="1"/>
  <c r="N279" i="85" s="1"/>
  <c r="G278" i="85"/>
  <c r="I278" i="85" s="1"/>
  <c r="M278" i="85" s="1"/>
  <c r="N278" i="85" s="1"/>
  <c r="I49" i="84"/>
  <c r="M49" i="84" s="1"/>
  <c r="N49" i="84" s="1"/>
  <c r="G48" i="84"/>
  <c r="J248" i="84"/>
  <c r="L249" i="84"/>
  <c r="J173" i="84"/>
  <c r="L173" i="84" s="1"/>
  <c r="M173" i="84" s="1"/>
  <c r="L174" i="84"/>
  <c r="L139" i="84"/>
  <c r="I124" i="84"/>
  <c r="M124" i="84" s="1"/>
  <c r="N124" i="84" s="1"/>
  <c r="G123" i="84"/>
  <c r="L358" i="84"/>
  <c r="M358" i="84" s="1"/>
  <c r="N358" i="84" s="1"/>
  <c r="J357" i="84"/>
  <c r="L357" i="84" s="1"/>
  <c r="M357" i="84" s="1"/>
  <c r="F248" i="84"/>
  <c r="F278" i="84"/>
  <c r="I338" i="84"/>
  <c r="M338" i="84" s="1"/>
  <c r="N338" i="84" s="1"/>
  <c r="G337" i="84"/>
  <c r="I337" i="84" s="1"/>
  <c r="M337" i="84" s="1"/>
  <c r="N337" i="84" s="1"/>
  <c r="J184" i="84"/>
  <c r="L185" i="84"/>
  <c r="I20" i="84"/>
  <c r="M20" i="84" s="1"/>
  <c r="N20" i="84" s="1"/>
  <c r="G19" i="84"/>
  <c r="F122" i="84"/>
  <c r="H386" i="84"/>
  <c r="L351" i="84"/>
  <c r="M351" i="84" s="1"/>
  <c r="N351" i="84" s="1"/>
  <c r="J350" i="84"/>
  <c r="L350" i="84" s="1"/>
  <c r="G240" i="84"/>
  <c r="I241" i="84"/>
  <c r="M241" i="84" s="1"/>
  <c r="N241" i="84" s="1"/>
  <c r="L344" i="84"/>
  <c r="M344" i="84" s="1"/>
  <c r="N344" i="84" s="1"/>
  <c r="J343" i="84"/>
  <c r="L343" i="84" s="1"/>
  <c r="M343" i="84" s="1"/>
  <c r="N343" i="84" s="1"/>
  <c r="F19" i="84"/>
  <c r="K199" i="84"/>
  <c r="K184" i="84"/>
  <c r="K138" i="84" s="1"/>
  <c r="L201" i="84"/>
  <c r="F165" i="84"/>
  <c r="N165" i="84" s="1"/>
  <c r="N166" i="84"/>
  <c r="F350" i="84"/>
  <c r="N357" i="84"/>
  <c r="M185" i="84"/>
  <c r="N185" i="84" s="1"/>
  <c r="G350" i="84"/>
  <c r="I350" i="84" s="1"/>
  <c r="M350" i="84" s="1"/>
  <c r="N147" i="84"/>
  <c r="I206" i="84"/>
  <c r="M174" i="84"/>
  <c r="N174" i="84" s="1"/>
  <c r="M32" i="84"/>
  <c r="N32" i="84" s="1"/>
  <c r="J32" i="84"/>
  <c r="L32" i="84" s="1"/>
  <c r="L33" i="84"/>
  <c r="M33" i="84" s="1"/>
  <c r="N33" i="84" s="1"/>
  <c r="I140" i="84"/>
  <c r="M140" i="84" s="1"/>
  <c r="N140" i="84" s="1"/>
  <c r="G139" i="84"/>
  <c r="I313" i="84"/>
  <c r="G312" i="84"/>
  <c r="I312" i="84" s="1"/>
  <c r="M312" i="84" s="1"/>
  <c r="N312" i="84" s="1"/>
  <c r="K240" i="84"/>
  <c r="L241" i="84"/>
  <c r="F173" i="84"/>
  <c r="N269" i="84"/>
  <c r="L207" i="84"/>
  <c r="M207" i="84" s="1"/>
  <c r="N207" i="84" s="1"/>
  <c r="J206" i="84"/>
  <c r="L206" i="84" s="1"/>
  <c r="F298" i="84"/>
  <c r="L300" i="84"/>
  <c r="J299" i="84"/>
  <c r="I257" i="84"/>
  <c r="M257" i="84" s="1"/>
  <c r="N257" i="84" s="1"/>
  <c r="G256" i="84"/>
  <c r="I256" i="84" s="1"/>
  <c r="M256" i="84" s="1"/>
  <c r="N256" i="84" s="1"/>
  <c r="I300" i="84"/>
  <c r="M300" i="84" s="1"/>
  <c r="N300" i="84" s="1"/>
  <c r="G299" i="84"/>
  <c r="I248" i="84"/>
  <c r="I201" i="84"/>
  <c r="G199" i="84"/>
  <c r="J19" i="84"/>
  <c r="L20" i="84"/>
  <c r="L313" i="84"/>
  <c r="J312" i="84"/>
  <c r="L312" i="84" s="1"/>
  <c r="J278" i="84"/>
  <c r="L278" i="84" s="1"/>
  <c r="M278" i="84" s="1"/>
  <c r="L279" i="84"/>
  <c r="M279" i="84" s="1"/>
  <c r="N279" i="84" s="1"/>
  <c r="F48" i="84"/>
  <c r="M249" i="84"/>
  <c r="N249" i="84" s="1"/>
  <c r="M165" i="84"/>
  <c r="M222" i="84"/>
  <c r="N222" i="84" s="1"/>
  <c r="M202" i="84"/>
  <c r="N202" i="84" s="1"/>
  <c r="M201" i="84" l="1"/>
  <c r="N201" i="84" s="1"/>
  <c r="F138" i="84"/>
  <c r="M122" i="85"/>
  <c r="G247" i="84"/>
  <c r="I247" i="84" s="1"/>
  <c r="L184" i="84"/>
  <c r="M184" i="84" s="1"/>
  <c r="N184" i="84" s="1"/>
  <c r="L18" i="86"/>
  <c r="J17" i="86"/>
  <c r="M298" i="86"/>
  <c r="N298" i="86" s="1"/>
  <c r="P18" i="86"/>
  <c r="H405" i="86"/>
  <c r="P21" i="86"/>
  <c r="I18" i="86"/>
  <c r="M18" i="86" s="1"/>
  <c r="N18" i="86" s="1"/>
  <c r="G17" i="86"/>
  <c r="N138" i="86"/>
  <c r="N122" i="86"/>
  <c r="F17" i="86"/>
  <c r="M249" i="85"/>
  <c r="N249" i="85" s="1"/>
  <c r="N256" i="85"/>
  <c r="M33" i="85"/>
  <c r="N33" i="85" s="1"/>
  <c r="I240" i="85"/>
  <c r="M240" i="85" s="1"/>
  <c r="G239" i="85"/>
  <c r="I239" i="85" s="1"/>
  <c r="M239" i="85" s="1"/>
  <c r="N239" i="85" s="1"/>
  <c r="I351" i="85"/>
  <c r="M351" i="85" s="1"/>
  <c r="N351" i="85" s="1"/>
  <c r="G350" i="85"/>
  <c r="I350" i="85" s="1"/>
  <c r="M350" i="85" s="1"/>
  <c r="L19" i="85"/>
  <c r="J18" i="85"/>
  <c r="L299" i="85"/>
  <c r="M299" i="85" s="1"/>
  <c r="N299" i="85" s="1"/>
  <c r="J298" i="85"/>
  <c r="L298" i="85" s="1"/>
  <c r="I19" i="85"/>
  <c r="G18" i="85"/>
  <c r="H18" i="85"/>
  <c r="I32" i="85"/>
  <c r="M32" i="85" s="1"/>
  <c r="N32" i="85" s="1"/>
  <c r="J247" i="85"/>
  <c r="L247" i="85" s="1"/>
  <c r="L248" i="85"/>
  <c r="I248" i="85"/>
  <c r="G247" i="85"/>
  <c r="I247" i="85" s="1"/>
  <c r="F47" i="85"/>
  <c r="N48" i="85"/>
  <c r="F138" i="85"/>
  <c r="M298" i="85"/>
  <c r="G138" i="85"/>
  <c r="I138" i="85" s="1"/>
  <c r="F350" i="85"/>
  <c r="M123" i="85"/>
  <c r="N123" i="85" s="1"/>
  <c r="F298" i="85"/>
  <c r="H47" i="85"/>
  <c r="I47" i="85" s="1"/>
  <c r="M47" i="85" s="1"/>
  <c r="I113" i="85"/>
  <c r="M113" i="85" s="1"/>
  <c r="N113" i="85" s="1"/>
  <c r="L139" i="85"/>
  <c r="M139" i="85" s="1"/>
  <c r="N139" i="85" s="1"/>
  <c r="J138" i="85"/>
  <c r="L138" i="85" s="1"/>
  <c r="N240" i="85"/>
  <c r="F122" i="85"/>
  <c r="N122" i="85" s="1"/>
  <c r="I240" i="84"/>
  <c r="G239" i="84"/>
  <c r="I239" i="84" s="1"/>
  <c r="M239" i="84" s="1"/>
  <c r="N239" i="84" s="1"/>
  <c r="H405" i="84"/>
  <c r="F247" i="84"/>
  <c r="I199" i="84"/>
  <c r="G198" i="84"/>
  <c r="I198" i="84" s="1"/>
  <c r="I299" i="84"/>
  <c r="G298" i="84"/>
  <c r="I298" i="84" s="1"/>
  <c r="J298" i="84"/>
  <c r="L298" i="84" s="1"/>
  <c r="L299" i="84"/>
  <c r="K239" i="84"/>
  <c r="L239" i="84" s="1"/>
  <c r="L240" i="84"/>
  <c r="F18" i="84"/>
  <c r="I19" i="84"/>
  <c r="G18" i="84"/>
  <c r="I123" i="84"/>
  <c r="M123" i="84" s="1"/>
  <c r="N123" i="84" s="1"/>
  <c r="G122" i="84"/>
  <c r="I122" i="84" s="1"/>
  <c r="M122" i="84" s="1"/>
  <c r="G47" i="84"/>
  <c r="I47" i="84" s="1"/>
  <c r="M47" i="84" s="1"/>
  <c r="I48" i="84"/>
  <c r="M48" i="84" s="1"/>
  <c r="N48" i="84" s="1"/>
  <c r="L19" i="84"/>
  <c r="J18" i="84"/>
  <c r="I139" i="84"/>
  <c r="M139" i="84" s="1"/>
  <c r="N139" i="84" s="1"/>
  <c r="G138" i="84"/>
  <c r="I138" i="84" s="1"/>
  <c r="K198" i="84"/>
  <c r="L198" i="84" s="1"/>
  <c r="L199" i="84"/>
  <c r="L248" i="84"/>
  <c r="J247" i="84"/>
  <c r="L247" i="84" s="1"/>
  <c r="M247" i="84" s="1"/>
  <c r="F47" i="84"/>
  <c r="N47" i="84" s="1"/>
  <c r="N350" i="84"/>
  <c r="N122" i="84"/>
  <c r="N278" i="84"/>
  <c r="J138" i="84"/>
  <c r="L138" i="84" s="1"/>
  <c r="M248" i="84"/>
  <c r="N248" i="84" s="1"/>
  <c r="N173" i="84"/>
  <c r="M313" i="84"/>
  <c r="N313" i="84" s="1"/>
  <c r="M206" i="84"/>
  <c r="N206" i="84" s="1"/>
  <c r="K17" i="84"/>
  <c r="M298" i="84" l="1"/>
  <c r="N298" i="84" s="1"/>
  <c r="J386" i="86"/>
  <c r="L17" i="86"/>
  <c r="G386" i="86"/>
  <c r="G405" i="86" s="1"/>
  <c r="I17" i="86"/>
  <c r="N350" i="85"/>
  <c r="M19" i="85"/>
  <c r="N19" i="85" s="1"/>
  <c r="N298" i="85"/>
  <c r="M138" i="85"/>
  <c r="N138" i="85" s="1"/>
  <c r="H17" i="85"/>
  <c r="P22" i="85" s="1"/>
  <c r="N47" i="85"/>
  <c r="I18" i="85"/>
  <c r="G17" i="85"/>
  <c r="J17" i="85"/>
  <c r="L18" i="85"/>
  <c r="M248" i="85"/>
  <c r="N248" i="85" s="1"/>
  <c r="F17" i="85"/>
  <c r="M247" i="85"/>
  <c r="N247" i="85" s="1"/>
  <c r="F17" i="84"/>
  <c r="M198" i="84"/>
  <c r="N198" i="84" s="1"/>
  <c r="M19" i="84"/>
  <c r="N19" i="84" s="1"/>
  <c r="M299" i="84"/>
  <c r="N299" i="84" s="1"/>
  <c r="M240" i="84"/>
  <c r="N240" i="84" s="1"/>
  <c r="I18" i="84"/>
  <c r="G17" i="84"/>
  <c r="K386" i="84"/>
  <c r="P22" i="84"/>
  <c r="M138" i="84"/>
  <c r="N138" i="84" s="1"/>
  <c r="N247" i="84"/>
  <c r="M199" i="84"/>
  <c r="N199" i="84" s="1"/>
  <c r="L18" i="84"/>
  <c r="J17" i="84"/>
  <c r="P18" i="85" l="1"/>
  <c r="L386" i="86"/>
  <c r="L405" i="86" s="1"/>
  <c r="J405" i="86"/>
  <c r="I386" i="86"/>
  <c r="M17" i="86"/>
  <c r="N17" i="86" s="1"/>
  <c r="H386" i="85"/>
  <c r="P21" i="85" s="1"/>
  <c r="M18" i="85"/>
  <c r="N18" i="85" s="1"/>
  <c r="G386" i="85"/>
  <c r="G405" i="85" s="1"/>
  <c r="I17" i="85"/>
  <c r="J386" i="85"/>
  <c r="L17" i="85"/>
  <c r="J386" i="84"/>
  <c r="L17" i="84"/>
  <c r="G386" i="84"/>
  <c r="G405" i="84" s="1"/>
  <c r="I17" i="84"/>
  <c r="K405" i="84"/>
  <c r="P21" i="84"/>
  <c r="M18" i="84"/>
  <c r="N18" i="84" s="1"/>
  <c r="P18" i="84"/>
  <c r="I405" i="86" l="1"/>
  <c r="M386" i="86"/>
  <c r="H405" i="85"/>
  <c r="I386" i="85"/>
  <c r="M17" i="85"/>
  <c r="N17" i="85" s="1"/>
  <c r="J405" i="85"/>
  <c r="L386" i="85"/>
  <c r="L405" i="85" s="1"/>
  <c r="I386" i="84"/>
  <c r="M17" i="84"/>
  <c r="N17" i="84" s="1"/>
  <c r="J405" i="84"/>
  <c r="L386" i="84"/>
  <c r="L405" i="84" s="1"/>
  <c r="M405" i="86" l="1"/>
  <c r="P387" i="86"/>
  <c r="I405" i="85"/>
  <c r="M386" i="85"/>
  <c r="I405" i="84"/>
  <c r="M386" i="84"/>
  <c r="M405" i="85" l="1"/>
  <c r="P387" i="85"/>
  <c r="M405" i="84"/>
  <c r="P387" i="84"/>
  <c r="H414" i="83" l="1"/>
  <c r="I414" i="83" s="1"/>
  <c r="M414" i="83" s="1"/>
  <c r="H413" i="83"/>
  <c r="H408" i="83"/>
  <c r="I408" i="83" s="1"/>
  <c r="I419" i="83"/>
  <c r="M419" i="83" s="1"/>
  <c r="L418" i="83"/>
  <c r="M418" i="83" s="1"/>
  <c r="I417" i="83"/>
  <c r="M417" i="83" s="1"/>
  <c r="I416" i="83"/>
  <c r="M416" i="83" s="1"/>
  <c r="I415" i="83"/>
  <c r="M415" i="83" s="1"/>
  <c r="I413" i="83"/>
  <c r="M413" i="83" s="1"/>
  <c r="L412" i="83"/>
  <c r="I412" i="83"/>
  <c r="L410" i="83"/>
  <c r="I410" i="83"/>
  <c r="L409" i="83"/>
  <c r="I409" i="83"/>
  <c r="L408" i="83"/>
  <c r="L407" i="83"/>
  <c r="I407" i="83"/>
  <c r="K406" i="83"/>
  <c r="J406" i="83"/>
  <c r="H406" i="83"/>
  <c r="I406" i="83" s="1"/>
  <c r="G406" i="83"/>
  <c r="I400" i="83"/>
  <c r="M400" i="83" s="1"/>
  <c r="L399" i="83"/>
  <c r="M399" i="83" s="1"/>
  <c r="I398" i="83"/>
  <c r="M398" i="83" s="1"/>
  <c r="I397" i="83"/>
  <c r="M397" i="83" s="1"/>
  <c r="I396" i="83"/>
  <c r="M396" i="83" s="1"/>
  <c r="H395" i="83"/>
  <c r="I395" i="83" s="1"/>
  <c r="M395" i="83" s="1"/>
  <c r="L394" i="83"/>
  <c r="H394" i="83"/>
  <c r="I394" i="83" s="1"/>
  <c r="M394" i="83" s="1"/>
  <c r="L393" i="83"/>
  <c r="M393" i="83" s="1"/>
  <c r="I393" i="83"/>
  <c r="L391" i="83"/>
  <c r="I391" i="83"/>
  <c r="M391" i="83" s="1"/>
  <c r="L390" i="83"/>
  <c r="I390" i="83"/>
  <c r="L389" i="83"/>
  <c r="H389" i="83"/>
  <c r="I389" i="83" s="1"/>
  <c r="L388" i="83"/>
  <c r="I388" i="83"/>
  <c r="K387" i="83"/>
  <c r="J387" i="83"/>
  <c r="G387" i="83"/>
  <c r="L383" i="83"/>
  <c r="I383" i="83"/>
  <c r="M383" i="83" s="1"/>
  <c r="N383" i="83" s="1"/>
  <c r="K382" i="83"/>
  <c r="K381" i="83" s="1"/>
  <c r="J382" i="83"/>
  <c r="L382" i="83" s="1"/>
  <c r="I382" i="83"/>
  <c r="H382" i="83"/>
  <c r="G382" i="83"/>
  <c r="G381" i="83" s="1"/>
  <c r="F382" i="83"/>
  <c r="J381" i="83"/>
  <c r="H381" i="83"/>
  <c r="F381" i="83"/>
  <c r="L380" i="83"/>
  <c r="I380" i="83"/>
  <c r="M380" i="83" s="1"/>
  <c r="N380" i="83" s="1"/>
  <c r="K379" i="83"/>
  <c r="K378" i="83" s="1"/>
  <c r="J379" i="83"/>
  <c r="L379" i="83" s="1"/>
  <c r="H379" i="83"/>
  <c r="H378" i="83" s="1"/>
  <c r="H377" i="83" s="1"/>
  <c r="H376" i="83" s="1"/>
  <c r="H375" i="83" s="1"/>
  <c r="G379" i="83"/>
  <c r="I379" i="83" s="1"/>
  <c r="F379" i="83"/>
  <c r="F378" i="83"/>
  <c r="L374" i="83"/>
  <c r="I374" i="83"/>
  <c r="K373" i="83"/>
  <c r="K372" i="83" s="1"/>
  <c r="K371" i="83" s="1"/>
  <c r="K370" i="83" s="1"/>
  <c r="K369" i="83" s="1"/>
  <c r="J373" i="83"/>
  <c r="J372" i="83" s="1"/>
  <c r="H373" i="83"/>
  <c r="G373" i="83"/>
  <c r="G372" i="83" s="1"/>
  <c r="G371" i="83" s="1"/>
  <c r="F373" i="83"/>
  <c r="F372" i="83" s="1"/>
  <c r="L368" i="83"/>
  <c r="I368" i="83"/>
  <c r="M368" i="83" s="1"/>
  <c r="N368" i="83" s="1"/>
  <c r="M367" i="83"/>
  <c r="N367" i="83" s="1"/>
  <c r="L367" i="83"/>
  <c r="I367" i="83"/>
  <c r="K366" i="83"/>
  <c r="J366" i="83"/>
  <c r="L366" i="83" s="1"/>
  <c r="H366" i="83"/>
  <c r="I366" i="83" s="1"/>
  <c r="G366" i="83"/>
  <c r="F366" i="83"/>
  <c r="L365" i="83"/>
  <c r="I365" i="83"/>
  <c r="M365" i="83" s="1"/>
  <c r="N365" i="83" s="1"/>
  <c r="K364" i="83"/>
  <c r="J364" i="83"/>
  <c r="L364" i="83" s="1"/>
  <c r="H364" i="83"/>
  <c r="G364" i="83"/>
  <c r="I364" i="83" s="1"/>
  <c r="F364" i="83"/>
  <c r="F363" i="83" s="1"/>
  <c r="K363" i="83"/>
  <c r="K359" i="83" s="1"/>
  <c r="K358" i="83" s="1"/>
  <c r="K357" i="83" s="1"/>
  <c r="G363" i="83"/>
  <c r="L362" i="83"/>
  <c r="M362" i="83" s="1"/>
  <c r="N362" i="83" s="1"/>
  <c r="I362" i="83"/>
  <c r="K361" i="83"/>
  <c r="J361" i="83"/>
  <c r="J360" i="83" s="1"/>
  <c r="L360" i="83" s="1"/>
  <c r="H361" i="83"/>
  <c r="G361" i="83"/>
  <c r="G360" i="83" s="1"/>
  <c r="F361" i="83"/>
  <c r="F360" i="83" s="1"/>
  <c r="K360" i="83"/>
  <c r="L356" i="83"/>
  <c r="I356" i="83"/>
  <c r="M356" i="83" s="1"/>
  <c r="N356" i="83" s="1"/>
  <c r="K355" i="83"/>
  <c r="K354" i="83" s="1"/>
  <c r="J355" i="83"/>
  <c r="L355" i="83" s="1"/>
  <c r="H355" i="83"/>
  <c r="H354" i="83" s="1"/>
  <c r="H353" i="83" s="1"/>
  <c r="H352" i="83" s="1"/>
  <c r="H351" i="83" s="1"/>
  <c r="G355" i="83"/>
  <c r="G354" i="83" s="1"/>
  <c r="F355" i="83"/>
  <c r="F354" i="83" s="1"/>
  <c r="F353" i="83" s="1"/>
  <c r="J354" i="83"/>
  <c r="L354" i="83" s="1"/>
  <c r="M348" i="83"/>
  <c r="N348" i="83" s="1"/>
  <c r="L348" i="83"/>
  <c r="K347" i="83"/>
  <c r="K346" i="83" s="1"/>
  <c r="K345" i="83" s="1"/>
  <c r="K344" i="83" s="1"/>
  <c r="K343" i="83" s="1"/>
  <c r="J347" i="83"/>
  <c r="H347" i="83"/>
  <c r="H346" i="83" s="1"/>
  <c r="H345" i="83" s="1"/>
  <c r="H344" i="83" s="1"/>
  <c r="H343" i="83" s="1"/>
  <c r="G347" i="83"/>
  <c r="I347" i="83" s="1"/>
  <c r="F347" i="83"/>
  <c r="F346" i="83" s="1"/>
  <c r="G346" i="83"/>
  <c r="I346" i="83" s="1"/>
  <c r="L342" i="83"/>
  <c r="I342" i="83"/>
  <c r="M342" i="83" s="1"/>
  <c r="N342" i="83" s="1"/>
  <c r="K341" i="83"/>
  <c r="K340" i="83" s="1"/>
  <c r="J341" i="83"/>
  <c r="L341" i="83" s="1"/>
  <c r="H341" i="83"/>
  <c r="H340" i="83" s="1"/>
  <c r="H339" i="83" s="1"/>
  <c r="H338" i="83" s="1"/>
  <c r="H337" i="83" s="1"/>
  <c r="G341" i="83"/>
  <c r="I341" i="83" s="1"/>
  <c r="F341" i="83"/>
  <c r="F340" i="83"/>
  <c r="F339" i="83" s="1"/>
  <c r="L336" i="83"/>
  <c r="I336" i="83"/>
  <c r="M336" i="83" s="1"/>
  <c r="N336" i="83" s="1"/>
  <c r="K335" i="83"/>
  <c r="K334" i="83" s="1"/>
  <c r="K333" i="83" s="1"/>
  <c r="K332" i="83" s="1"/>
  <c r="K331" i="83" s="1"/>
  <c r="J335" i="83"/>
  <c r="J334" i="83" s="1"/>
  <c r="H335" i="83"/>
  <c r="H334" i="83" s="1"/>
  <c r="G335" i="83"/>
  <c r="F335" i="83"/>
  <c r="F334" i="83" s="1"/>
  <c r="L330" i="83"/>
  <c r="I330" i="83"/>
  <c r="M330" i="83" s="1"/>
  <c r="N330" i="83" s="1"/>
  <c r="M329" i="83"/>
  <c r="N329" i="83" s="1"/>
  <c r="L329" i="83"/>
  <c r="L328" i="83"/>
  <c r="M328" i="83" s="1"/>
  <c r="N328" i="83" s="1"/>
  <c r="L327" i="83"/>
  <c r="M327" i="83" s="1"/>
  <c r="N327" i="83" s="1"/>
  <c r="L326" i="83"/>
  <c r="M326" i="83" s="1"/>
  <c r="N326" i="83" s="1"/>
  <c r="M325" i="83"/>
  <c r="N325" i="83" s="1"/>
  <c r="L325" i="83"/>
  <c r="L324" i="83"/>
  <c r="M324" i="83" s="1"/>
  <c r="N324" i="83" s="1"/>
  <c r="K323" i="83"/>
  <c r="K322" i="83" s="1"/>
  <c r="J323" i="83"/>
  <c r="L323" i="83" s="1"/>
  <c r="H323" i="83"/>
  <c r="H322" i="83" s="1"/>
  <c r="G323" i="83"/>
  <c r="I323" i="83" s="1"/>
  <c r="M323" i="83" s="1"/>
  <c r="F323" i="83"/>
  <c r="F322" i="83"/>
  <c r="L321" i="83"/>
  <c r="M321" i="83" s="1"/>
  <c r="N321" i="83" s="1"/>
  <c r="K320" i="83"/>
  <c r="K319" i="83" s="1"/>
  <c r="J320" i="83"/>
  <c r="J319" i="83" s="1"/>
  <c r="H320" i="83"/>
  <c r="H319" i="83" s="1"/>
  <c r="I319" i="83" s="1"/>
  <c r="G320" i="83"/>
  <c r="F320" i="83"/>
  <c r="F319" i="83" s="1"/>
  <c r="G319" i="83"/>
  <c r="L318" i="83"/>
  <c r="M318" i="83" s="1"/>
  <c r="N318" i="83" s="1"/>
  <c r="M317" i="83"/>
  <c r="N317" i="83" s="1"/>
  <c r="L317" i="83"/>
  <c r="L316" i="83"/>
  <c r="K316" i="83"/>
  <c r="J316" i="83"/>
  <c r="J315" i="83" s="1"/>
  <c r="H316" i="83"/>
  <c r="H315" i="83" s="1"/>
  <c r="G316" i="83"/>
  <c r="I316" i="83" s="1"/>
  <c r="F316" i="83"/>
  <c r="F315" i="83" s="1"/>
  <c r="K315" i="83"/>
  <c r="L311" i="83"/>
  <c r="I311" i="83"/>
  <c r="M311" i="83" s="1"/>
  <c r="N311" i="83" s="1"/>
  <c r="K310" i="83"/>
  <c r="K309" i="83" s="1"/>
  <c r="J310" i="83"/>
  <c r="J309" i="83" s="1"/>
  <c r="H310" i="83"/>
  <c r="G310" i="83"/>
  <c r="G309" i="83" s="1"/>
  <c r="F310" i="83"/>
  <c r="F309" i="83" s="1"/>
  <c r="H309" i="83"/>
  <c r="L308" i="83"/>
  <c r="I308" i="83"/>
  <c r="M308" i="83" s="1"/>
  <c r="N308" i="83" s="1"/>
  <c r="L307" i="83"/>
  <c r="I307" i="83"/>
  <c r="K306" i="83"/>
  <c r="K305" i="83" s="1"/>
  <c r="L305" i="83" s="1"/>
  <c r="J306" i="83"/>
  <c r="H306" i="83"/>
  <c r="G306" i="83"/>
  <c r="I306" i="83" s="1"/>
  <c r="F306" i="83"/>
  <c r="F305" i="83" s="1"/>
  <c r="J305" i="83"/>
  <c r="H305" i="83"/>
  <c r="L304" i="83"/>
  <c r="M304" i="83" s="1"/>
  <c r="N304" i="83" s="1"/>
  <c r="K303" i="83"/>
  <c r="J303" i="83"/>
  <c r="J302" i="83" s="1"/>
  <c r="H303" i="83"/>
  <c r="H302" i="83" s="1"/>
  <c r="G303" i="83"/>
  <c r="I303" i="83" s="1"/>
  <c r="F303" i="83"/>
  <c r="F302" i="83" s="1"/>
  <c r="K302" i="83"/>
  <c r="G302" i="83"/>
  <c r="L296" i="83"/>
  <c r="M296" i="83" s="1"/>
  <c r="N296" i="83" s="1"/>
  <c r="L295" i="83"/>
  <c r="I295" i="83"/>
  <c r="M295" i="83" s="1"/>
  <c r="N295" i="83" s="1"/>
  <c r="L294" i="83"/>
  <c r="I294" i="83"/>
  <c r="M294" i="83" s="1"/>
  <c r="N294" i="83" s="1"/>
  <c r="L293" i="83"/>
  <c r="I293" i="83"/>
  <c r="M293" i="83" s="1"/>
  <c r="N293" i="83" s="1"/>
  <c r="K292" i="83"/>
  <c r="K291" i="83" s="1"/>
  <c r="J292" i="83"/>
  <c r="I292" i="83"/>
  <c r="H292" i="83"/>
  <c r="G292" i="83"/>
  <c r="G291" i="83" s="1"/>
  <c r="I291" i="83" s="1"/>
  <c r="F292" i="83"/>
  <c r="J291" i="83"/>
  <c r="L291" i="83" s="1"/>
  <c r="H291" i="83"/>
  <c r="F291" i="83"/>
  <c r="L290" i="83"/>
  <c r="M290" i="83" s="1"/>
  <c r="N290" i="83" s="1"/>
  <c r="L289" i="83"/>
  <c r="M289" i="83" s="1"/>
  <c r="N289" i="83" s="1"/>
  <c r="M288" i="83"/>
  <c r="N288" i="83" s="1"/>
  <c r="L288" i="83"/>
  <c r="L287" i="83"/>
  <c r="I287" i="83"/>
  <c r="L286" i="83"/>
  <c r="M286" i="83" s="1"/>
  <c r="N286" i="83" s="1"/>
  <c r="M285" i="83"/>
  <c r="N285" i="83" s="1"/>
  <c r="L285" i="83"/>
  <c r="L284" i="83"/>
  <c r="M284" i="83" s="1"/>
  <c r="N284" i="83" s="1"/>
  <c r="M283" i="83"/>
  <c r="N283" i="83" s="1"/>
  <c r="L283" i="83"/>
  <c r="I283" i="83"/>
  <c r="K282" i="83"/>
  <c r="K281" i="83" s="1"/>
  <c r="K280" i="83" s="1"/>
  <c r="K279" i="83" s="1"/>
  <c r="K278" i="83" s="1"/>
  <c r="J282" i="83"/>
  <c r="H282" i="83"/>
  <c r="H281" i="83" s="1"/>
  <c r="H280" i="83" s="1"/>
  <c r="H279" i="83" s="1"/>
  <c r="H278" i="83" s="1"/>
  <c r="G282" i="83"/>
  <c r="G281" i="83" s="1"/>
  <c r="F282" i="83"/>
  <c r="F281" i="83" s="1"/>
  <c r="F280" i="83" s="1"/>
  <c r="J281" i="83"/>
  <c r="L277" i="83"/>
  <c r="I277" i="83"/>
  <c r="I276" i="83"/>
  <c r="M276" i="83" s="1"/>
  <c r="N276" i="83" s="1"/>
  <c r="M275" i="83"/>
  <c r="N275" i="83" s="1"/>
  <c r="I275" i="83"/>
  <c r="L274" i="83"/>
  <c r="I274" i="83"/>
  <c r="K273" i="83"/>
  <c r="K272" i="83" s="1"/>
  <c r="K271" i="83" s="1"/>
  <c r="K270" i="83" s="1"/>
  <c r="K269" i="83" s="1"/>
  <c r="J273" i="83"/>
  <c r="J272" i="83" s="1"/>
  <c r="H273" i="83"/>
  <c r="G273" i="83"/>
  <c r="F273" i="83"/>
  <c r="F272" i="83" s="1"/>
  <c r="G272" i="83"/>
  <c r="G271" i="83" s="1"/>
  <c r="M268" i="83"/>
  <c r="N268" i="83" s="1"/>
  <c r="L268" i="83"/>
  <c r="I268" i="83"/>
  <c r="M267" i="83"/>
  <c r="N267" i="83" s="1"/>
  <c r="L267" i="83"/>
  <c r="I267" i="83"/>
  <c r="L266" i="83"/>
  <c r="H266" i="83"/>
  <c r="H263" i="83" s="1"/>
  <c r="H262" i="83" s="1"/>
  <c r="L265" i="83"/>
  <c r="I265" i="83"/>
  <c r="M265" i="83" s="1"/>
  <c r="N265" i="83" s="1"/>
  <c r="L264" i="83"/>
  <c r="I264" i="83"/>
  <c r="K263" i="83"/>
  <c r="J263" i="83"/>
  <c r="L263" i="83" s="1"/>
  <c r="G263" i="83"/>
  <c r="G262" i="83" s="1"/>
  <c r="F263" i="83"/>
  <c r="F262" i="83" s="1"/>
  <c r="K262" i="83"/>
  <c r="L261" i="83"/>
  <c r="M261" i="83" s="1"/>
  <c r="N261" i="83" s="1"/>
  <c r="I261" i="83"/>
  <c r="K260" i="83"/>
  <c r="L260" i="83" s="1"/>
  <c r="J260" i="83"/>
  <c r="J259" i="83" s="1"/>
  <c r="H260" i="83"/>
  <c r="G260" i="83"/>
  <c r="G259" i="83" s="1"/>
  <c r="G258" i="83" s="1"/>
  <c r="F260" i="83"/>
  <c r="F259" i="83" s="1"/>
  <c r="L255" i="83"/>
  <c r="I255" i="83"/>
  <c r="M255" i="83" s="1"/>
  <c r="N255" i="83" s="1"/>
  <c r="L254" i="83"/>
  <c r="I254" i="83"/>
  <c r="M254" i="83" s="1"/>
  <c r="N254" i="83" s="1"/>
  <c r="L253" i="83"/>
  <c r="I253" i="83"/>
  <c r="M253" i="83" s="1"/>
  <c r="N253" i="83" s="1"/>
  <c r="K252" i="83"/>
  <c r="K251" i="83" s="1"/>
  <c r="K250" i="83" s="1"/>
  <c r="K249" i="83" s="1"/>
  <c r="K248" i="83" s="1"/>
  <c r="J252" i="83"/>
  <c r="L252" i="83" s="1"/>
  <c r="I252" i="83"/>
  <c r="H252" i="83"/>
  <c r="G252" i="83"/>
  <c r="G251" i="83" s="1"/>
  <c r="F252" i="83"/>
  <c r="F251" i="83" s="1"/>
  <c r="F250" i="83" s="1"/>
  <c r="J251" i="83"/>
  <c r="H251" i="83"/>
  <c r="H250" i="83" s="1"/>
  <c r="H249" i="83" s="1"/>
  <c r="H248" i="83" s="1"/>
  <c r="I245" i="83"/>
  <c r="M245" i="83" s="1"/>
  <c r="N245" i="83" s="1"/>
  <c r="K244" i="83"/>
  <c r="K243" i="83" s="1"/>
  <c r="K242" i="83" s="1"/>
  <c r="K241" i="83" s="1"/>
  <c r="K240" i="83" s="1"/>
  <c r="K239" i="83" s="1"/>
  <c r="J244" i="83"/>
  <c r="L244" i="83" s="1"/>
  <c r="H244" i="83"/>
  <c r="H243" i="83" s="1"/>
  <c r="H242" i="83" s="1"/>
  <c r="H241" i="83" s="1"/>
  <c r="H240" i="83" s="1"/>
  <c r="H239" i="83" s="1"/>
  <c r="G244" i="83"/>
  <c r="I244" i="83" s="1"/>
  <c r="F244" i="83"/>
  <c r="F243" i="83" s="1"/>
  <c r="G243" i="83"/>
  <c r="I243" i="83" s="1"/>
  <c r="L237" i="83"/>
  <c r="I237" i="83"/>
  <c r="M237" i="83" s="1"/>
  <c r="N237" i="83" s="1"/>
  <c r="L236" i="83"/>
  <c r="K236" i="83"/>
  <c r="J236" i="83"/>
  <c r="J235" i="83" s="1"/>
  <c r="H236" i="83"/>
  <c r="H235" i="83" s="1"/>
  <c r="H234" i="83" s="1"/>
  <c r="H232" i="83" s="1"/>
  <c r="G236" i="83"/>
  <c r="G235" i="83" s="1"/>
  <c r="G234" i="83" s="1"/>
  <c r="G232" i="83" s="1"/>
  <c r="F236" i="83"/>
  <c r="F235" i="83" s="1"/>
  <c r="K235" i="83"/>
  <c r="K234" i="83" s="1"/>
  <c r="J234" i="83"/>
  <c r="F234" i="83"/>
  <c r="L233" i="83"/>
  <c r="I233" i="83"/>
  <c r="M233" i="83" s="1"/>
  <c r="N233" i="83" s="1"/>
  <c r="K232" i="83"/>
  <c r="K231" i="83" s="1"/>
  <c r="F232" i="83"/>
  <c r="F231" i="83" s="1"/>
  <c r="H231" i="83"/>
  <c r="M230" i="83"/>
  <c r="N230" i="83" s="1"/>
  <c r="L230" i="83"/>
  <c r="I230" i="83"/>
  <c r="L229" i="83"/>
  <c r="I229" i="83"/>
  <c r="M229" i="83" s="1"/>
  <c r="N229" i="83" s="1"/>
  <c r="M228" i="83"/>
  <c r="N228" i="83" s="1"/>
  <c r="L228" i="83"/>
  <c r="I228" i="83"/>
  <c r="K227" i="83"/>
  <c r="K226" i="83" s="1"/>
  <c r="J227" i="83"/>
  <c r="L227" i="83" s="1"/>
  <c r="H227" i="83"/>
  <c r="H226" i="83" s="1"/>
  <c r="G227" i="83"/>
  <c r="G226" i="83" s="1"/>
  <c r="F227" i="83"/>
  <c r="F226" i="83"/>
  <c r="L225" i="83"/>
  <c r="I225" i="83"/>
  <c r="K224" i="83"/>
  <c r="J224" i="83"/>
  <c r="H224" i="83"/>
  <c r="H223" i="83" s="1"/>
  <c r="H222" i="83" s="1"/>
  <c r="G224" i="83"/>
  <c r="F224" i="83"/>
  <c r="F223" i="83" s="1"/>
  <c r="F222" i="83" s="1"/>
  <c r="J223" i="83"/>
  <c r="I220" i="83"/>
  <c r="M220" i="83" s="1"/>
  <c r="N220" i="83" s="1"/>
  <c r="N219" i="83"/>
  <c r="L219" i="83"/>
  <c r="M219" i="83" s="1"/>
  <c r="L218" i="83"/>
  <c r="I218" i="83"/>
  <c r="M218" i="83" s="1"/>
  <c r="N218" i="83" s="1"/>
  <c r="K217" i="83"/>
  <c r="J217" i="83"/>
  <c r="L217" i="83" s="1"/>
  <c r="H217" i="83"/>
  <c r="G217" i="83"/>
  <c r="I217" i="83" s="1"/>
  <c r="M217" i="83" s="1"/>
  <c r="F217" i="83"/>
  <c r="K216" i="83"/>
  <c r="J216" i="83"/>
  <c r="L216" i="83" s="1"/>
  <c r="H216" i="83"/>
  <c r="F216" i="83"/>
  <c r="L215" i="83"/>
  <c r="I215" i="83"/>
  <c r="M215" i="83" s="1"/>
  <c r="N215" i="83" s="1"/>
  <c r="L214" i="83"/>
  <c r="I214" i="83"/>
  <c r="K213" i="83"/>
  <c r="J213" i="83"/>
  <c r="J212" i="83" s="1"/>
  <c r="H213" i="83"/>
  <c r="G213" i="83"/>
  <c r="F213" i="83"/>
  <c r="F212" i="83" s="1"/>
  <c r="H212" i="83"/>
  <c r="L211" i="83"/>
  <c r="I211" i="83"/>
  <c r="M211" i="83" s="1"/>
  <c r="N211" i="83" s="1"/>
  <c r="K210" i="83"/>
  <c r="J210" i="83"/>
  <c r="L210" i="83" s="1"/>
  <c r="H210" i="83"/>
  <c r="G210" i="83"/>
  <c r="G209" i="83" s="1"/>
  <c r="I209" i="83" s="1"/>
  <c r="F210" i="83"/>
  <c r="F209" i="83" s="1"/>
  <c r="K209" i="83"/>
  <c r="J209" i="83"/>
  <c r="H209" i="83"/>
  <c r="N205" i="83"/>
  <c r="L205" i="83"/>
  <c r="I205" i="83"/>
  <c r="M205" i="83" s="1"/>
  <c r="K204" i="83"/>
  <c r="K203" i="83" s="1"/>
  <c r="K202" i="83" s="1"/>
  <c r="K201" i="83" s="1"/>
  <c r="K199" i="83" s="1"/>
  <c r="K198" i="83" s="1"/>
  <c r="J204" i="83"/>
  <c r="J203" i="83" s="1"/>
  <c r="H204" i="83"/>
  <c r="H203" i="83" s="1"/>
  <c r="H202" i="83" s="1"/>
  <c r="H201" i="83" s="1"/>
  <c r="H199" i="83" s="1"/>
  <c r="H198" i="83" s="1"/>
  <c r="G204" i="83"/>
  <c r="G203" i="83" s="1"/>
  <c r="F204" i="83"/>
  <c r="L200" i="83"/>
  <c r="I200" i="83"/>
  <c r="M200" i="83" s="1"/>
  <c r="N200" i="83" s="1"/>
  <c r="F199" i="83"/>
  <c r="L197" i="83"/>
  <c r="I197" i="83"/>
  <c r="M197" i="83" s="1"/>
  <c r="N197" i="83" s="1"/>
  <c r="L196" i="83"/>
  <c r="M196" i="83" s="1"/>
  <c r="N196" i="83" s="1"/>
  <c r="I196" i="83"/>
  <c r="K195" i="83"/>
  <c r="J195" i="83"/>
  <c r="H195" i="83"/>
  <c r="H194" i="83" s="1"/>
  <c r="G195" i="83"/>
  <c r="I195" i="83" s="1"/>
  <c r="F195" i="83"/>
  <c r="F194" i="83" s="1"/>
  <c r="K194" i="83"/>
  <c r="L193" i="83"/>
  <c r="M193" i="83" s="1"/>
  <c r="N193" i="83" s="1"/>
  <c r="M192" i="83"/>
  <c r="N192" i="83" s="1"/>
  <c r="L192" i="83"/>
  <c r="L191" i="83"/>
  <c r="M191" i="83" s="1"/>
  <c r="N191" i="83" s="1"/>
  <c r="L190" i="83"/>
  <c r="M190" i="83" s="1"/>
  <c r="N190" i="83" s="1"/>
  <c r="L189" i="83"/>
  <c r="I189" i="83"/>
  <c r="K188" i="83"/>
  <c r="K187" i="83" s="1"/>
  <c r="K186" i="83" s="1"/>
  <c r="K185" i="83" s="1"/>
  <c r="K184" i="83" s="1"/>
  <c r="J188" i="83"/>
  <c r="J187" i="83" s="1"/>
  <c r="H188" i="83"/>
  <c r="H187" i="83" s="1"/>
  <c r="H186" i="83" s="1"/>
  <c r="H185" i="83" s="1"/>
  <c r="H184" i="83" s="1"/>
  <c r="G188" i="83"/>
  <c r="G187" i="83" s="1"/>
  <c r="F188" i="83"/>
  <c r="L183" i="83"/>
  <c r="M183" i="83" s="1"/>
  <c r="N183" i="83" s="1"/>
  <c r="L182" i="83"/>
  <c r="I182" i="83"/>
  <c r="M182" i="83" s="1"/>
  <c r="N182" i="83" s="1"/>
  <c r="L181" i="83"/>
  <c r="K181" i="83"/>
  <c r="K180" i="83" s="1"/>
  <c r="J181" i="83"/>
  <c r="J180" i="83" s="1"/>
  <c r="H181" i="83"/>
  <c r="H180" i="83" s="1"/>
  <c r="G181" i="83"/>
  <c r="G180" i="83" s="1"/>
  <c r="F181" i="83"/>
  <c r="L179" i="83"/>
  <c r="I179" i="83"/>
  <c r="M179" i="83" s="1"/>
  <c r="N179" i="83" s="1"/>
  <c r="M178" i="83"/>
  <c r="N178" i="83" s="1"/>
  <c r="L178" i="83"/>
  <c r="I178" i="83"/>
  <c r="K177" i="83"/>
  <c r="J177" i="83"/>
  <c r="L177" i="83" s="1"/>
  <c r="H177" i="83"/>
  <c r="H176" i="83" s="1"/>
  <c r="G177" i="83"/>
  <c r="I177" i="83" s="1"/>
  <c r="M177" i="83" s="1"/>
  <c r="F177" i="83"/>
  <c r="F176" i="83" s="1"/>
  <c r="K176" i="83"/>
  <c r="G176" i="83"/>
  <c r="I176" i="83" s="1"/>
  <c r="M172" i="83"/>
  <c r="N172" i="83" s="1"/>
  <c r="L172" i="83"/>
  <c r="L171" i="83"/>
  <c r="I171" i="83"/>
  <c r="M171" i="83" s="1"/>
  <c r="N171" i="83" s="1"/>
  <c r="L170" i="83"/>
  <c r="I170" i="83"/>
  <c r="M170" i="83" s="1"/>
  <c r="N170" i="83" s="1"/>
  <c r="K169" i="83"/>
  <c r="J169" i="83"/>
  <c r="I169" i="83"/>
  <c r="H169" i="83"/>
  <c r="H168" i="83" s="1"/>
  <c r="H167" i="83" s="1"/>
  <c r="H166" i="83" s="1"/>
  <c r="H165" i="83" s="1"/>
  <c r="G169" i="83"/>
  <c r="G168" i="83" s="1"/>
  <c r="I168" i="83" s="1"/>
  <c r="F169" i="83"/>
  <c r="F168" i="83" s="1"/>
  <c r="K168" i="83"/>
  <c r="K167" i="83" s="1"/>
  <c r="K166" i="83" s="1"/>
  <c r="K165" i="83" s="1"/>
  <c r="L164" i="83"/>
  <c r="I164" i="83"/>
  <c r="L163" i="83"/>
  <c r="I163" i="83"/>
  <c r="M163" i="83" s="1"/>
  <c r="N163" i="83" s="1"/>
  <c r="K162" i="83"/>
  <c r="J162" i="83"/>
  <c r="H162" i="83"/>
  <c r="G162" i="83"/>
  <c r="F162" i="83"/>
  <c r="L161" i="83"/>
  <c r="I161" i="83"/>
  <c r="M161" i="83" s="1"/>
  <c r="N161" i="83" s="1"/>
  <c r="K160" i="83"/>
  <c r="K159" i="83" s="1"/>
  <c r="J160" i="83"/>
  <c r="J159" i="83" s="1"/>
  <c r="H160" i="83"/>
  <c r="G160" i="83"/>
  <c r="G159" i="83" s="1"/>
  <c r="F160" i="83"/>
  <c r="M158" i="83"/>
  <c r="N158" i="83" s="1"/>
  <c r="L158" i="83"/>
  <c r="I158" i="83"/>
  <c r="K157" i="83"/>
  <c r="J157" i="83"/>
  <c r="L157" i="83" s="1"/>
  <c r="H157" i="83"/>
  <c r="G157" i="83"/>
  <c r="I157" i="83" s="1"/>
  <c r="M157" i="83" s="1"/>
  <c r="F157" i="83"/>
  <c r="F156" i="83" s="1"/>
  <c r="K156" i="83"/>
  <c r="J156" i="83"/>
  <c r="L156" i="83" s="1"/>
  <c r="G156" i="83"/>
  <c r="L155" i="83"/>
  <c r="I155" i="83"/>
  <c r="L154" i="83"/>
  <c r="I154" i="83"/>
  <c r="M154" i="83" s="1"/>
  <c r="N154" i="83" s="1"/>
  <c r="L153" i="83"/>
  <c r="K153" i="83"/>
  <c r="J153" i="83"/>
  <c r="H153" i="83"/>
  <c r="H149" i="83" s="1"/>
  <c r="G153" i="83"/>
  <c r="F153" i="83"/>
  <c r="M152" i="83"/>
  <c r="N152" i="83" s="1"/>
  <c r="L152" i="83"/>
  <c r="I152" i="83"/>
  <c r="L151" i="83"/>
  <c r="I151" i="83"/>
  <c r="M151" i="83" s="1"/>
  <c r="N151" i="83" s="1"/>
  <c r="L150" i="83"/>
  <c r="K150" i="83"/>
  <c r="J150" i="83"/>
  <c r="H150" i="83"/>
  <c r="G150" i="83"/>
  <c r="I150" i="83" s="1"/>
  <c r="M150" i="83" s="1"/>
  <c r="F150" i="83"/>
  <c r="F149" i="83" s="1"/>
  <c r="J149" i="83"/>
  <c r="L146" i="83"/>
  <c r="I146" i="83"/>
  <c r="M146" i="83" s="1"/>
  <c r="N146" i="83" s="1"/>
  <c r="M145" i="83"/>
  <c r="N145" i="83" s="1"/>
  <c r="L145" i="83"/>
  <c r="I145" i="83"/>
  <c r="L144" i="83"/>
  <c r="I144" i="83"/>
  <c r="M144" i="83" s="1"/>
  <c r="N144" i="83" s="1"/>
  <c r="L143" i="83"/>
  <c r="K143" i="83"/>
  <c r="K142" i="83" s="1"/>
  <c r="K141" i="83" s="1"/>
  <c r="K140" i="83" s="1"/>
  <c r="J143" i="83"/>
  <c r="H143" i="83"/>
  <c r="H142" i="83" s="1"/>
  <c r="H141" i="83" s="1"/>
  <c r="H140" i="83" s="1"/>
  <c r="G143" i="83"/>
  <c r="G142" i="83" s="1"/>
  <c r="F143" i="83"/>
  <c r="F142" i="83" s="1"/>
  <c r="F141" i="83" s="1"/>
  <c r="J142" i="83"/>
  <c r="L142" i="83" s="1"/>
  <c r="L136" i="83"/>
  <c r="I136" i="83"/>
  <c r="M136" i="83" s="1"/>
  <c r="N136" i="83" s="1"/>
  <c r="L135" i="83"/>
  <c r="I135" i="83"/>
  <c r="M135" i="83" s="1"/>
  <c r="N135" i="83" s="1"/>
  <c r="L134" i="83"/>
  <c r="I134" i="83"/>
  <c r="L133" i="83"/>
  <c r="I133" i="83"/>
  <c r="M133" i="83" s="1"/>
  <c r="N133" i="83" s="1"/>
  <c r="K132" i="83"/>
  <c r="K131" i="83" s="1"/>
  <c r="J132" i="83"/>
  <c r="J131" i="83" s="1"/>
  <c r="H132" i="83"/>
  <c r="G132" i="83"/>
  <c r="F132" i="83"/>
  <c r="F131" i="83" s="1"/>
  <c r="H131" i="83"/>
  <c r="L130" i="83"/>
  <c r="I130" i="83"/>
  <c r="M130" i="83" s="1"/>
  <c r="N130" i="83" s="1"/>
  <c r="L129" i="83"/>
  <c r="I129" i="83"/>
  <c r="M129" i="83" s="1"/>
  <c r="N129" i="83" s="1"/>
  <c r="L128" i="83"/>
  <c r="I128" i="83"/>
  <c r="M128" i="83" s="1"/>
  <c r="N128" i="83" s="1"/>
  <c r="K127" i="83"/>
  <c r="K126" i="83" s="1"/>
  <c r="J127" i="83"/>
  <c r="L127" i="83" s="1"/>
  <c r="H127" i="83"/>
  <c r="H126" i="83" s="1"/>
  <c r="H125" i="83" s="1"/>
  <c r="H124" i="83" s="1"/>
  <c r="H123" i="83" s="1"/>
  <c r="H122" i="83" s="1"/>
  <c r="G127" i="83"/>
  <c r="G126" i="83" s="1"/>
  <c r="F127" i="83"/>
  <c r="F126" i="83"/>
  <c r="L120" i="83"/>
  <c r="I120" i="83"/>
  <c r="M120" i="83" s="1"/>
  <c r="N120" i="83" s="1"/>
  <c r="L119" i="83"/>
  <c r="I119" i="83"/>
  <c r="M119" i="83" s="1"/>
  <c r="N119" i="83" s="1"/>
  <c r="L118" i="83"/>
  <c r="I118" i="83"/>
  <c r="M118" i="83" s="1"/>
  <c r="N118" i="83" s="1"/>
  <c r="K117" i="83"/>
  <c r="K116" i="83" s="1"/>
  <c r="K115" i="83" s="1"/>
  <c r="K114" i="83" s="1"/>
  <c r="J117" i="83"/>
  <c r="J116" i="83" s="1"/>
  <c r="H117" i="83"/>
  <c r="G117" i="83"/>
  <c r="I117" i="83" s="1"/>
  <c r="F117" i="83"/>
  <c r="F116" i="83" s="1"/>
  <c r="H116" i="83"/>
  <c r="H115" i="83" s="1"/>
  <c r="H114" i="83" s="1"/>
  <c r="H113" i="83" s="1"/>
  <c r="L112" i="83"/>
  <c r="I112" i="83"/>
  <c r="M112" i="83" s="1"/>
  <c r="N112" i="83" s="1"/>
  <c r="L111" i="83"/>
  <c r="I111" i="83"/>
  <c r="M111" i="83" s="1"/>
  <c r="N111" i="83" s="1"/>
  <c r="L110" i="83"/>
  <c r="I110" i="83"/>
  <c r="M110" i="83" s="1"/>
  <c r="N110" i="83" s="1"/>
  <c r="L109" i="83"/>
  <c r="I109" i="83"/>
  <c r="M109" i="83" s="1"/>
  <c r="N109" i="83" s="1"/>
  <c r="L108" i="83"/>
  <c r="I108" i="83"/>
  <c r="M108" i="83" s="1"/>
  <c r="N108" i="83" s="1"/>
  <c r="L107" i="83"/>
  <c r="I107" i="83"/>
  <c r="M107" i="83" s="1"/>
  <c r="N107" i="83" s="1"/>
  <c r="L106" i="83"/>
  <c r="I106" i="83"/>
  <c r="M106" i="83" s="1"/>
  <c r="N106" i="83" s="1"/>
  <c r="L105" i="83"/>
  <c r="I105" i="83"/>
  <c r="M105" i="83" s="1"/>
  <c r="N105" i="83" s="1"/>
  <c r="L104" i="83"/>
  <c r="I104" i="83"/>
  <c r="M104" i="83" s="1"/>
  <c r="N104" i="83" s="1"/>
  <c r="L103" i="83"/>
  <c r="I103" i="83"/>
  <c r="M103" i="83" s="1"/>
  <c r="N103" i="83" s="1"/>
  <c r="K102" i="83"/>
  <c r="K101" i="83" s="1"/>
  <c r="J102" i="83"/>
  <c r="J101" i="83" s="1"/>
  <c r="H102" i="83"/>
  <c r="H101" i="83" s="1"/>
  <c r="G102" i="83"/>
  <c r="G101" i="83" s="1"/>
  <c r="F102" i="83"/>
  <c r="L100" i="83"/>
  <c r="I100" i="83"/>
  <c r="M100" i="83" s="1"/>
  <c r="N100" i="83" s="1"/>
  <c r="H99" i="83"/>
  <c r="I99" i="83" s="1"/>
  <c r="G99" i="83"/>
  <c r="F99" i="83"/>
  <c r="M98" i="83"/>
  <c r="N98" i="83" s="1"/>
  <c r="L98" i="83"/>
  <c r="I98" i="83"/>
  <c r="L97" i="83"/>
  <c r="I97" i="83"/>
  <c r="M97" i="83" s="1"/>
  <c r="N97" i="83" s="1"/>
  <c r="M96" i="83"/>
  <c r="N96" i="83" s="1"/>
  <c r="L96" i="83"/>
  <c r="I96" i="83"/>
  <c r="J95" i="83"/>
  <c r="I95" i="83"/>
  <c r="H95" i="83"/>
  <c r="G95" i="83"/>
  <c r="F95" i="83"/>
  <c r="L94" i="83"/>
  <c r="I94" i="83"/>
  <c r="L93" i="83"/>
  <c r="I93" i="83"/>
  <c r="L92" i="83"/>
  <c r="I92" i="83"/>
  <c r="L91" i="83"/>
  <c r="I91" i="83"/>
  <c r="L90" i="83"/>
  <c r="I90" i="83"/>
  <c r="L89" i="83"/>
  <c r="I89" i="83"/>
  <c r="L88" i="83"/>
  <c r="I88" i="83"/>
  <c r="L87" i="83"/>
  <c r="I87" i="83"/>
  <c r="L86" i="83"/>
  <c r="I86" i="83"/>
  <c r="L85" i="83"/>
  <c r="I85" i="83"/>
  <c r="K84" i="83"/>
  <c r="L84" i="83" s="1"/>
  <c r="H84" i="83"/>
  <c r="G84" i="83"/>
  <c r="I84" i="83" s="1"/>
  <c r="F84" i="83"/>
  <c r="F83" i="83"/>
  <c r="M82" i="83"/>
  <c r="N82" i="83" s="1"/>
  <c r="I82" i="83"/>
  <c r="L81" i="83"/>
  <c r="K81" i="83"/>
  <c r="I81" i="83"/>
  <c r="M81" i="83" s="1"/>
  <c r="N81" i="83" s="1"/>
  <c r="H81" i="83"/>
  <c r="G81" i="83"/>
  <c r="F81" i="83"/>
  <c r="I80" i="83"/>
  <c r="M80" i="83" s="1"/>
  <c r="N80" i="83" s="1"/>
  <c r="K79" i="83"/>
  <c r="L79" i="83" s="1"/>
  <c r="H79" i="83"/>
  <c r="G79" i="83"/>
  <c r="I79" i="83" s="1"/>
  <c r="F79" i="83"/>
  <c r="M78" i="83"/>
  <c r="N78" i="83" s="1"/>
  <c r="L78" i="83"/>
  <c r="I78" i="83"/>
  <c r="K77" i="83"/>
  <c r="L77" i="83" s="1"/>
  <c r="H77" i="83"/>
  <c r="G77" i="83"/>
  <c r="I77" i="83" s="1"/>
  <c r="F77" i="83"/>
  <c r="H76" i="83"/>
  <c r="F76" i="83"/>
  <c r="L75" i="83"/>
  <c r="I75" i="83"/>
  <c r="I74" i="83" s="1"/>
  <c r="L74" i="83"/>
  <c r="K74" i="83"/>
  <c r="H74" i="83"/>
  <c r="G74" i="83"/>
  <c r="F74" i="83"/>
  <c r="L73" i="83"/>
  <c r="M73" i="83" s="1"/>
  <c r="N73" i="83" s="1"/>
  <c r="I73" i="83"/>
  <c r="L72" i="83"/>
  <c r="K72" i="83"/>
  <c r="H72" i="83"/>
  <c r="G72" i="83"/>
  <c r="F72" i="83"/>
  <c r="L71" i="83"/>
  <c r="I71" i="83"/>
  <c r="M71" i="83" s="1"/>
  <c r="N71" i="83" s="1"/>
  <c r="K70" i="83"/>
  <c r="L70" i="83" s="1"/>
  <c r="H70" i="83"/>
  <c r="G70" i="83"/>
  <c r="F70" i="83"/>
  <c r="L69" i="83"/>
  <c r="I69" i="83"/>
  <c r="M69" i="83" s="1"/>
  <c r="N69" i="83" s="1"/>
  <c r="L68" i="83"/>
  <c r="K68" i="83"/>
  <c r="H68" i="83"/>
  <c r="G68" i="83"/>
  <c r="F68" i="83"/>
  <c r="L67" i="83"/>
  <c r="M67" i="83" s="1"/>
  <c r="N67" i="83" s="1"/>
  <c r="I67" i="83"/>
  <c r="L66" i="83"/>
  <c r="K66" i="83"/>
  <c r="H66" i="83"/>
  <c r="G66" i="83"/>
  <c r="F66" i="83"/>
  <c r="L65" i="83"/>
  <c r="I65" i="83"/>
  <c r="M65" i="83" s="1"/>
  <c r="N65" i="83" s="1"/>
  <c r="K64" i="83"/>
  <c r="L64" i="83" s="1"/>
  <c r="H64" i="83"/>
  <c r="G64" i="83"/>
  <c r="F64" i="83"/>
  <c r="L63" i="83"/>
  <c r="I63" i="83"/>
  <c r="M63" i="83" s="1"/>
  <c r="N63" i="83" s="1"/>
  <c r="L62" i="83"/>
  <c r="K62" i="83"/>
  <c r="H62" i="83"/>
  <c r="G62" i="83"/>
  <c r="F62" i="83"/>
  <c r="L61" i="83"/>
  <c r="M61" i="83" s="1"/>
  <c r="N61" i="83" s="1"/>
  <c r="I61" i="83"/>
  <c r="L60" i="83"/>
  <c r="K60" i="83"/>
  <c r="H60" i="83"/>
  <c r="G60" i="83"/>
  <c r="F60" i="83"/>
  <c r="L59" i="83"/>
  <c r="I59" i="83"/>
  <c r="M59" i="83" s="1"/>
  <c r="N59" i="83" s="1"/>
  <c r="K58" i="83"/>
  <c r="L58" i="83" s="1"/>
  <c r="H58" i="83"/>
  <c r="G58" i="83"/>
  <c r="F58" i="83"/>
  <c r="L57" i="83"/>
  <c r="I57" i="83"/>
  <c r="M57" i="83" s="1"/>
  <c r="N57" i="83" s="1"/>
  <c r="L56" i="83"/>
  <c r="K56" i="83"/>
  <c r="H56" i="83"/>
  <c r="G56" i="83"/>
  <c r="F56" i="83"/>
  <c r="L55" i="83"/>
  <c r="M55" i="83" s="1"/>
  <c r="N55" i="83" s="1"/>
  <c r="I55" i="83"/>
  <c r="L54" i="83"/>
  <c r="K54" i="83"/>
  <c r="H54" i="83"/>
  <c r="G54" i="83"/>
  <c r="F54" i="83"/>
  <c r="L53" i="83"/>
  <c r="I53" i="83"/>
  <c r="K52" i="83"/>
  <c r="L52" i="83" s="1"/>
  <c r="H52" i="83"/>
  <c r="H51" i="83" s="1"/>
  <c r="G52" i="83"/>
  <c r="G51" i="83" s="1"/>
  <c r="F52" i="83"/>
  <c r="K51" i="83"/>
  <c r="L51" i="83" s="1"/>
  <c r="F51" i="83"/>
  <c r="J48" i="83"/>
  <c r="L45" i="83"/>
  <c r="M45" i="83" s="1"/>
  <c r="N45" i="83" s="1"/>
  <c r="I45" i="83"/>
  <c r="L44" i="83"/>
  <c r="I44" i="83"/>
  <c r="M44" i="83" s="1"/>
  <c r="N44" i="83" s="1"/>
  <c r="K43" i="83"/>
  <c r="K42" i="83" s="1"/>
  <c r="J43" i="83"/>
  <c r="I43" i="83"/>
  <c r="H43" i="83"/>
  <c r="G43" i="83"/>
  <c r="F43" i="83"/>
  <c r="J42" i="83"/>
  <c r="L42" i="83" s="1"/>
  <c r="H42" i="83"/>
  <c r="G42" i="83"/>
  <c r="F42" i="83"/>
  <c r="L41" i="83"/>
  <c r="I41" i="83"/>
  <c r="M40" i="83"/>
  <c r="N40" i="83" s="1"/>
  <c r="L40" i="83"/>
  <c r="L39" i="83"/>
  <c r="M39" i="83" s="1"/>
  <c r="N39" i="83" s="1"/>
  <c r="L38" i="83"/>
  <c r="M38" i="83" s="1"/>
  <c r="N38" i="83" s="1"/>
  <c r="L37" i="83"/>
  <c r="I37" i="83"/>
  <c r="M37" i="83" s="1"/>
  <c r="N37" i="83" s="1"/>
  <c r="K36" i="83"/>
  <c r="J36" i="83"/>
  <c r="L36" i="83" s="1"/>
  <c r="H36" i="83"/>
  <c r="H35" i="83" s="1"/>
  <c r="G36" i="83"/>
  <c r="I36" i="83" s="1"/>
  <c r="F36" i="83"/>
  <c r="K35" i="83"/>
  <c r="J35" i="83"/>
  <c r="J34" i="83" s="1"/>
  <c r="J33" i="83" s="1"/>
  <c r="F35" i="83"/>
  <c r="F34" i="83" s="1"/>
  <c r="L31" i="83"/>
  <c r="I31" i="83"/>
  <c r="M31" i="83" s="1"/>
  <c r="N31" i="83" s="1"/>
  <c r="K30" i="83"/>
  <c r="J30" i="83"/>
  <c r="I30" i="83"/>
  <c r="H30" i="83"/>
  <c r="G30" i="83"/>
  <c r="F30" i="83"/>
  <c r="K29" i="83"/>
  <c r="H29" i="83"/>
  <c r="G29" i="83"/>
  <c r="L28" i="83"/>
  <c r="M28" i="83" s="1"/>
  <c r="N28" i="83" s="1"/>
  <c r="N27" i="83"/>
  <c r="L27" i="83"/>
  <c r="M27" i="83" s="1"/>
  <c r="P26" i="83"/>
  <c r="L26" i="83"/>
  <c r="I26" i="83"/>
  <c r="L25" i="83"/>
  <c r="I25" i="83"/>
  <c r="L24" i="83"/>
  <c r="I24" i="83"/>
  <c r="K23" i="83"/>
  <c r="K22" i="83" s="1"/>
  <c r="K21" i="83" s="1"/>
  <c r="K20" i="83" s="1"/>
  <c r="K19" i="83" s="1"/>
  <c r="J23" i="83"/>
  <c r="H23" i="83"/>
  <c r="G23" i="83"/>
  <c r="F23" i="83"/>
  <c r="J22" i="83"/>
  <c r="H22" i="83"/>
  <c r="H21" i="83" s="1"/>
  <c r="H20" i="83" s="1"/>
  <c r="H19" i="83" s="1"/>
  <c r="T19" i="83"/>
  <c r="S19" i="83"/>
  <c r="U17" i="83"/>
  <c r="I262" i="83" l="1"/>
  <c r="L23" i="83"/>
  <c r="I56" i="83"/>
  <c r="M56" i="83" s="1"/>
  <c r="M75" i="83"/>
  <c r="N75" i="83" s="1"/>
  <c r="N77" i="83"/>
  <c r="M87" i="83"/>
  <c r="N87" i="83" s="1"/>
  <c r="M90" i="83"/>
  <c r="N90" i="83" s="1"/>
  <c r="M93" i="83"/>
  <c r="N93" i="83" s="1"/>
  <c r="I127" i="83"/>
  <c r="M127" i="83" s="1"/>
  <c r="N153" i="83"/>
  <c r="I159" i="83"/>
  <c r="L188" i="83"/>
  <c r="G194" i="83"/>
  <c r="I194" i="83" s="1"/>
  <c r="L195" i="83"/>
  <c r="L204" i="83"/>
  <c r="I210" i="83"/>
  <c r="M210" i="83" s="1"/>
  <c r="K314" i="83"/>
  <c r="K313" i="83" s="1"/>
  <c r="K312" i="83" s="1"/>
  <c r="M77" i="83"/>
  <c r="I153" i="83"/>
  <c r="M153" i="83" s="1"/>
  <c r="H159" i="83"/>
  <c r="K175" i="83"/>
  <c r="K174" i="83" s="1"/>
  <c r="K173" i="83" s="1"/>
  <c r="M189" i="83"/>
  <c r="N189" i="83" s="1"/>
  <c r="H208" i="83"/>
  <c r="H207" i="83" s="1"/>
  <c r="G216" i="83"/>
  <c r="I216" i="83" s="1"/>
  <c r="M216" i="83" s="1"/>
  <c r="N216" i="83" s="1"/>
  <c r="J226" i="83"/>
  <c r="L235" i="83"/>
  <c r="I260" i="83"/>
  <c r="M260" i="83" s="1"/>
  <c r="I266" i="83"/>
  <c r="M266" i="83" s="1"/>
  <c r="N266" i="83" s="1"/>
  <c r="M274" i="83"/>
  <c r="N274" i="83" s="1"/>
  <c r="I282" i="83"/>
  <c r="M307" i="83"/>
  <c r="N307" i="83" s="1"/>
  <c r="I320" i="83"/>
  <c r="I335" i="83"/>
  <c r="I361" i="83"/>
  <c r="G359" i="83"/>
  <c r="M374" i="83"/>
  <c r="N374" i="83" s="1"/>
  <c r="L387" i="83"/>
  <c r="M390" i="83"/>
  <c r="L22" i="83"/>
  <c r="L30" i="83"/>
  <c r="M30" i="83" s="1"/>
  <c r="N30" i="83" s="1"/>
  <c r="G35" i="83"/>
  <c r="I35" i="83" s="1"/>
  <c r="G34" i="83"/>
  <c r="M53" i="83"/>
  <c r="N53" i="83" s="1"/>
  <c r="I64" i="83"/>
  <c r="M64" i="83" s="1"/>
  <c r="G76" i="83"/>
  <c r="I76" i="83" s="1"/>
  <c r="M76" i="83" s="1"/>
  <c r="K83" i="83"/>
  <c r="L83" i="83" s="1"/>
  <c r="M85" i="83"/>
  <c r="N85" i="83" s="1"/>
  <c r="M88" i="83"/>
  <c r="N88" i="83" s="1"/>
  <c r="M91" i="83"/>
  <c r="N91" i="83" s="1"/>
  <c r="M94" i="83"/>
  <c r="N94" i="83" s="1"/>
  <c r="L101" i="83"/>
  <c r="J126" i="83"/>
  <c r="L126" i="83" s="1"/>
  <c r="I143" i="83"/>
  <c r="M143" i="83" s="1"/>
  <c r="H148" i="83"/>
  <c r="H147" i="83" s="1"/>
  <c r="H139" i="83" s="1"/>
  <c r="M155" i="83"/>
  <c r="N155" i="83" s="1"/>
  <c r="I162" i="83"/>
  <c r="M164" i="83"/>
  <c r="N164" i="83" s="1"/>
  <c r="M214" i="83"/>
  <c r="N214" i="83" s="1"/>
  <c r="M264" i="83"/>
  <c r="N264" i="83" s="1"/>
  <c r="I273" i="83"/>
  <c r="L282" i="83"/>
  <c r="L303" i="83"/>
  <c r="M303" i="83" s="1"/>
  <c r="N303" i="83" s="1"/>
  <c r="M316" i="83"/>
  <c r="I373" i="83"/>
  <c r="F377" i="83"/>
  <c r="H34" i="83"/>
  <c r="H33" i="83" s="1"/>
  <c r="H32" i="83" s="1"/>
  <c r="H18" i="83" s="1"/>
  <c r="M79" i="83"/>
  <c r="N79" i="83" s="1"/>
  <c r="I132" i="83"/>
  <c r="M134" i="83"/>
  <c r="N134" i="83" s="1"/>
  <c r="J222" i="83"/>
  <c r="J221" i="83" s="1"/>
  <c r="M225" i="83"/>
  <c r="N225" i="83" s="1"/>
  <c r="I226" i="83"/>
  <c r="M306" i="83"/>
  <c r="I309" i="83"/>
  <c r="L319" i="83"/>
  <c r="I355" i="83"/>
  <c r="M408" i="83"/>
  <c r="I72" i="83"/>
  <c r="M72" i="83" s="1"/>
  <c r="M74" i="83"/>
  <c r="K76" i="83"/>
  <c r="L76" i="83" s="1"/>
  <c r="M86" i="83"/>
  <c r="N86" i="83" s="1"/>
  <c r="M89" i="83"/>
  <c r="N89" i="83" s="1"/>
  <c r="M92" i="83"/>
  <c r="N92" i="83" s="1"/>
  <c r="G83" i="83"/>
  <c r="L102" i="83"/>
  <c r="K149" i="83"/>
  <c r="K148" i="83" s="1"/>
  <c r="K147" i="83" s="1"/>
  <c r="L160" i="83"/>
  <c r="L162" i="83"/>
  <c r="L169" i="83"/>
  <c r="K259" i="83"/>
  <c r="K258" i="83" s="1"/>
  <c r="K257" i="83" s="1"/>
  <c r="K256" i="83" s="1"/>
  <c r="I263" i="83"/>
  <c r="J322" i="83"/>
  <c r="L322" i="83" s="1"/>
  <c r="G334" i="83"/>
  <c r="G333" i="83" s="1"/>
  <c r="J340" i="83"/>
  <c r="J339" i="83" s="1"/>
  <c r="L361" i="83"/>
  <c r="J378" i="83"/>
  <c r="J377" i="83" s="1"/>
  <c r="I381" i="83"/>
  <c r="M388" i="83"/>
  <c r="K34" i="83"/>
  <c r="K33" i="83" s="1"/>
  <c r="K32" i="83" s="1"/>
  <c r="K18" i="83" s="1"/>
  <c r="M41" i="83"/>
  <c r="N41" i="83" s="1"/>
  <c r="H83" i="83"/>
  <c r="H50" i="83" s="1"/>
  <c r="H49" i="83" s="1"/>
  <c r="H48" i="83" s="1"/>
  <c r="H47" i="83" s="1"/>
  <c r="N150" i="83"/>
  <c r="I227" i="83"/>
  <c r="M227" i="83" s="1"/>
  <c r="K247" i="83"/>
  <c r="L273" i="83"/>
  <c r="M277" i="83"/>
  <c r="N277" i="83" s="1"/>
  <c r="M287" i="83"/>
  <c r="N287" i="83" s="1"/>
  <c r="L306" i="83"/>
  <c r="I310" i="83"/>
  <c r="G315" i="83"/>
  <c r="L320" i="83"/>
  <c r="L335" i="83"/>
  <c r="L347" i="83"/>
  <c r="M347" i="83" s="1"/>
  <c r="N347" i="83" s="1"/>
  <c r="K353" i="83"/>
  <c r="K352" i="83" s="1"/>
  <c r="H363" i="83"/>
  <c r="L373" i="83"/>
  <c r="M389" i="83"/>
  <c r="M409" i="83"/>
  <c r="M412" i="83"/>
  <c r="L406" i="83"/>
  <c r="M406" i="83" s="1"/>
  <c r="M407" i="83"/>
  <c r="M410" i="83"/>
  <c r="I34" i="83"/>
  <c r="G33" i="83"/>
  <c r="F33" i="83"/>
  <c r="N23" i="83"/>
  <c r="M36" i="83"/>
  <c r="N36" i="83" s="1"/>
  <c r="I23" i="83"/>
  <c r="M23" i="83" s="1"/>
  <c r="G22" i="83"/>
  <c r="K50" i="83"/>
  <c r="K95" i="83"/>
  <c r="M25" i="83"/>
  <c r="N25" i="83" s="1"/>
  <c r="I52" i="83"/>
  <c r="M52" i="83" s="1"/>
  <c r="N52" i="83" s="1"/>
  <c r="F22" i="83"/>
  <c r="M26" i="83"/>
  <c r="N26" i="83" s="1"/>
  <c r="F29" i="83"/>
  <c r="L43" i="83"/>
  <c r="M43" i="83" s="1"/>
  <c r="N43" i="83" s="1"/>
  <c r="I58" i="83"/>
  <c r="M58" i="83" s="1"/>
  <c r="N58" i="83" s="1"/>
  <c r="I66" i="83"/>
  <c r="M66" i="83" s="1"/>
  <c r="N127" i="83"/>
  <c r="L131" i="83"/>
  <c r="N143" i="83"/>
  <c r="M169" i="83"/>
  <c r="H175" i="83"/>
  <c r="H174" i="83" s="1"/>
  <c r="H173" i="83" s="1"/>
  <c r="F115" i="83"/>
  <c r="K113" i="83"/>
  <c r="K99" i="83" s="1"/>
  <c r="L99" i="83" s="1"/>
  <c r="M99" i="83" s="1"/>
  <c r="N99" i="83" s="1"/>
  <c r="K47" i="83"/>
  <c r="G175" i="83"/>
  <c r="I180" i="83"/>
  <c r="L187" i="83"/>
  <c r="L203" i="83"/>
  <c r="J202" i="83"/>
  <c r="I51" i="83"/>
  <c r="M51" i="83" s="1"/>
  <c r="N51" i="83" s="1"/>
  <c r="N66" i="83"/>
  <c r="L95" i="83"/>
  <c r="M95" i="83" s="1"/>
  <c r="N95" i="83" s="1"/>
  <c r="L116" i="83"/>
  <c r="J115" i="83"/>
  <c r="F140" i="83"/>
  <c r="J32" i="83"/>
  <c r="L32" i="83" s="1"/>
  <c r="L35" i="83"/>
  <c r="M35" i="83" s="1"/>
  <c r="N35" i="83" s="1"/>
  <c r="I42" i="83"/>
  <c r="M42" i="83" s="1"/>
  <c r="N42" i="83" s="1"/>
  <c r="G50" i="83"/>
  <c r="I54" i="83"/>
  <c r="M54" i="83" s="1"/>
  <c r="N54" i="83" s="1"/>
  <c r="N56" i="83"/>
  <c r="I62" i="83"/>
  <c r="M62" i="83" s="1"/>
  <c r="N62" i="83" s="1"/>
  <c r="N64" i="83"/>
  <c r="I70" i="83"/>
  <c r="M70" i="83" s="1"/>
  <c r="N70" i="83" s="1"/>
  <c r="N72" i="83"/>
  <c r="N74" i="83"/>
  <c r="N76" i="83"/>
  <c r="N84" i="83"/>
  <c r="M195" i="83"/>
  <c r="I126" i="83"/>
  <c r="M126" i="83" s="1"/>
  <c r="N126" i="83" s="1"/>
  <c r="F125" i="83"/>
  <c r="I142" i="83"/>
  <c r="M142" i="83" s="1"/>
  <c r="G141" i="83"/>
  <c r="F167" i="83"/>
  <c r="L180" i="83"/>
  <c r="I187" i="83"/>
  <c r="M187" i="83" s="1"/>
  <c r="G186" i="83"/>
  <c r="I203" i="83"/>
  <c r="M203" i="83" s="1"/>
  <c r="G202" i="83"/>
  <c r="J29" i="83"/>
  <c r="M24" i="83"/>
  <c r="N24" i="83" s="1"/>
  <c r="I29" i="83"/>
  <c r="I60" i="83"/>
  <c r="M60" i="83" s="1"/>
  <c r="N60" i="83" s="1"/>
  <c r="I68" i="83"/>
  <c r="M68" i="83" s="1"/>
  <c r="N68" i="83" s="1"/>
  <c r="M84" i="83"/>
  <c r="I83" i="83"/>
  <c r="M83" i="83" s="1"/>
  <c r="N83" i="83" s="1"/>
  <c r="I101" i="83"/>
  <c r="M101" i="83" s="1"/>
  <c r="K125" i="83"/>
  <c r="K124" i="83" s="1"/>
  <c r="K123" i="83" s="1"/>
  <c r="K122" i="83" s="1"/>
  <c r="K139" i="83"/>
  <c r="L149" i="83"/>
  <c r="L159" i="83"/>
  <c r="M159" i="83" s="1"/>
  <c r="L209" i="83"/>
  <c r="M209" i="83" s="1"/>
  <c r="N209" i="83" s="1"/>
  <c r="J208" i="83"/>
  <c r="I224" i="83"/>
  <c r="G223" i="83"/>
  <c r="G257" i="83"/>
  <c r="L272" i="83"/>
  <c r="J271" i="83"/>
  <c r="H301" i="83"/>
  <c r="H300" i="83" s="1"/>
  <c r="H299" i="83" s="1"/>
  <c r="I302" i="83"/>
  <c r="F314" i="83"/>
  <c r="L334" i="83"/>
  <c r="J333" i="83"/>
  <c r="K339" i="83"/>
  <c r="K338" i="83" s="1"/>
  <c r="K337" i="83" s="1"/>
  <c r="L340" i="83"/>
  <c r="F352" i="83"/>
  <c r="I354" i="83"/>
  <c r="M354" i="83" s="1"/>
  <c r="N354" i="83" s="1"/>
  <c r="G353" i="83"/>
  <c r="K350" i="83"/>
  <c r="K351" i="83"/>
  <c r="F359" i="83"/>
  <c r="L372" i="83"/>
  <c r="J371" i="83"/>
  <c r="K377" i="83"/>
  <c r="K376" i="83" s="1"/>
  <c r="K375" i="83" s="1"/>
  <c r="L378" i="83"/>
  <c r="F101" i="83"/>
  <c r="I102" i="83"/>
  <c r="M102" i="83" s="1"/>
  <c r="N102" i="83" s="1"/>
  <c r="L117" i="83"/>
  <c r="M117" i="83" s="1"/>
  <c r="N117" i="83" s="1"/>
  <c r="L132" i="83"/>
  <c r="M132" i="83" s="1"/>
  <c r="N132" i="83" s="1"/>
  <c r="G149" i="83"/>
  <c r="H156" i="83"/>
  <c r="I156" i="83" s="1"/>
  <c r="M156" i="83" s="1"/>
  <c r="N156" i="83" s="1"/>
  <c r="F159" i="83"/>
  <c r="F148" i="83" s="1"/>
  <c r="I160" i="83"/>
  <c r="M160" i="83" s="1"/>
  <c r="N160" i="83" s="1"/>
  <c r="F180" i="83"/>
  <c r="I181" i="83"/>
  <c r="M181" i="83" s="1"/>
  <c r="N181" i="83" s="1"/>
  <c r="F187" i="83"/>
  <c r="I188" i="83"/>
  <c r="M188" i="83" s="1"/>
  <c r="N188" i="83" s="1"/>
  <c r="F198" i="83"/>
  <c r="F203" i="83"/>
  <c r="I204" i="83"/>
  <c r="M204" i="83" s="1"/>
  <c r="N204" i="83" s="1"/>
  <c r="N217" i="83"/>
  <c r="H221" i="83"/>
  <c r="H206" i="83" s="1"/>
  <c r="L226" i="83"/>
  <c r="M244" i="83"/>
  <c r="N244" i="83" s="1"/>
  <c r="L251" i="83"/>
  <c r="M252" i="83"/>
  <c r="L281" i="83"/>
  <c r="M282" i="83"/>
  <c r="L309" i="83"/>
  <c r="L224" i="83"/>
  <c r="K223" i="83"/>
  <c r="L234" i="83"/>
  <c r="J232" i="83"/>
  <c r="F242" i="83"/>
  <c r="G270" i="83"/>
  <c r="L315" i="83"/>
  <c r="J314" i="83"/>
  <c r="G332" i="83"/>
  <c r="H333" i="83"/>
  <c r="H332" i="83" s="1"/>
  <c r="H331" i="83" s="1"/>
  <c r="I334" i="83"/>
  <c r="M334" i="83" s="1"/>
  <c r="J338" i="83"/>
  <c r="G370" i="83"/>
  <c r="L377" i="83"/>
  <c r="J376" i="83"/>
  <c r="N142" i="83"/>
  <c r="N157" i="83"/>
  <c r="N169" i="83"/>
  <c r="N177" i="83"/>
  <c r="N195" i="83"/>
  <c r="N210" i="83"/>
  <c r="M226" i="83"/>
  <c r="N226" i="83" s="1"/>
  <c r="I213" i="83"/>
  <c r="G212" i="83"/>
  <c r="I232" i="83"/>
  <c r="G231" i="83"/>
  <c r="I231" i="83" s="1"/>
  <c r="F249" i="83"/>
  <c r="I251" i="83"/>
  <c r="M251" i="83" s="1"/>
  <c r="N251" i="83" s="1"/>
  <c r="G250" i="83"/>
  <c r="F258" i="83"/>
  <c r="F279" i="83"/>
  <c r="I281" i="83"/>
  <c r="M281" i="83" s="1"/>
  <c r="N281" i="83" s="1"/>
  <c r="G280" i="83"/>
  <c r="F301" i="83"/>
  <c r="H314" i="83"/>
  <c r="H313" i="83" s="1"/>
  <c r="H312" i="83" s="1"/>
  <c r="I315" i="83"/>
  <c r="M315" i="83" s="1"/>
  <c r="N315" i="83" s="1"/>
  <c r="G358" i="83"/>
  <c r="G116" i="83"/>
  <c r="J125" i="83"/>
  <c r="G131" i="83"/>
  <c r="I131" i="83" s="1"/>
  <c r="M131" i="83" s="1"/>
  <c r="N131" i="83" s="1"/>
  <c r="J141" i="83"/>
  <c r="J148" i="83"/>
  <c r="G167" i="83"/>
  <c r="J168" i="83"/>
  <c r="J176" i="83"/>
  <c r="L176" i="83" s="1"/>
  <c r="M176" i="83" s="1"/>
  <c r="N176" i="83" s="1"/>
  <c r="J194" i="83"/>
  <c r="L194" i="83" s="1"/>
  <c r="M194" i="83" s="1"/>
  <c r="N194" i="83" s="1"/>
  <c r="F221" i="83"/>
  <c r="N227" i="83"/>
  <c r="I235" i="83"/>
  <c r="M235" i="83" s="1"/>
  <c r="I236" i="83"/>
  <c r="M236" i="83" s="1"/>
  <c r="M309" i="83"/>
  <c r="N309" i="83" s="1"/>
  <c r="N323" i="83"/>
  <c r="M355" i="83"/>
  <c r="N355" i="83" s="1"/>
  <c r="M366" i="83"/>
  <c r="N366" i="83" s="1"/>
  <c r="L213" i="83"/>
  <c r="K212" i="83"/>
  <c r="L259" i="83"/>
  <c r="F271" i="83"/>
  <c r="L302" i="83"/>
  <c r="J301" i="83"/>
  <c r="N334" i="83"/>
  <c r="F333" i="83"/>
  <c r="F338" i="83"/>
  <c r="F345" i="83"/>
  <c r="F371" i="83"/>
  <c r="F376" i="83"/>
  <c r="F208" i="83"/>
  <c r="I234" i="83"/>
  <c r="N235" i="83"/>
  <c r="N252" i="83"/>
  <c r="M263" i="83"/>
  <c r="N282" i="83"/>
  <c r="M291" i="83"/>
  <c r="N291" i="83" s="1"/>
  <c r="K301" i="83"/>
  <c r="K300" i="83" s="1"/>
  <c r="K299" i="83" s="1"/>
  <c r="N306" i="83"/>
  <c r="M319" i="83"/>
  <c r="N319" i="83" s="1"/>
  <c r="M341" i="83"/>
  <c r="N341" i="83" s="1"/>
  <c r="M364" i="83"/>
  <c r="M379" i="83"/>
  <c r="N379" i="83" s="1"/>
  <c r="L381" i="83"/>
  <c r="M381" i="83" s="1"/>
  <c r="N381" i="83" s="1"/>
  <c r="M382" i="83"/>
  <c r="N382" i="83" s="1"/>
  <c r="N263" i="83"/>
  <c r="N364" i="83"/>
  <c r="G242" i="83"/>
  <c r="J243" i="83"/>
  <c r="J250" i="83"/>
  <c r="H259" i="83"/>
  <c r="J262" i="83"/>
  <c r="L262" i="83" s="1"/>
  <c r="M262" i="83" s="1"/>
  <c r="N262" i="83" s="1"/>
  <c r="H272" i="83"/>
  <c r="J280" i="83"/>
  <c r="L292" i="83"/>
  <c r="M292" i="83" s="1"/>
  <c r="N292" i="83" s="1"/>
  <c r="G305" i="83"/>
  <c r="I305" i="83" s="1"/>
  <c r="M305" i="83" s="1"/>
  <c r="N305" i="83" s="1"/>
  <c r="L310" i="83"/>
  <c r="M310" i="83" s="1"/>
  <c r="N310" i="83" s="1"/>
  <c r="G322" i="83"/>
  <c r="I322" i="83" s="1"/>
  <c r="G340" i="83"/>
  <c r="G345" i="83"/>
  <c r="J346" i="83"/>
  <c r="H360" i="83"/>
  <c r="I360" i="83" s="1"/>
  <c r="M360" i="83" s="1"/>
  <c r="N360" i="83" s="1"/>
  <c r="J363" i="83"/>
  <c r="J353" i="83" s="1"/>
  <c r="H372" i="83"/>
  <c r="G378" i="83"/>
  <c r="N236" i="83"/>
  <c r="N260" i="83"/>
  <c r="N316" i="83"/>
  <c r="I363" i="83"/>
  <c r="H387" i="83"/>
  <c r="I387" i="83" s="1"/>
  <c r="M387" i="83" s="1"/>
  <c r="L339" i="83" l="1"/>
  <c r="L34" i="83"/>
  <c r="L33" i="83"/>
  <c r="M361" i="83"/>
  <c r="N361" i="83" s="1"/>
  <c r="M162" i="83"/>
  <c r="N162" i="83" s="1"/>
  <c r="M335" i="83"/>
  <c r="N335" i="83" s="1"/>
  <c r="M320" i="83"/>
  <c r="N320" i="83" s="1"/>
  <c r="M322" i="83"/>
  <c r="N322" i="83" s="1"/>
  <c r="H138" i="83"/>
  <c r="M273" i="83"/>
  <c r="N273" i="83" s="1"/>
  <c r="I333" i="83"/>
  <c r="G314" i="83"/>
  <c r="I314" i="83" s="1"/>
  <c r="M180" i="83"/>
  <c r="M373" i="83"/>
  <c r="N373" i="83" s="1"/>
  <c r="F147" i="83"/>
  <c r="L353" i="83"/>
  <c r="J352" i="83"/>
  <c r="L346" i="83"/>
  <c r="M346" i="83" s="1"/>
  <c r="N346" i="83" s="1"/>
  <c r="J345" i="83"/>
  <c r="L243" i="83"/>
  <c r="M243" i="83" s="1"/>
  <c r="N243" i="83" s="1"/>
  <c r="J242" i="83"/>
  <c r="F207" i="83"/>
  <c r="J147" i="83"/>
  <c r="L147" i="83" s="1"/>
  <c r="L148" i="83"/>
  <c r="J124" i="83"/>
  <c r="L125" i="83"/>
  <c r="F278" i="83"/>
  <c r="F351" i="83"/>
  <c r="I378" i="83"/>
  <c r="M378" i="83" s="1"/>
  <c r="N378" i="83" s="1"/>
  <c r="G377" i="83"/>
  <c r="L280" i="83"/>
  <c r="J279" i="83"/>
  <c r="L250" i="83"/>
  <c r="J249" i="83"/>
  <c r="F370" i="83"/>
  <c r="F337" i="83"/>
  <c r="L301" i="83"/>
  <c r="J300" i="83"/>
  <c r="G166" i="83"/>
  <c r="I167" i="83"/>
  <c r="G357" i="83"/>
  <c r="F300" i="83"/>
  <c r="I250" i="83"/>
  <c r="G249" i="83"/>
  <c r="L376" i="83"/>
  <c r="J375" i="83"/>
  <c r="L375" i="83" s="1"/>
  <c r="L338" i="83"/>
  <c r="J337" i="83"/>
  <c r="L337" i="83" s="1"/>
  <c r="I332" i="83"/>
  <c r="G331" i="83"/>
  <c r="I331" i="83" s="1"/>
  <c r="G269" i="83"/>
  <c r="L232" i="83"/>
  <c r="J231" i="83"/>
  <c r="L231" i="83" s="1"/>
  <c r="M231" i="83" s="1"/>
  <c r="N231" i="83" s="1"/>
  <c r="F202" i="83"/>
  <c r="N203" i="83"/>
  <c r="L371" i="83"/>
  <c r="J370" i="83"/>
  <c r="L333" i="83"/>
  <c r="J332" i="83"/>
  <c r="G256" i="83"/>
  <c r="J207" i="83"/>
  <c r="I202" i="83"/>
  <c r="G201" i="83"/>
  <c r="I141" i="83"/>
  <c r="G140" i="83"/>
  <c r="M232" i="83"/>
  <c r="N232" i="83" s="1"/>
  <c r="K298" i="83"/>
  <c r="M234" i="83"/>
  <c r="N234" i="83" s="1"/>
  <c r="J258" i="83"/>
  <c r="G301" i="83"/>
  <c r="M302" i="83"/>
  <c r="N302" i="83" s="1"/>
  <c r="G125" i="83"/>
  <c r="J186" i="83"/>
  <c r="M34" i="83"/>
  <c r="N34" i="83" s="1"/>
  <c r="I340" i="83"/>
  <c r="M340" i="83" s="1"/>
  <c r="N340" i="83" s="1"/>
  <c r="G339" i="83"/>
  <c r="H258" i="83"/>
  <c r="I259" i="83"/>
  <c r="M259" i="83" s="1"/>
  <c r="N259" i="83" s="1"/>
  <c r="F344" i="83"/>
  <c r="J167" i="83"/>
  <c r="L168" i="83"/>
  <c r="M168" i="83" s="1"/>
  <c r="N168" i="83" s="1"/>
  <c r="G115" i="83"/>
  <c r="I116" i="83"/>
  <c r="M116" i="83" s="1"/>
  <c r="N116" i="83" s="1"/>
  <c r="F248" i="83"/>
  <c r="F241" i="83"/>
  <c r="F186" i="83"/>
  <c r="N187" i="83"/>
  <c r="J21" i="83"/>
  <c r="L29" i="83"/>
  <c r="F166" i="83"/>
  <c r="L115" i="83"/>
  <c r="J114" i="83"/>
  <c r="G174" i="83"/>
  <c r="I175" i="83"/>
  <c r="F21" i="83"/>
  <c r="G21" i="83"/>
  <c r="I22" i="83"/>
  <c r="M22" i="83" s="1"/>
  <c r="N22" i="83" s="1"/>
  <c r="G32" i="83"/>
  <c r="I32" i="83" s="1"/>
  <c r="M32" i="83" s="1"/>
  <c r="I33" i="83"/>
  <c r="M33" i="83" s="1"/>
  <c r="N33" i="83" s="1"/>
  <c r="M213" i="83"/>
  <c r="N213" i="83" s="1"/>
  <c r="N159" i="83"/>
  <c r="M224" i="83"/>
  <c r="N224" i="83" s="1"/>
  <c r="L363" i="83"/>
  <c r="J359" i="83"/>
  <c r="I345" i="83"/>
  <c r="G344" i="83"/>
  <c r="I242" i="83"/>
  <c r="G241" i="83"/>
  <c r="F375" i="83"/>
  <c r="F332" i="83"/>
  <c r="F270" i="83"/>
  <c r="L212" i="83"/>
  <c r="K208" i="83"/>
  <c r="K207" i="83" s="1"/>
  <c r="J140" i="83"/>
  <c r="L141" i="83"/>
  <c r="I280" i="83"/>
  <c r="M280" i="83" s="1"/>
  <c r="N280" i="83" s="1"/>
  <c r="G279" i="83"/>
  <c r="F257" i="83"/>
  <c r="I212" i="83"/>
  <c r="G208" i="83"/>
  <c r="G369" i="83"/>
  <c r="L314" i="83"/>
  <c r="J313" i="83"/>
  <c r="K222" i="83"/>
  <c r="L223" i="83"/>
  <c r="F358" i="83"/>
  <c r="I353" i="83"/>
  <c r="G352" i="83"/>
  <c r="F313" i="83"/>
  <c r="L271" i="83"/>
  <c r="J270" i="83"/>
  <c r="I223" i="83"/>
  <c r="G222" i="83"/>
  <c r="I186" i="83"/>
  <c r="G185" i="83"/>
  <c r="F124" i="83"/>
  <c r="F139" i="83"/>
  <c r="L202" i="83"/>
  <c r="J201" i="83"/>
  <c r="F114" i="83"/>
  <c r="K49" i="83"/>
  <c r="L50" i="83"/>
  <c r="F32" i="83"/>
  <c r="N32" i="83" s="1"/>
  <c r="H359" i="83"/>
  <c r="H371" i="83"/>
  <c r="I372" i="83"/>
  <c r="M372" i="83" s="1"/>
  <c r="N372" i="83" s="1"/>
  <c r="H271" i="83"/>
  <c r="I272" i="83"/>
  <c r="M272" i="83" s="1"/>
  <c r="N272" i="83" s="1"/>
  <c r="F175" i="83"/>
  <c r="N180" i="83"/>
  <c r="I149" i="83"/>
  <c r="M149" i="83" s="1"/>
  <c r="N149" i="83" s="1"/>
  <c r="G148" i="83"/>
  <c r="F50" i="83"/>
  <c r="N101" i="83"/>
  <c r="I50" i="83"/>
  <c r="M50" i="83" s="1"/>
  <c r="G49" i="83"/>
  <c r="M363" i="83"/>
  <c r="N363" i="83" s="1"/>
  <c r="H298" i="83"/>
  <c r="M29" i="83"/>
  <c r="N29" i="83" s="1"/>
  <c r="J175" i="83"/>
  <c r="H389" i="76"/>
  <c r="H395" i="76"/>
  <c r="H394" i="76"/>
  <c r="H266" i="76"/>
  <c r="M333" i="83" l="1"/>
  <c r="N333" i="83" s="1"/>
  <c r="G313" i="83"/>
  <c r="G312" i="83" s="1"/>
  <c r="I312" i="83" s="1"/>
  <c r="M312" i="83" s="1"/>
  <c r="M212" i="83"/>
  <c r="N212" i="83" s="1"/>
  <c r="M250" i="83"/>
  <c r="N250" i="83" s="1"/>
  <c r="H270" i="83"/>
  <c r="I271" i="83"/>
  <c r="M271" i="83" s="1"/>
  <c r="N271" i="83" s="1"/>
  <c r="I185" i="83"/>
  <c r="G184" i="83"/>
  <c r="I184" i="83" s="1"/>
  <c r="I148" i="83"/>
  <c r="M148" i="83" s="1"/>
  <c r="N148" i="83" s="1"/>
  <c r="G147" i="83"/>
  <c r="I147" i="83" s="1"/>
  <c r="M147" i="83" s="1"/>
  <c r="H358" i="83"/>
  <c r="I359" i="83"/>
  <c r="F174" i="83"/>
  <c r="H370" i="83"/>
  <c r="I371" i="83"/>
  <c r="M371" i="83" s="1"/>
  <c r="N371" i="83" s="1"/>
  <c r="J199" i="83"/>
  <c r="L201" i="83"/>
  <c r="L313" i="83"/>
  <c r="J312" i="83"/>
  <c r="L312" i="83" s="1"/>
  <c r="I208" i="83"/>
  <c r="G207" i="83"/>
  <c r="I279" i="83"/>
  <c r="G278" i="83"/>
  <c r="I278" i="83" s="1"/>
  <c r="M278" i="83" s="1"/>
  <c r="N278" i="83" s="1"/>
  <c r="I313" i="83"/>
  <c r="G343" i="83"/>
  <c r="I343" i="83" s="1"/>
  <c r="I344" i="83"/>
  <c r="L114" i="83"/>
  <c r="J113" i="83"/>
  <c r="L113" i="83" s="1"/>
  <c r="J47" i="83"/>
  <c r="L47" i="83" s="1"/>
  <c r="G338" i="83"/>
  <c r="I339" i="83"/>
  <c r="M339" i="83" s="1"/>
  <c r="N339" i="83" s="1"/>
  <c r="I125" i="83"/>
  <c r="M125" i="83" s="1"/>
  <c r="N125" i="83" s="1"/>
  <c r="G124" i="83"/>
  <c r="F299" i="83"/>
  <c r="L175" i="83"/>
  <c r="J174" i="83"/>
  <c r="F113" i="83"/>
  <c r="K221" i="83"/>
  <c r="L221" i="83" s="1"/>
  <c r="L222" i="83"/>
  <c r="F256" i="83"/>
  <c r="L140" i="83"/>
  <c r="J139" i="83"/>
  <c r="F331" i="83"/>
  <c r="I21" i="83"/>
  <c r="G20" i="83"/>
  <c r="I174" i="83"/>
  <c r="G173" i="83"/>
  <c r="I173" i="83" s="1"/>
  <c r="F185" i="83"/>
  <c r="L167" i="83"/>
  <c r="M167" i="83" s="1"/>
  <c r="N167" i="83" s="1"/>
  <c r="J166" i="83"/>
  <c r="H257" i="83"/>
  <c r="I258" i="83"/>
  <c r="L186" i="83"/>
  <c r="M186" i="83" s="1"/>
  <c r="N186" i="83" s="1"/>
  <c r="J185" i="83"/>
  <c r="I301" i="83"/>
  <c r="M301" i="83" s="1"/>
  <c r="N301" i="83" s="1"/>
  <c r="G300" i="83"/>
  <c r="I201" i="83"/>
  <c r="G199" i="83"/>
  <c r="L370" i="83"/>
  <c r="J369" i="83"/>
  <c r="L369" i="83" s="1"/>
  <c r="J248" i="83"/>
  <c r="L249" i="83"/>
  <c r="G376" i="83"/>
  <c r="I377" i="83"/>
  <c r="M377" i="83" s="1"/>
  <c r="N377" i="83" s="1"/>
  <c r="J241" i="83"/>
  <c r="L242" i="83"/>
  <c r="M223" i="83"/>
  <c r="N223" i="83" s="1"/>
  <c r="M202" i="83"/>
  <c r="N202" i="83" s="1"/>
  <c r="M353" i="83"/>
  <c r="N353" i="83" s="1"/>
  <c r="M242" i="83"/>
  <c r="N242" i="83" s="1"/>
  <c r="N147" i="83"/>
  <c r="L270" i="83"/>
  <c r="J269" i="83"/>
  <c r="L269" i="83" s="1"/>
  <c r="I352" i="83"/>
  <c r="M352" i="83" s="1"/>
  <c r="N352" i="83" s="1"/>
  <c r="G351" i="83"/>
  <c r="G240" i="83"/>
  <c r="I241" i="83"/>
  <c r="L359" i="83"/>
  <c r="J358" i="83"/>
  <c r="F165" i="83"/>
  <c r="F201" i="83"/>
  <c r="F369" i="83"/>
  <c r="F350" i="83" s="1"/>
  <c r="L124" i="83"/>
  <c r="J122" i="83"/>
  <c r="L122" i="83" s="1"/>
  <c r="J123" i="83"/>
  <c r="L123" i="83" s="1"/>
  <c r="F206" i="83"/>
  <c r="K206" i="83"/>
  <c r="K138" i="83" s="1"/>
  <c r="K17" i="83" s="1"/>
  <c r="K386" i="83" s="1"/>
  <c r="K405" i="83" s="1"/>
  <c r="M175" i="83"/>
  <c r="N175" i="83" s="1"/>
  <c r="M141" i="83"/>
  <c r="N141" i="83" s="1"/>
  <c r="L208" i="83"/>
  <c r="K48" i="83"/>
  <c r="L48" i="83" s="1"/>
  <c r="L49" i="83"/>
  <c r="F123" i="83"/>
  <c r="F312" i="83"/>
  <c r="F357" i="83"/>
  <c r="F269" i="83"/>
  <c r="J20" i="83"/>
  <c r="L21" i="83"/>
  <c r="F239" i="83"/>
  <c r="F240" i="83"/>
  <c r="I115" i="83"/>
  <c r="M115" i="83" s="1"/>
  <c r="N115" i="83" s="1"/>
  <c r="G114" i="83"/>
  <c r="F343" i="83"/>
  <c r="L258" i="83"/>
  <c r="J257" i="83"/>
  <c r="G139" i="83"/>
  <c r="I140" i="83"/>
  <c r="L207" i="83"/>
  <c r="J206" i="83"/>
  <c r="L332" i="83"/>
  <c r="M332" i="83" s="1"/>
  <c r="N332" i="83" s="1"/>
  <c r="J331" i="83"/>
  <c r="L331" i="83" s="1"/>
  <c r="M331" i="83" s="1"/>
  <c r="I249" i="83"/>
  <c r="G248" i="83"/>
  <c r="L300" i="83"/>
  <c r="J299" i="83"/>
  <c r="J278" i="83"/>
  <c r="L278" i="83" s="1"/>
  <c r="L279" i="83"/>
  <c r="J344" i="83"/>
  <c r="L345" i="83"/>
  <c r="M314" i="83"/>
  <c r="N314" i="83" s="1"/>
  <c r="M345" i="83"/>
  <c r="N345" i="83" s="1"/>
  <c r="G48" i="83"/>
  <c r="I49" i="83"/>
  <c r="M49" i="83" s="1"/>
  <c r="F49" i="83"/>
  <c r="N50" i="83"/>
  <c r="G221" i="83"/>
  <c r="I221" i="83" s="1"/>
  <c r="M221" i="83" s="1"/>
  <c r="N221" i="83" s="1"/>
  <c r="I222" i="83"/>
  <c r="M222" i="83" s="1"/>
  <c r="N222" i="83" s="1"/>
  <c r="F20" i="83"/>
  <c r="I166" i="83"/>
  <c r="G165" i="83"/>
  <c r="I165" i="83" s="1"/>
  <c r="J351" i="83"/>
  <c r="L352" i="83"/>
  <c r="N312" i="83" l="1"/>
  <c r="M201" i="83"/>
  <c r="N201" i="83" s="1"/>
  <c r="L206" i="83"/>
  <c r="M21" i="83"/>
  <c r="N21" i="83" s="1"/>
  <c r="M140" i="83"/>
  <c r="N140" i="83" s="1"/>
  <c r="L257" i="83"/>
  <c r="J256" i="83"/>
  <c r="L256" i="83" s="1"/>
  <c r="L344" i="83"/>
  <c r="J343" i="83"/>
  <c r="L343" i="83" s="1"/>
  <c r="I139" i="83"/>
  <c r="L351" i="83"/>
  <c r="F19" i="83"/>
  <c r="N49" i="83"/>
  <c r="F48" i="83"/>
  <c r="L299" i="83"/>
  <c r="J19" i="83"/>
  <c r="L20" i="83"/>
  <c r="L358" i="83"/>
  <c r="J357" i="83"/>
  <c r="L357" i="83" s="1"/>
  <c r="I351" i="83"/>
  <c r="H256" i="83"/>
  <c r="I257" i="83"/>
  <c r="M257" i="83" s="1"/>
  <c r="N257" i="83" s="1"/>
  <c r="F298" i="83"/>
  <c r="I338" i="83"/>
  <c r="M338" i="83" s="1"/>
  <c r="N338" i="83" s="1"/>
  <c r="G337" i="83"/>
  <c r="I337" i="83" s="1"/>
  <c r="M337" i="83" s="1"/>
  <c r="N337" i="83" s="1"/>
  <c r="F122" i="83"/>
  <c r="I240" i="83"/>
  <c r="G239" i="83"/>
  <c r="I239" i="83" s="1"/>
  <c r="I300" i="83"/>
  <c r="M300" i="83" s="1"/>
  <c r="N300" i="83" s="1"/>
  <c r="G299" i="83"/>
  <c r="L199" i="83"/>
  <c r="J198" i="83"/>
  <c r="L198" i="83" s="1"/>
  <c r="H269" i="83"/>
  <c r="I269" i="83" s="1"/>
  <c r="M269" i="83" s="1"/>
  <c r="N269" i="83" s="1"/>
  <c r="I270" i="83"/>
  <c r="M270" i="83" s="1"/>
  <c r="N270" i="83" s="1"/>
  <c r="M249" i="83"/>
  <c r="N249" i="83" s="1"/>
  <c r="N369" i="83"/>
  <c r="M258" i="83"/>
  <c r="N258" i="83" s="1"/>
  <c r="F247" i="83"/>
  <c r="M313" i="83"/>
  <c r="N313" i="83" s="1"/>
  <c r="M208" i="83"/>
  <c r="N208" i="83" s="1"/>
  <c r="G247" i="83"/>
  <c r="I248" i="83"/>
  <c r="L241" i="83"/>
  <c r="M241" i="83" s="1"/>
  <c r="N241" i="83" s="1"/>
  <c r="J240" i="83"/>
  <c r="L248" i="83"/>
  <c r="J247" i="83"/>
  <c r="L247" i="83" s="1"/>
  <c r="F184" i="83"/>
  <c r="I207" i="83"/>
  <c r="M207" i="83" s="1"/>
  <c r="N207" i="83" s="1"/>
  <c r="G206" i="83"/>
  <c r="I206" i="83" s="1"/>
  <c r="M206" i="83" s="1"/>
  <c r="N206" i="83" s="1"/>
  <c r="F173" i="83"/>
  <c r="I114" i="83"/>
  <c r="M114" i="83" s="1"/>
  <c r="N114" i="83" s="1"/>
  <c r="G113" i="83"/>
  <c r="I113" i="83" s="1"/>
  <c r="M113" i="83" s="1"/>
  <c r="N113" i="83" s="1"/>
  <c r="G198" i="83"/>
  <c r="I198" i="83" s="1"/>
  <c r="I199" i="83"/>
  <c r="J184" i="83"/>
  <c r="L184" i="83" s="1"/>
  <c r="M184" i="83" s="1"/>
  <c r="L185" i="83"/>
  <c r="M185" i="83" s="1"/>
  <c r="N185" i="83" s="1"/>
  <c r="L166" i="83"/>
  <c r="M166" i="83" s="1"/>
  <c r="N166" i="83" s="1"/>
  <c r="J165" i="83"/>
  <c r="L165" i="83" s="1"/>
  <c r="M165" i="83" s="1"/>
  <c r="N165" i="83" s="1"/>
  <c r="G19" i="83"/>
  <c r="I20" i="83"/>
  <c r="L139" i="83"/>
  <c r="L174" i="83"/>
  <c r="M174" i="83" s="1"/>
  <c r="N174" i="83" s="1"/>
  <c r="J173" i="83"/>
  <c r="L173" i="83" s="1"/>
  <c r="M173" i="83" s="1"/>
  <c r="G123" i="83"/>
  <c r="I124" i="83"/>
  <c r="M124" i="83" s="1"/>
  <c r="N124" i="83" s="1"/>
  <c r="H369" i="83"/>
  <c r="I369" i="83" s="1"/>
  <c r="M369" i="83" s="1"/>
  <c r="I370" i="83"/>
  <c r="M370" i="83" s="1"/>
  <c r="N370" i="83" s="1"/>
  <c r="H357" i="83"/>
  <c r="I358" i="83"/>
  <c r="M358" i="83" s="1"/>
  <c r="N358" i="83" s="1"/>
  <c r="M343" i="83"/>
  <c r="N343" i="83" s="1"/>
  <c r="M279" i="83"/>
  <c r="N279" i="83" s="1"/>
  <c r="G47" i="83"/>
  <c r="I47" i="83" s="1"/>
  <c r="M47" i="83" s="1"/>
  <c r="I48" i="83"/>
  <c r="M48" i="83" s="1"/>
  <c r="I376" i="83"/>
  <c r="M376" i="83" s="1"/>
  <c r="N376" i="83" s="1"/>
  <c r="G375" i="83"/>
  <c r="I375" i="83" s="1"/>
  <c r="M375" i="83" s="1"/>
  <c r="N375" i="83" s="1"/>
  <c r="N331" i="83"/>
  <c r="M344" i="83"/>
  <c r="N344" i="83" s="1"/>
  <c r="M359" i="83"/>
  <c r="N359" i="83" s="1"/>
  <c r="G350" i="83" l="1"/>
  <c r="N184" i="83"/>
  <c r="M20" i="83"/>
  <c r="N20" i="83" s="1"/>
  <c r="M199" i="83"/>
  <c r="N199" i="83" s="1"/>
  <c r="H350" i="83"/>
  <c r="I350" i="83" s="1"/>
  <c r="I357" i="83"/>
  <c r="M357" i="83" s="1"/>
  <c r="N357" i="83" s="1"/>
  <c r="I123" i="83"/>
  <c r="M123" i="83" s="1"/>
  <c r="N123" i="83" s="1"/>
  <c r="G122" i="83"/>
  <c r="I122" i="83" s="1"/>
  <c r="M122" i="83" s="1"/>
  <c r="N173" i="83"/>
  <c r="F138" i="83"/>
  <c r="I299" i="83"/>
  <c r="M299" i="83" s="1"/>
  <c r="N299" i="83" s="1"/>
  <c r="G298" i="83"/>
  <c r="I298" i="83" s="1"/>
  <c r="N48" i="83"/>
  <c r="F47" i="83"/>
  <c r="N47" i="83" s="1"/>
  <c r="I19" i="83"/>
  <c r="G18" i="83"/>
  <c r="L240" i="83"/>
  <c r="M240" i="83" s="1"/>
  <c r="N240" i="83" s="1"/>
  <c r="J239" i="83"/>
  <c r="L239" i="83" s="1"/>
  <c r="H247" i="83"/>
  <c r="I256" i="83"/>
  <c r="M256" i="83" s="1"/>
  <c r="N256" i="83" s="1"/>
  <c r="I247" i="83"/>
  <c r="M247" i="83" s="1"/>
  <c r="M248" i="83"/>
  <c r="N248" i="83" s="1"/>
  <c r="J138" i="83"/>
  <c r="L138" i="83" s="1"/>
  <c r="M351" i="83"/>
  <c r="N351" i="83" s="1"/>
  <c r="J350" i="83"/>
  <c r="L350" i="83" s="1"/>
  <c r="J298" i="83"/>
  <c r="L298" i="83" s="1"/>
  <c r="M139" i="83"/>
  <c r="N139" i="83" s="1"/>
  <c r="F18" i="83"/>
  <c r="M239" i="83"/>
  <c r="N239" i="83" s="1"/>
  <c r="G138" i="83"/>
  <c r="I138" i="83" s="1"/>
  <c r="J18" i="83"/>
  <c r="L19" i="83"/>
  <c r="N247" i="83"/>
  <c r="M198" i="83"/>
  <c r="N198" i="83" s="1"/>
  <c r="N122" i="83"/>
  <c r="H17" i="83" l="1"/>
  <c r="M298" i="83"/>
  <c r="N298" i="83" s="1"/>
  <c r="M138" i="83"/>
  <c r="N138" i="83" s="1"/>
  <c r="G17" i="83"/>
  <c r="I18" i="83"/>
  <c r="L18" i="83"/>
  <c r="J17" i="83"/>
  <c r="F17" i="83"/>
  <c r="H386" i="83"/>
  <c r="P22" i="83"/>
  <c r="M350" i="83"/>
  <c r="N350" i="83" s="1"/>
  <c r="M19" i="83"/>
  <c r="N19" i="83" s="1"/>
  <c r="P18" i="83" s="1"/>
  <c r="M18" i="83" l="1"/>
  <c r="N18" i="83" s="1"/>
  <c r="H405" i="83"/>
  <c r="P21" i="83"/>
  <c r="J386" i="83"/>
  <c r="L17" i="83"/>
  <c r="G386" i="83"/>
  <c r="G405" i="83" s="1"/>
  <c r="I17" i="83"/>
  <c r="I386" i="83" l="1"/>
  <c r="M17" i="83"/>
  <c r="N17" i="83" s="1"/>
  <c r="J405" i="83"/>
  <c r="L386" i="83"/>
  <c r="L405" i="83" s="1"/>
  <c r="I405" i="83" l="1"/>
  <c r="M386" i="83"/>
  <c r="M405" i="83" l="1"/>
  <c r="P387" i="83"/>
  <c r="K195" i="76" l="1"/>
  <c r="H195" i="76"/>
  <c r="F366" i="76"/>
  <c r="L368" i="76"/>
  <c r="I368" i="76"/>
  <c r="M368" i="76" s="1"/>
  <c r="N368" i="76" s="1"/>
  <c r="I418" i="82"/>
  <c r="M418" i="82" s="1"/>
  <c r="L417" i="82"/>
  <c r="M417" i="82" s="1"/>
  <c r="I416" i="82"/>
  <c r="M416" i="82" s="1"/>
  <c r="I415" i="82"/>
  <c r="M415" i="82" s="1"/>
  <c r="I414" i="82"/>
  <c r="M414" i="82" s="1"/>
  <c r="I413" i="82"/>
  <c r="M413" i="82" s="1"/>
  <c r="I412" i="82"/>
  <c r="M412" i="82" s="1"/>
  <c r="L411" i="82"/>
  <c r="I411" i="82"/>
  <c r="L409" i="82"/>
  <c r="I409" i="82"/>
  <c r="L408" i="82"/>
  <c r="I408" i="82"/>
  <c r="L407" i="82"/>
  <c r="I407" i="82"/>
  <c r="M407" i="82" s="1"/>
  <c r="L406" i="82"/>
  <c r="I406" i="82"/>
  <c r="K405" i="82"/>
  <c r="L405" i="82" s="1"/>
  <c r="J405" i="82"/>
  <c r="H405" i="82"/>
  <c r="G405" i="82"/>
  <c r="I405" i="82" s="1"/>
  <c r="M405" i="82" s="1"/>
  <c r="I399" i="82"/>
  <c r="M399" i="82" s="1"/>
  <c r="L398" i="82"/>
  <c r="M398" i="82" s="1"/>
  <c r="I397" i="82"/>
  <c r="M397" i="82" s="1"/>
  <c r="I396" i="82"/>
  <c r="M396" i="82" s="1"/>
  <c r="I395" i="82"/>
  <c r="M395" i="82" s="1"/>
  <c r="I394" i="82"/>
  <c r="M394" i="82" s="1"/>
  <c r="L393" i="82"/>
  <c r="I393" i="82"/>
  <c r="M393" i="82" s="1"/>
  <c r="L392" i="82"/>
  <c r="I392" i="82"/>
  <c r="L390" i="82"/>
  <c r="I390" i="82"/>
  <c r="L389" i="82"/>
  <c r="I389" i="82"/>
  <c r="M389" i="82" s="1"/>
  <c r="L388" i="82"/>
  <c r="M388" i="82" s="1"/>
  <c r="I388" i="82"/>
  <c r="L387" i="82"/>
  <c r="I387" i="82"/>
  <c r="K386" i="82"/>
  <c r="J386" i="82"/>
  <c r="L386" i="82" s="1"/>
  <c r="H386" i="82"/>
  <c r="I386" i="82" s="1"/>
  <c r="G386" i="82"/>
  <c r="L382" i="82"/>
  <c r="I382" i="82"/>
  <c r="M382" i="82" s="1"/>
  <c r="N382" i="82" s="1"/>
  <c r="K381" i="82"/>
  <c r="J381" i="82"/>
  <c r="J380" i="82" s="1"/>
  <c r="H381" i="82"/>
  <c r="G381" i="82"/>
  <c r="F381" i="82"/>
  <c r="F380" i="82" s="1"/>
  <c r="H380" i="82"/>
  <c r="L379" i="82"/>
  <c r="I379" i="82"/>
  <c r="M379" i="82" s="1"/>
  <c r="N379" i="82" s="1"/>
  <c r="K378" i="82"/>
  <c r="J378" i="82"/>
  <c r="L378" i="82" s="1"/>
  <c r="I378" i="82"/>
  <c r="H378" i="82"/>
  <c r="G378" i="82"/>
  <c r="G377" i="82" s="1"/>
  <c r="I377" i="82" s="1"/>
  <c r="M377" i="82" s="1"/>
  <c r="F378" i="82"/>
  <c r="K377" i="82"/>
  <c r="J377" i="82"/>
  <c r="L377" i="82" s="1"/>
  <c r="H377" i="82"/>
  <c r="F377" i="82"/>
  <c r="L373" i="82"/>
  <c r="I373" i="82"/>
  <c r="M373" i="82" s="1"/>
  <c r="N373" i="82" s="1"/>
  <c r="K372" i="82"/>
  <c r="J372" i="82"/>
  <c r="L372" i="82" s="1"/>
  <c r="H372" i="82"/>
  <c r="G372" i="82"/>
  <c r="I372" i="82" s="1"/>
  <c r="M372" i="82" s="1"/>
  <c r="F372" i="82"/>
  <c r="K371" i="82"/>
  <c r="K370" i="82" s="1"/>
  <c r="K369" i="82" s="1"/>
  <c r="K368" i="82" s="1"/>
  <c r="H371" i="82"/>
  <c r="H370" i="82" s="1"/>
  <c r="H369" i="82" s="1"/>
  <c r="H368" i="82" s="1"/>
  <c r="G371" i="82"/>
  <c r="I371" i="82" s="1"/>
  <c r="L367" i="82"/>
  <c r="I367" i="82"/>
  <c r="K366" i="82"/>
  <c r="L366" i="82" s="1"/>
  <c r="J366" i="82"/>
  <c r="H366" i="82"/>
  <c r="G366" i="82"/>
  <c r="F366" i="82"/>
  <c r="L365" i="82"/>
  <c r="I365" i="82"/>
  <c r="K364" i="82"/>
  <c r="J364" i="82"/>
  <c r="L364" i="82" s="1"/>
  <c r="H364" i="82"/>
  <c r="I364" i="82" s="1"/>
  <c r="G364" i="82"/>
  <c r="F364" i="82"/>
  <c r="F363" i="82" s="1"/>
  <c r="L362" i="82"/>
  <c r="I362" i="82"/>
  <c r="M362" i="82" s="1"/>
  <c r="N362" i="82" s="1"/>
  <c r="K361" i="82"/>
  <c r="J361" i="82"/>
  <c r="L361" i="82" s="1"/>
  <c r="H361" i="82"/>
  <c r="G361" i="82"/>
  <c r="I361" i="82" s="1"/>
  <c r="F361" i="82"/>
  <c r="K360" i="82"/>
  <c r="H360" i="82"/>
  <c r="G360" i="82"/>
  <c r="I360" i="82" s="1"/>
  <c r="L356" i="82"/>
  <c r="I356" i="82"/>
  <c r="M356" i="82" s="1"/>
  <c r="N356" i="82" s="1"/>
  <c r="K355" i="82"/>
  <c r="J355" i="82"/>
  <c r="H355" i="82"/>
  <c r="G355" i="82"/>
  <c r="I355" i="82" s="1"/>
  <c r="F355" i="82"/>
  <c r="J354" i="82"/>
  <c r="H354" i="82"/>
  <c r="H353" i="82" s="1"/>
  <c r="H352" i="82" s="1"/>
  <c r="H351" i="82" s="1"/>
  <c r="F354" i="82"/>
  <c r="F353" i="82"/>
  <c r="F352" i="82" s="1"/>
  <c r="L348" i="82"/>
  <c r="M348" i="82" s="1"/>
  <c r="N348" i="82" s="1"/>
  <c r="K347" i="82"/>
  <c r="K346" i="82" s="1"/>
  <c r="K345" i="82" s="1"/>
  <c r="K344" i="82" s="1"/>
  <c r="K343" i="82" s="1"/>
  <c r="J347" i="82"/>
  <c r="L347" i="82" s="1"/>
  <c r="H347" i="82"/>
  <c r="G347" i="82"/>
  <c r="G346" i="82" s="1"/>
  <c r="G345" i="82" s="1"/>
  <c r="G344" i="82" s="1"/>
  <c r="F347" i="82"/>
  <c r="J346" i="82"/>
  <c r="F346" i="82"/>
  <c r="J345" i="82"/>
  <c r="F345" i="82"/>
  <c r="T342" i="82"/>
  <c r="L342" i="82"/>
  <c r="I342" i="82"/>
  <c r="K341" i="82"/>
  <c r="K340" i="82" s="1"/>
  <c r="K339" i="82" s="1"/>
  <c r="K338" i="82" s="1"/>
  <c r="K337" i="82" s="1"/>
  <c r="J341" i="82"/>
  <c r="H341" i="82"/>
  <c r="G341" i="82"/>
  <c r="I341" i="82" s="1"/>
  <c r="F341" i="82"/>
  <c r="H340" i="82"/>
  <c r="H339" i="82" s="1"/>
  <c r="H338" i="82" s="1"/>
  <c r="H337" i="82" s="1"/>
  <c r="T336" i="82"/>
  <c r="L336" i="82"/>
  <c r="M336" i="82" s="1"/>
  <c r="N336" i="82" s="1"/>
  <c r="I336" i="82"/>
  <c r="L335" i="82"/>
  <c r="K335" i="82"/>
  <c r="J335" i="82"/>
  <c r="J334" i="82" s="1"/>
  <c r="H335" i="82"/>
  <c r="G335" i="82"/>
  <c r="G334" i="82" s="1"/>
  <c r="G333" i="82" s="1"/>
  <c r="G332" i="82" s="1"/>
  <c r="F335" i="82"/>
  <c r="K334" i="82"/>
  <c r="F334" i="82"/>
  <c r="F333" i="82" s="1"/>
  <c r="K333" i="82"/>
  <c r="K332" i="82" s="1"/>
  <c r="K331" i="82" s="1"/>
  <c r="T330" i="82"/>
  <c r="L330" i="82"/>
  <c r="I330" i="82"/>
  <c r="M330" i="82" s="1"/>
  <c r="N330" i="82" s="1"/>
  <c r="S329" i="82"/>
  <c r="L329" i="82"/>
  <c r="M329" i="82" s="1"/>
  <c r="N329" i="82" s="1"/>
  <c r="S328" i="82"/>
  <c r="L328" i="82"/>
  <c r="M328" i="82" s="1"/>
  <c r="N328" i="82" s="1"/>
  <c r="S327" i="82"/>
  <c r="L327" i="82"/>
  <c r="M327" i="82" s="1"/>
  <c r="N327" i="82" s="1"/>
  <c r="S326" i="82"/>
  <c r="L326" i="82"/>
  <c r="M326" i="82" s="1"/>
  <c r="N326" i="82" s="1"/>
  <c r="S325" i="82"/>
  <c r="L325" i="82"/>
  <c r="M325" i="82" s="1"/>
  <c r="N325" i="82" s="1"/>
  <c r="S324" i="82"/>
  <c r="L324" i="82"/>
  <c r="M324" i="82" s="1"/>
  <c r="N324" i="82" s="1"/>
  <c r="K323" i="82"/>
  <c r="J323" i="82"/>
  <c r="L323" i="82" s="1"/>
  <c r="H323" i="82"/>
  <c r="G323" i="82"/>
  <c r="I323" i="82" s="1"/>
  <c r="F323" i="82"/>
  <c r="K322" i="82"/>
  <c r="H322" i="82"/>
  <c r="S321" i="82"/>
  <c r="M321" i="82"/>
  <c r="N321" i="82" s="1"/>
  <c r="L321" i="82"/>
  <c r="L320" i="82"/>
  <c r="K320" i="82"/>
  <c r="J320" i="82"/>
  <c r="H320" i="82"/>
  <c r="H319" i="82" s="1"/>
  <c r="G320" i="82"/>
  <c r="I320" i="82" s="1"/>
  <c r="M320" i="82" s="1"/>
  <c r="F320" i="82"/>
  <c r="K319" i="82"/>
  <c r="J319" i="82"/>
  <c r="F319" i="82"/>
  <c r="S318" i="82"/>
  <c r="L318" i="82"/>
  <c r="M318" i="82" s="1"/>
  <c r="N318" i="82" s="1"/>
  <c r="S317" i="82"/>
  <c r="L317" i="82"/>
  <c r="M317" i="82" s="1"/>
  <c r="N317" i="82" s="1"/>
  <c r="K316" i="82"/>
  <c r="J316" i="82"/>
  <c r="L316" i="82" s="1"/>
  <c r="H316" i="82"/>
  <c r="I316" i="82" s="1"/>
  <c r="G316" i="82"/>
  <c r="F316" i="82"/>
  <c r="K315" i="82"/>
  <c r="K314" i="82" s="1"/>
  <c r="K313" i="82" s="1"/>
  <c r="K312" i="82" s="1"/>
  <c r="G315" i="82"/>
  <c r="S311" i="82"/>
  <c r="L311" i="82"/>
  <c r="I311" i="82"/>
  <c r="M311" i="82" s="1"/>
  <c r="N311" i="82" s="1"/>
  <c r="L310" i="82"/>
  <c r="K310" i="82"/>
  <c r="J310" i="82"/>
  <c r="J309" i="82" s="1"/>
  <c r="H310" i="82"/>
  <c r="H309" i="82" s="1"/>
  <c r="G310" i="82"/>
  <c r="F310" i="82"/>
  <c r="K309" i="82"/>
  <c r="G309" i="82"/>
  <c r="F309" i="82"/>
  <c r="L308" i="82"/>
  <c r="I308" i="82"/>
  <c r="M308" i="82" s="1"/>
  <c r="N308" i="82" s="1"/>
  <c r="S307" i="82"/>
  <c r="L307" i="82"/>
  <c r="I307" i="82"/>
  <c r="M307" i="82" s="1"/>
  <c r="N307" i="82" s="1"/>
  <c r="K306" i="82"/>
  <c r="K305" i="82" s="1"/>
  <c r="J306" i="82"/>
  <c r="H306" i="82"/>
  <c r="H305" i="82" s="1"/>
  <c r="G306" i="82"/>
  <c r="F306" i="82"/>
  <c r="J305" i="82"/>
  <c r="F305" i="82"/>
  <c r="S304" i="82"/>
  <c r="L304" i="82"/>
  <c r="M304" i="82" s="1"/>
  <c r="N304" i="82" s="1"/>
  <c r="K303" i="82"/>
  <c r="J303" i="82"/>
  <c r="L303" i="82" s="1"/>
  <c r="H303" i="82"/>
  <c r="G303" i="82"/>
  <c r="G302" i="82" s="1"/>
  <c r="I302" i="82" s="1"/>
  <c r="M302" i="82" s="1"/>
  <c r="F303" i="82"/>
  <c r="K302" i="82"/>
  <c r="J302" i="82"/>
  <c r="L302" i="82" s="1"/>
  <c r="H302" i="82"/>
  <c r="F302" i="82"/>
  <c r="F301" i="82" s="1"/>
  <c r="F300" i="82" s="1"/>
  <c r="F299" i="82" s="1"/>
  <c r="L296" i="82"/>
  <c r="M296" i="82" s="1"/>
  <c r="N296" i="82" s="1"/>
  <c r="S295" i="82"/>
  <c r="L295" i="82"/>
  <c r="I295" i="82"/>
  <c r="L294" i="82"/>
  <c r="I294" i="82"/>
  <c r="M294" i="82" s="1"/>
  <c r="N294" i="82" s="1"/>
  <c r="L293" i="82"/>
  <c r="I293" i="82"/>
  <c r="K292" i="82"/>
  <c r="K291" i="82" s="1"/>
  <c r="J292" i="82"/>
  <c r="L292" i="82" s="1"/>
  <c r="H292" i="82"/>
  <c r="G292" i="82"/>
  <c r="I292" i="82" s="1"/>
  <c r="M292" i="82" s="1"/>
  <c r="F292" i="82"/>
  <c r="J291" i="82"/>
  <c r="H291" i="82"/>
  <c r="F291" i="82"/>
  <c r="L290" i="82"/>
  <c r="M290" i="82" s="1"/>
  <c r="N290" i="82" s="1"/>
  <c r="L289" i="82"/>
  <c r="M289" i="82" s="1"/>
  <c r="N289" i="82" s="1"/>
  <c r="L288" i="82"/>
  <c r="M288" i="82" s="1"/>
  <c r="N288" i="82" s="1"/>
  <c r="L287" i="82"/>
  <c r="I287" i="82"/>
  <c r="L286" i="82"/>
  <c r="M286" i="82" s="1"/>
  <c r="N286" i="82" s="1"/>
  <c r="L285" i="82"/>
  <c r="M285" i="82" s="1"/>
  <c r="N285" i="82" s="1"/>
  <c r="L284" i="82"/>
  <c r="M284" i="82" s="1"/>
  <c r="N284" i="82" s="1"/>
  <c r="L283" i="82"/>
  <c r="I283" i="82"/>
  <c r="K282" i="82"/>
  <c r="J282" i="82"/>
  <c r="L282" i="82" s="1"/>
  <c r="H282" i="82"/>
  <c r="G282" i="82"/>
  <c r="F282" i="82"/>
  <c r="F281" i="82" s="1"/>
  <c r="K281" i="82"/>
  <c r="H281" i="82"/>
  <c r="H280" i="82" s="1"/>
  <c r="H279" i="82" s="1"/>
  <c r="H278" i="82" s="1"/>
  <c r="G281" i="82"/>
  <c r="L277" i="82"/>
  <c r="I277" i="82"/>
  <c r="M277" i="82" s="1"/>
  <c r="N277" i="82" s="1"/>
  <c r="I276" i="82"/>
  <c r="M276" i="82" s="1"/>
  <c r="N276" i="82" s="1"/>
  <c r="I275" i="82"/>
  <c r="M275" i="82" s="1"/>
  <c r="N275" i="82" s="1"/>
  <c r="L274" i="82"/>
  <c r="I274" i="82"/>
  <c r="M274" i="82" s="1"/>
  <c r="N274" i="82" s="1"/>
  <c r="K273" i="82"/>
  <c r="J273" i="82"/>
  <c r="L273" i="82" s="1"/>
  <c r="H273" i="82"/>
  <c r="I273" i="82" s="1"/>
  <c r="G273" i="82"/>
  <c r="F273" i="82"/>
  <c r="K272" i="82"/>
  <c r="K271" i="82" s="1"/>
  <c r="K270" i="82" s="1"/>
  <c r="K269" i="82" s="1"/>
  <c r="H272" i="82"/>
  <c r="H271" i="82" s="1"/>
  <c r="H270" i="82" s="1"/>
  <c r="H269" i="82" s="1"/>
  <c r="G272" i="82"/>
  <c r="I272" i="82" s="1"/>
  <c r="F272" i="82"/>
  <c r="G271" i="82"/>
  <c r="F271" i="82"/>
  <c r="F270" i="82" s="1"/>
  <c r="F269" i="82" s="1"/>
  <c r="S268" i="82"/>
  <c r="L268" i="82"/>
  <c r="I268" i="82"/>
  <c r="M268" i="82" s="1"/>
  <c r="N268" i="82" s="1"/>
  <c r="S267" i="82"/>
  <c r="L267" i="82"/>
  <c r="I267" i="82"/>
  <c r="M267" i="82" s="1"/>
  <c r="N267" i="82" s="1"/>
  <c r="T266" i="82"/>
  <c r="L266" i="82"/>
  <c r="I266" i="82"/>
  <c r="M266" i="82" s="1"/>
  <c r="N266" i="82" s="1"/>
  <c r="S265" i="82"/>
  <c r="L265" i="82"/>
  <c r="I265" i="82"/>
  <c r="M265" i="82" s="1"/>
  <c r="N265" i="82" s="1"/>
  <c r="S264" i="82"/>
  <c r="L264" i="82"/>
  <c r="I264" i="82"/>
  <c r="M264" i="82" s="1"/>
  <c r="N264" i="82" s="1"/>
  <c r="K263" i="82"/>
  <c r="J263" i="82"/>
  <c r="H263" i="82"/>
  <c r="H262" i="82" s="1"/>
  <c r="G263" i="82"/>
  <c r="I263" i="82" s="1"/>
  <c r="F263" i="82"/>
  <c r="K262" i="82"/>
  <c r="J262" i="82"/>
  <c r="G262" i="82"/>
  <c r="F262" i="82"/>
  <c r="S261" i="82"/>
  <c r="L261" i="82"/>
  <c r="I261" i="82"/>
  <c r="K260" i="82"/>
  <c r="K259" i="82" s="1"/>
  <c r="K258" i="82" s="1"/>
  <c r="K257" i="82" s="1"/>
  <c r="K256" i="82" s="1"/>
  <c r="J260" i="82"/>
  <c r="L260" i="82" s="1"/>
  <c r="H260" i="82"/>
  <c r="H259" i="82" s="1"/>
  <c r="G260" i="82"/>
  <c r="F260" i="82"/>
  <c r="F259" i="82" s="1"/>
  <c r="F258" i="82" s="1"/>
  <c r="F257" i="82" s="1"/>
  <c r="G259" i="82"/>
  <c r="G258" i="82" s="1"/>
  <c r="G257" i="82" s="1"/>
  <c r="G256" i="82" s="1"/>
  <c r="S255" i="82"/>
  <c r="L255" i="82"/>
  <c r="I255" i="82"/>
  <c r="M255" i="82" s="1"/>
  <c r="N255" i="82" s="1"/>
  <c r="S254" i="82"/>
  <c r="L254" i="82"/>
  <c r="I254" i="82"/>
  <c r="M254" i="82" s="1"/>
  <c r="N254" i="82" s="1"/>
  <c r="L253" i="82"/>
  <c r="I253" i="82"/>
  <c r="M253" i="82" s="1"/>
  <c r="N253" i="82" s="1"/>
  <c r="K252" i="82"/>
  <c r="J252" i="82"/>
  <c r="H252" i="82"/>
  <c r="H251" i="82" s="1"/>
  <c r="H250" i="82" s="1"/>
  <c r="H249" i="82" s="1"/>
  <c r="H248" i="82" s="1"/>
  <c r="G252" i="82"/>
  <c r="I252" i="82" s="1"/>
  <c r="F252" i="82"/>
  <c r="K251" i="82"/>
  <c r="K250" i="82" s="1"/>
  <c r="K249" i="82" s="1"/>
  <c r="K248" i="82" s="1"/>
  <c r="I245" i="82"/>
  <c r="M245" i="82" s="1"/>
  <c r="N245" i="82" s="1"/>
  <c r="K244" i="82"/>
  <c r="K243" i="82" s="1"/>
  <c r="K242" i="82" s="1"/>
  <c r="K241" i="82" s="1"/>
  <c r="J244" i="82"/>
  <c r="H244" i="82"/>
  <c r="H243" i="82" s="1"/>
  <c r="H242" i="82" s="1"/>
  <c r="H241" i="82" s="1"/>
  <c r="H240" i="82" s="1"/>
  <c r="H239" i="82" s="1"/>
  <c r="G244" i="82"/>
  <c r="F244" i="82"/>
  <c r="F243" i="82" s="1"/>
  <c r="F242" i="82" s="1"/>
  <c r="F241" i="82" s="1"/>
  <c r="J243" i="82"/>
  <c r="J242" i="82" s="1"/>
  <c r="K240" i="82"/>
  <c r="K239" i="82" s="1"/>
  <c r="L237" i="82"/>
  <c r="I237" i="82"/>
  <c r="M237" i="82" s="1"/>
  <c r="N237" i="82" s="1"/>
  <c r="K236" i="82"/>
  <c r="J236" i="82"/>
  <c r="L236" i="82" s="1"/>
  <c r="H236" i="82"/>
  <c r="G236" i="82"/>
  <c r="G235" i="82" s="1"/>
  <c r="F236" i="82"/>
  <c r="F235" i="82" s="1"/>
  <c r="F234" i="82" s="1"/>
  <c r="K235" i="82"/>
  <c r="J235" i="82"/>
  <c r="H235" i="82"/>
  <c r="H234" i="82" s="1"/>
  <c r="H232" i="82" s="1"/>
  <c r="H231" i="82" s="1"/>
  <c r="K234" i="82"/>
  <c r="K232" i="82" s="1"/>
  <c r="K231" i="82" s="1"/>
  <c r="L233" i="82"/>
  <c r="I233" i="82"/>
  <c r="F232" i="82"/>
  <c r="F231" i="82" s="1"/>
  <c r="L230" i="82"/>
  <c r="I230" i="82"/>
  <c r="L229" i="82"/>
  <c r="I229" i="82"/>
  <c r="L228" i="82"/>
  <c r="I228" i="82"/>
  <c r="K227" i="82"/>
  <c r="J227" i="82"/>
  <c r="H227" i="82"/>
  <c r="H226" i="82" s="1"/>
  <c r="G227" i="82"/>
  <c r="F227" i="82"/>
  <c r="F226" i="82" s="1"/>
  <c r="K226" i="82"/>
  <c r="G226" i="82"/>
  <c r="L225" i="82"/>
  <c r="I225" i="82"/>
  <c r="L224" i="82"/>
  <c r="K224" i="82"/>
  <c r="J224" i="82"/>
  <c r="H224" i="82"/>
  <c r="H223" i="82" s="1"/>
  <c r="G224" i="82"/>
  <c r="G223" i="82" s="1"/>
  <c r="F224" i="82"/>
  <c r="K223" i="82"/>
  <c r="J223" i="82"/>
  <c r="F223" i="82"/>
  <c r="F222" i="82" s="1"/>
  <c r="F221" i="82" s="1"/>
  <c r="K222" i="82"/>
  <c r="K221" i="82" s="1"/>
  <c r="T220" i="82"/>
  <c r="I220" i="82"/>
  <c r="M220" i="82" s="1"/>
  <c r="N220" i="82" s="1"/>
  <c r="L219" i="82"/>
  <c r="M219" i="82" s="1"/>
  <c r="N219" i="82" s="1"/>
  <c r="L218" i="82"/>
  <c r="I218" i="82"/>
  <c r="M218" i="82" s="1"/>
  <c r="N218" i="82" s="1"/>
  <c r="K217" i="82"/>
  <c r="K216" i="82" s="1"/>
  <c r="J217" i="82"/>
  <c r="H217" i="82"/>
  <c r="H216" i="82" s="1"/>
  <c r="G217" i="82"/>
  <c r="F217" i="82"/>
  <c r="J216" i="82"/>
  <c r="F216" i="82"/>
  <c r="L215" i="82"/>
  <c r="M215" i="82" s="1"/>
  <c r="N215" i="82" s="1"/>
  <c r="I215" i="82"/>
  <c r="M214" i="82"/>
  <c r="N214" i="82" s="1"/>
  <c r="L214" i="82"/>
  <c r="I214" i="82"/>
  <c r="K213" i="82"/>
  <c r="J213" i="82"/>
  <c r="I213" i="82"/>
  <c r="H213" i="82"/>
  <c r="G213" i="82"/>
  <c r="F213" i="82"/>
  <c r="F212" i="82" s="1"/>
  <c r="F208" i="82" s="1"/>
  <c r="F207" i="82" s="1"/>
  <c r="F206" i="82" s="1"/>
  <c r="K212" i="82"/>
  <c r="J212" i="82"/>
  <c r="H212" i="82"/>
  <c r="G212" i="82"/>
  <c r="L211" i="82"/>
  <c r="I211" i="82"/>
  <c r="M211" i="82" s="1"/>
  <c r="N211" i="82" s="1"/>
  <c r="K210" i="82"/>
  <c r="K209" i="82" s="1"/>
  <c r="J210" i="82"/>
  <c r="L210" i="82" s="1"/>
  <c r="H210" i="82"/>
  <c r="G210" i="82"/>
  <c r="F210" i="82"/>
  <c r="H209" i="82"/>
  <c r="F209" i="82"/>
  <c r="L205" i="82"/>
  <c r="I205" i="82"/>
  <c r="M205" i="82" s="1"/>
  <c r="N205" i="82" s="1"/>
  <c r="K204" i="82"/>
  <c r="K203" i="82" s="1"/>
  <c r="K202" i="82" s="1"/>
  <c r="K201" i="82" s="1"/>
  <c r="K199" i="82" s="1"/>
  <c r="K198" i="82" s="1"/>
  <c r="J204" i="82"/>
  <c r="L204" i="82" s="1"/>
  <c r="H204" i="82"/>
  <c r="H203" i="82" s="1"/>
  <c r="H202" i="82" s="1"/>
  <c r="G204" i="82"/>
  <c r="F204" i="82"/>
  <c r="F203" i="82" s="1"/>
  <c r="F202" i="82" s="1"/>
  <c r="F201" i="82" s="1"/>
  <c r="J203" i="82"/>
  <c r="G203" i="82"/>
  <c r="G202" i="82" s="1"/>
  <c r="G201" i="82" s="1"/>
  <c r="J202" i="82"/>
  <c r="L200" i="82"/>
  <c r="I200" i="82"/>
  <c r="F199" i="82"/>
  <c r="F198" i="82"/>
  <c r="S197" i="82"/>
  <c r="L197" i="82"/>
  <c r="I197" i="82"/>
  <c r="M197" i="82" s="1"/>
  <c r="N197" i="82" s="1"/>
  <c r="L196" i="82"/>
  <c r="I196" i="82"/>
  <c r="K195" i="82"/>
  <c r="K194" i="82" s="1"/>
  <c r="J195" i="82"/>
  <c r="H195" i="82"/>
  <c r="H194" i="82" s="1"/>
  <c r="G195" i="82"/>
  <c r="I195" i="82" s="1"/>
  <c r="F195" i="82"/>
  <c r="L193" i="82"/>
  <c r="M193" i="82" s="1"/>
  <c r="N193" i="82" s="1"/>
  <c r="N192" i="82"/>
  <c r="M192" i="82"/>
  <c r="L192" i="82"/>
  <c r="L191" i="82"/>
  <c r="M191" i="82" s="1"/>
  <c r="N191" i="82" s="1"/>
  <c r="M190" i="82"/>
  <c r="N190" i="82" s="1"/>
  <c r="L190" i="82"/>
  <c r="L189" i="82"/>
  <c r="I189" i="82"/>
  <c r="M189" i="82" s="1"/>
  <c r="N189" i="82" s="1"/>
  <c r="K188" i="82"/>
  <c r="K187" i="82" s="1"/>
  <c r="J188" i="82"/>
  <c r="J187" i="82" s="1"/>
  <c r="H188" i="82"/>
  <c r="H187" i="82" s="1"/>
  <c r="G188" i="82"/>
  <c r="G187" i="82" s="1"/>
  <c r="F188" i="82"/>
  <c r="S183" i="82"/>
  <c r="M183" i="82"/>
  <c r="N183" i="82" s="1"/>
  <c r="L183" i="82"/>
  <c r="T182" i="82"/>
  <c r="S182" i="82"/>
  <c r="L182" i="82"/>
  <c r="I182" i="82"/>
  <c r="M182" i="82" s="1"/>
  <c r="N182" i="82" s="1"/>
  <c r="K181" i="82"/>
  <c r="K180" i="82" s="1"/>
  <c r="K175" i="82" s="1"/>
  <c r="K174" i="82" s="1"/>
  <c r="K173" i="82" s="1"/>
  <c r="J181" i="82"/>
  <c r="J180" i="82" s="1"/>
  <c r="H181" i="82"/>
  <c r="G181" i="82"/>
  <c r="I181" i="82" s="1"/>
  <c r="F181" i="82"/>
  <c r="F180" i="82" s="1"/>
  <c r="H180" i="82"/>
  <c r="M179" i="82"/>
  <c r="N179" i="82" s="1"/>
  <c r="L179" i="82"/>
  <c r="I179" i="82"/>
  <c r="M178" i="82"/>
  <c r="N178" i="82" s="1"/>
  <c r="L178" i="82"/>
  <c r="I178" i="82"/>
  <c r="L177" i="82"/>
  <c r="K177" i="82"/>
  <c r="K176" i="82" s="1"/>
  <c r="J177" i="82"/>
  <c r="I177" i="82"/>
  <c r="M177" i="82" s="1"/>
  <c r="H177" i="82"/>
  <c r="H176" i="82" s="1"/>
  <c r="G177" i="82"/>
  <c r="G176" i="82" s="1"/>
  <c r="F177" i="82"/>
  <c r="F176" i="82" s="1"/>
  <c r="J176" i="82"/>
  <c r="L176" i="82" s="1"/>
  <c r="L172" i="82"/>
  <c r="M172" i="82" s="1"/>
  <c r="N172" i="82" s="1"/>
  <c r="S171" i="82"/>
  <c r="L171" i="82"/>
  <c r="I171" i="82"/>
  <c r="M171" i="82" s="1"/>
  <c r="N171" i="82" s="1"/>
  <c r="S170" i="82"/>
  <c r="L170" i="82"/>
  <c r="I170" i="82"/>
  <c r="K169" i="82"/>
  <c r="K168" i="82" s="1"/>
  <c r="K167" i="82" s="1"/>
  <c r="K166" i="82" s="1"/>
  <c r="K165" i="82" s="1"/>
  <c r="J169" i="82"/>
  <c r="J168" i="82" s="1"/>
  <c r="H169" i="82"/>
  <c r="G169" i="82"/>
  <c r="I169" i="82" s="1"/>
  <c r="F169" i="82"/>
  <c r="F168" i="82" s="1"/>
  <c r="H168" i="82"/>
  <c r="H167" i="82" s="1"/>
  <c r="H166" i="82" s="1"/>
  <c r="H165" i="82" s="1"/>
  <c r="L164" i="82"/>
  <c r="I164" i="82"/>
  <c r="M164" i="82" s="1"/>
  <c r="N164" i="82" s="1"/>
  <c r="L163" i="82"/>
  <c r="I163" i="82"/>
  <c r="M163" i="82" s="1"/>
  <c r="N163" i="82" s="1"/>
  <c r="L162" i="82"/>
  <c r="K162" i="82"/>
  <c r="J162" i="82"/>
  <c r="H162" i="82"/>
  <c r="G162" i="82"/>
  <c r="F162" i="82"/>
  <c r="M161" i="82"/>
  <c r="N161" i="82" s="1"/>
  <c r="L161" i="82"/>
  <c r="I161" i="82"/>
  <c r="L160" i="82"/>
  <c r="K160" i="82"/>
  <c r="K159" i="82" s="1"/>
  <c r="J160" i="82"/>
  <c r="I160" i="82"/>
  <c r="H160" i="82"/>
  <c r="G160" i="82"/>
  <c r="G159" i="82" s="1"/>
  <c r="F160" i="82"/>
  <c r="F159" i="82" s="1"/>
  <c r="J159" i="82"/>
  <c r="L159" i="82" s="1"/>
  <c r="L158" i="82"/>
  <c r="I158" i="82"/>
  <c r="K157" i="82"/>
  <c r="K156" i="82" s="1"/>
  <c r="J157" i="82"/>
  <c r="L157" i="82" s="1"/>
  <c r="H157" i="82"/>
  <c r="G157" i="82"/>
  <c r="F157" i="82"/>
  <c r="F156" i="82" s="1"/>
  <c r="J156" i="82"/>
  <c r="H156" i="82"/>
  <c r="G156" i="82"/>
  <c r="I156" i="82" s="1"/>
  <c r="L155" i="82"/>
  <c r="I155" i="82"/>
  <c r="M155" i="82" s="1"/>
  <c r="N155" i="82" s="1"/>
  <c r="L154" i="82"/>
  <c r="I154" i="82"/>
  <c r="M154" i="82" s="1"/>
  <c r="N154" i="82" s="1"/>
  <c r="K153" i="82"/>
  <c r="J153" i="82"/>
  <c r="J149" i="82" s="1"/>
  <c r="J148" i="82" s="1"/>
  <c r="H153" i="82"/>
  <c r="H149" i="82" s="1"/>
  <c r="G153" i="82"/>
  <c r="I153" i="82" s="1"/>
  <c r="F153" i="82"/>
  <c r="M152" i="82"/>
  <c r="N152" i="82" s="1"/>
  <c r="L152" i="82"/>
  <c r="I152" i="82"/>
  <c r="L151" i="82"/>
  <c r="I151" i="82"/>
  <c r="M151" i="82" s="1"/>
  <c r="N151" i="82" s="1"/>
  <c r="K150" i="82"/>
  <c r="J150" i="82"/>
  <c r="L150" i="82" s="1"/>
  <c r="I150" i="82"/>
  <c r="H150" i="82"/>
  <c r="G150" i="82"/>
  <c r="F150" i="82"/>
  <c r="F149" i="82" s="1"/>
  <c r="K149" i="82"/>
  <c r="G149" i="82"/>
  <c r="I149" i="82" s="1"/>
  <c r="L146" i="82"/>
  <c r="I146" i="82"/>
  <c r="M146" i="82" s="1"/>
  <c r="N146" i="82" s="1"/>
  <c r="M145" i="82"/>
  <c r="N145" i="82" s="1"/>
  <c r="L145" i="82"/>
  <c r="I145" i="82"/>
  <c r="L144" i="82"/>
  <c r="I144" i="82"/>
  <c r="M144" i="82" s="1"/>
  <c r="N144" i="82" s="1"/>
  <c r="K143" i="82"/>
  <c r="J143" i="82"/>
  <c r="L143" i="82" s="1"/>
  <c r="I143" i="82"/>
  <c r="M143" i="82" s="1"/>
  <c r="H143" i="82"/>
  <c r="H142" i="82" s="1"/>
  <c r="H141" i="82" s="1"/>
  <c r="H140" i="82" s="1"/>
  <c r="G143" i="82"/>
  <c r="F143" i="82"/>
  <c r="F142" i="82" s="1"/>
  <c r="K142" i="82"/>
  <c r="K141" i="82" s="1"/>
  <c r="K140" i="82" s="1"/>
  <c r="G142" i="82"/>
  <c r="I142" i="82" s="1"/>
  <c r="L136" i="82"/>
  <c r="I136" i="82"/>
  <c r="L135" i="82"/>
  <c r="I135" i="82"/>
  <c r="M135" i="82" s="1"/>
  <c r="N135" i="82" s="1"/>
  <c r="S134" i="82"/>
  <c r="L134" i="82"/>
  <c r="I134" i="82"/>
  <c r="M134" i="82" s="1"/>
  <c r="N134" i="82" s="1"/>
  <c r="T133" i="82"/>
  <c r="S133" i="82"/>
  <c r="L133" i="82"/>
  <c r="I133" i="82"/>
  <c r="M133" i="82" s="1"/>
  <c r="N133" i="82" s="1"/>
  <c r="K132" i="82"/>
  <c r="K131" i="82" s="1"/>
  <c r="J132" i="82"/>
  <c r="J131" i="82" s="1"/>
  <c r="H132" i="82"/>
  <c r="G132" i="82"/>
  <c r="I132" i="82" s="1"/>
  <c r="F132" i="82"/>
  <c r="F131" i="82" s="1"/>
  <c r="H131" i="82"/>
  <c r="L130" i="82"/>
  <c r="I130" i="82"/>
  <c r="M130" i="82" s="1"/>
  <c r="N130" i="82" s="1"/>
  <c r="L129" i="82"/>
  <c r="I129" i="82"/>
  <c r="M129" i="82" s="1"/>
  <c r="N129" i="82" s="1"/>
  <c r="S128" i="82"/>
  <c r="L128" i="82"/>
  <c r="I128" i="82"/>
  <c r="M128" i="82" s="1"/>
  <c r="N128" i="82" s="1"/>
  <c r="K127" i="82"/>
  <c r="J127" i="82"/>
  <c r="I127" i="82"/>
  <c r="H127" i="82"/>
  <c r="H126" i="82" s="1"/>
  <c r="G127" i="82"/>
  <c r="G126" i="82" s="1"/>
  <c r="I126" i="82" s="1"/>
  <c r="F127" i="82"/>
  <c r="F126" i="82" s="1"/>
  <c r="K126" i="82"/>
  <c r="L120" i="82"/>
  <c r="I120" i="82"/>
  <c r="L119" i="82"/>
  <c r="I119" i="82"/>
  <c r="M119" i="82" s="1"/>
  <c r="N119" i="82" s="1"/>
  <c r="L118" i="82"/>
  <c r="I118" i="82"/>
  <c r="L117" i="82"/>
  <c r="K117" i="82"/>
  <c r="K116" i="82" s="1"/>
  <c r="K115" i="82" s="1"/>
  <c r="K114" i="82" s="1"/>
  <c r="J117" i="82"/>
  <c r="J116" i="82" s="1"/>
  <c r="H117" i="82"/>
  <c r="G117" i="82"/>
  <c r="G116" i="82" s="1"/>
  <c r="F117" i="82"/>
  <c r="H116" i="82"/>
  <c r="H115" i="82" s="1"/>
  <c r="H114" i="82" s="1"/>
  <c r="H113" i="82" s="1"/>
  <c r="L112" i="82"/>
  <c r="I112" i="82"/>
  <c r="M112" i="82" s="1"/>
  <c r="N112" i="82" s="1"/>
  <c r="L111" i="82"/>
  <c r="I111" i="82"/>
  <c r="M111" i="82" s="1"/>
  <c r="N111" i="82" s="1"/>
  <c r="L110" i="82"/>
  <c r="I110" i="82"/>
  <c r="M110" i="82" s="1"/>
  <c r="N110" i="82" s="1"/>
  <c r="L109" i="82"/>
  <c r="I109" i="82"/>
  <c r="M109" i="82" s="1"/>
  <c r="N109" i="82" s="1"/>
  <c r="L108" i="82"/>
  <c r="I108" i="82"/>
  <c r="M108" i="82" s="1"/>
  <c r="N108" i="82" s="1"/>
  <c r="L107" i="82"/>
  <c r="I107" i="82"/>
  <c r="M107" i="82" s="1"/>
  <c r="N107" i="82" s="1"/>
  <c r="L106" i="82"/>
  <c r="I106" i="82"/>
  <c r="M106" i="82" s="1"/>
  <c r="N106" i="82" s="1"/>
  <c r="L105" i="82"/>
  <c r="I105" i="82"/>
  <c r="M105" i="82" s="1"/>
  <c r="N105" i="82" s="1"/>
  <c r="L104" i="82"/>
  <c r="I104" i="82"/>
  <c r="M104" i="82" s="1"/>
  <c r="N104" i="82" s="1"/>
  <c r="L103" i="82"/>
  <c r="I103" i="82"/>
  <c r="M103" i="82" s="1"/>
  <c r="N103" i="82" s="1"/>
  <c r="K102" i="82"/>
  <c r="K101" i="82" s="1"/>
  <c r="J102" i="82"/>
  <c r="J101" i="82" s="1"/>
  <c r="H102" i="82"/>
  <c r="H101" i="82" s="1"/>
  <c r="G102" i="82"/>
  <c r="G101" i="82" s="1"/>
  <c r="F102" i="82"/>
  <c r="F101" i="82"/>
  <c r="L100" i="82"/>
  <c r="I100" i="82"/>
  <c r="M100" i="82" s="1"/>
  <c r="N100" i="82" s="1"/>
  <c r="I99" i="82"/>
  <c r="H99" i="82"/>
  <c r="G99" i="82"/>
  <c r="F99" i="82"/>
  <c r="F83" i="82" s="1"/>
  <c r="L98" i="82"/>
  <c r="I98" i="82"/>
  <c r="M98" i="82" s="1"/>
  <c r="N98" i="82" s="1"/>
  <c r="L97" i="82"/>
  <c r="I97" i="82"/>
  <c r="L96" i="82"/>
  <c r="I96" i="82"/>
  <c r="M96" i="82" s="1"/>
  <c r="N96" i="82" s="1"/>
  <c r="J95" i="82"/>
  <c r="H95" i="82"/>
  <c r="G95" i="82"/>
  <c r="I95" i="82" s="1"/>
  <c r="F95" i="82"/>
  <c r="L94" i="82"/>
  <c r="I94" i="82"/>
  <c r="M94" i="82" s="1"/>
  <c r="N94" i="82" s="1"/>
  <c r="L93" i="82"/>
  <c r="I93" i="82"/>
  <c r="M93" i="82" s="1"/>
  <c r="N93" i="82" s="1"/>
  <c r="L92" i="82"/>
  <c r="I92" i="82"/>
  <c r="L91" i="82"/>
  <c r="I91" i="82"/>
  <c r="M91" i="82" s="1"/>
  <c r="N91" i="82" s="1"/>
  <c r="L90" i="82"/>
  <c r="I90" i="82"/>
  <c r="M90" i="82" s="1"/>
  <c r="N90" i="82" s="1"/>
  <c r="L89" i="82"/>
  <c r="I89" i="82"/>
  <c r="L88" i="82"/>
  <c r="I88" i="82"/>
  <c r="M88" i="82" s="1"/>
  <c r="N88" i="82" s="1"/>
  <c r="L87" i="82"/>
  <c r="I87" i="82"/>
  <c r="M87" i="82" s="1"/>
  <c r="N87" i="82" s="1"/>
  <c r="L86" i="82"/>
  <c r="I86" i="82"/>
  <c r="L85" i="82"/>
  <c r="I85" i="82"/>
  <c r="M85" i="82" s="1"/>
  <c r="N85" i="82" s="1"/>
  <c r="K84" i="82"/>
  <c r="L84" i="82" s="1"/>
  <c r="H84" i="82"/>
  <c r="H83" i="82" s="1"/>
  <c r="G84" i="82"/>
  <c r="F84" i="82"/>
  <c r="G83" i="82"/>
  <c r="I82" i="82"/>
  <c r="M82" i="82" s="1"/>
  <c r="N82" i="82" s="1"/>
  <c r="K81" i="82"/>
  <c r="L81" i="82" s="1"/>
  <c r="H81" i="82"/>
  <c r="G81" i="82"/>
  <c r="I81" i="82" s="1"/>
  <c r="F81" i="82"/>
  <c r="M80" i="82"/>
  <c r="N80" i="82" s="1"/>
  <c r="I80" i="82"/>
  <c r="K79" i="82"/>
  <c r="L79" i="82" s="1"/>
  <c r="H79" i="82"/>
  <c r="G79" i="82"/>
  <c r="I79" i="82" s="1"/>
  <c r="F79" i="82"/>
  <c r="M78" i="82"/>
  <c r="N78" i="82" s="1"/>
  <c r="L78" i="82"/>
  <c r="I78" i="82"/>
  <c r="L77" i="82"/>
  <c r="K77" i="82"/>
  <c r="H77" i="82"/>
  <c r="I77" i="82" s="1"/>
  <c r="M77" i="82" s="1"/>
  <c r="N77" i="82" s="1"/>
  <c r="G77" i="82"/>
  <c r="F77" i="82"/>
  <c r="L76" i="82"/>
  <c r="K76" i="82"/>
  <c r="H76" i="82"/>
  <c r="M75" i="82"/>
  <c r="N75" i="82" s="1"/>
  <c r="L75" i="82"/>
  <c r="I75" i="82"/>
  <c r="I74" i="82" s="1"/>
  <c r="M74" i="82" s="1"/>
  <c r="N74" i="82" s="1"/>
  <c r="L74" i="82"/>
  <c r="K74" i="82"/>
  <c r="H74" i="82"/>
  <c r="G74" i="82"/>
  <c r="F74" i="82"/>
  <c r="L73" i="82"/>
  <c r="I73" i="82"/>
  <c r="M73" i="82" s="1"/>
  <c r="N73" i="82" s="1"/>
  <c r="K72" i="82"/>
  <c r="L72" i="82" s="1"/>
  <c r="I72" i="82"/>
  <c r="H72" i="82"/>
  <c r="G72" i="82"/>
  <c r="F72" i="82"/>
  <c r="L71" i="82"/>
  <c r="I71" i="82"/>
  <c r="M71" i="82" s="1"/>
  <c r="N71" i="82" s="1"/>
  <c r="K70" i="82"/>
  <c r="L70" i="82" s="1"/>
  <c r="H70" i="82"/>
  <c r="G70" i="82"/>
  <c r="I70" i="82" s="1"/>
  <c r="F70" i="82"/>
  <c r="M69" i="82"/>
  <c r="N69" i="82" s="1"/>
  <c r="L69" i="82"/>
  <c r="I69" i="82"/>
  <c r="L68" i="82"/>
  <c r="K68" i="82"/>
  <c r="H68" i="82"/>
  <c r="G68" i="82"/>
  <c r="I68" i="82" s="1"/>
  <c r="M68" i="82" s="1"/>
  <c r="N68" i="82" s="1"/>
  <c r="F68" i="82"/>
  <c r="L67" i="82"/>
  <c r="I67" i="82"/>
  <c r="M67" i="82" s="1"/>
  <c r="N67" i="82" s="1"/>
  <c r="K66" i="82"/>
  <c r="L66" i="82" s="1"/>
  <c r="I66" i="82"/>
  <c r="H66" i="82"/>
  <c r="G66" i="82"/>
  <c r="F66" i="82"/>
  <c r="L65" i="82"/>
  <c r="I65" i="82"/>
  <c r="M65" i="82" s="1"/>
  <c r="N65" i="82" s="1"/>
  <c r="K64" i="82"/>
  <c r="L64" i="82" s="1"/>
  <c r="H64" i="82"/>
  <c r="G64" i="82"/>
  <c r="I64" i="82" s="1"/>
  <c r="M64" i="82" s="1"/>
  <c r="N64" i="82" s="1"/>
  <c r="F64" i="82"/>
  <c r="M63" i="82"/>
  <c r="N63" i="82" s="1"/>
  <c r="L63" i="82"/>
  <c r="I63" i="82"/>
  <c r="L62" i="82"/>
  <c r="K62" i="82"/>
  <c r="H62" i="82"/>
  <c r="G62" i="82"/>
  <c r="I62" i="82" s="1"/>
  <c r="M62" i="82" s="1"/>
  <c r="N62" i="82" s="1"/>
  <c r="F62" i="82"/>
  <c r="L61" i="82"/>
  <c r="I61" i="82"/>
  <c r="M61" i="82" s="1"/>
  <c r="N61" i="82" s="1"/>
  <c r="K60" i="82"/>
  <c r="L60" i="82" s="1"/>
  <c r="I60" i="82"/>
  <c r="H60" i="82"/>
  <c r="G60" i="82"/>
  <c r="F60" i="82"/>
  <c r="L59" i="82"/>
  <c r="I59" i="82"/>
  <c r="M59" i="82" s="1"/>
  <c r="N59" i="82" s="1"/>
  <c r="K58" i="82"/>
  <c r="L58" i="82" s="1"/>
  <c r="H58" i="82"/>
  <c r="G58" i="82"/>
  <c r="I58" i="82" s="1"/>
  <c r="F58" i="82"/>
  <c r="M57" i="82"/>
  <c r="N57" i="82" s="1"/>
  <c r="L57" i="82"/>
  <c r="I57" i="82"/>
  <c r="L56" i="82"/>
  <c r="K56" i="82"/>
  <c r="H56" i="82"/>
  <c r="I56" i="82" s="1"/>
  <c r="M56" i="82" s="1"/>
  <c r="N56" i="82" s="1"/>
  <c r="G56" i="82"/>
  <c r="F56" i="82"/>
  <c r="L55" i="82"/>
  <c r="I55" i="82"/>
  <c r="M55" i="82" s="1"/>
  <c r="N55" i="82" s="1"/>
  <c r="L54" i="82"/>
  <c r="K54" i="82"/>
  <c r="I54" i="82"/>
  <c r="M54" i="82" s="1"/>
  <c r="N54" i="82" s="1"/>
  <c r="H54" i="82"/>
  <c r="G54" i="82"/>
  <c r="F54" i="82"/>
  <c r="L53" i="82"/>
  <c r="I53" i="82"/>
  <c r="M53" i="82" s="1"/>
  <c r="N53" i="82" s="1"/>
  <c r="K52" i="82"/>
  <c r="L52" i="82" s="1"/>
  <c r="H52" i="82"/>
  <c r="G52" i="82"/>
  <c r="I52" i="82" s="1"/>
  <c r="F52" i="82"/>
  <c r="K51" i="82"/>
  <c r="L51" i="82" s="1"/>
  <c r="F51" i="82"/>
  <c r="J48" i="82"/>
  <c r="S45" i="82"/>
  <c r="M45" i="82"/>
  <c r="N45" i="82" s="1"/>
  <c r="L45" i="82"/>
  <c r="I45" i="82"/>
  <c r="S44" i="82"/>
  <c r="L44" i="82"/>
  <c r="I44" i="82"/>
  <c r="M44" i="82" s="1"/>
  <c r="N44" i="82" s="1"/>
  <c r="K43" i="82"/>
  <c r="J43" i="82"/>
  <c r="L43" i="82" s="1"/>
  <c r="H43" i="82"/>
  <c r="G43" i="82"/>
  <c r="I43" i="82" s="1"/>
  <c r="F43" i="82"/>
  <c r="F42" i="82" s="1"/>
  <c r="K42" i="82"/>
  <c r="H42" i="82"/>
  <c r="L41" i="82"/>
  <c r="I41" i="82"/>
  <c r="M41" i="82" s="1"/>
  <c r="N41" i="82" s="1"/>
  <c r="L40" i="82"/>
  <c r="M40" i="82" s="1"/>
  <c r="N40" i="82" s="1"/>
  <c r="L39" i="82"/>
  <c r="M39" i="82" s="1"/>
  <c r="N39" i="82" s="1"/>
  <c r="L38" i="82"/>
  <c r="M38" i="82" s="1"/>
  <c r="N38" i="82" s="1"/>
  <c r="S37" i="82"/>
  <c r="L37" i="82"/>
  <c r="I37" i="82"/>
  <c r="M37" i="82" s="1"/>
  <c r="N37" i="82" s="1"/>
  <c r="K36" i="82"/>
  <c r="J36" i="82"/>
  <c r="L36" i="82" s="1"/>
  <c r="H36" i="82"/>
  <c r="G36" i="82"/>
  <c r="I36" i="82" s="1"/>
  <c r="F36" i="82"/>
  <c r="F35" i="82" s="1"/>
  <c r="K35" i="82"/>
  <c r="K34" i="82" s="1"/>
  <c r="K33" i="82" s="1"/>
  <c r="K32" i="82" s="1"/>
  <c r="H35" i="82"/>
  <c r="H34" i="82" s="1"/>
  <c r="H33" i="82" s="1"/>
  <c r="H32" i="82" s="1"/>
  <c r="S31" i="82"/>
  <c r="S19" i="82" s="1"/>
  <c r="L31" i="82"/>
  <c r="I31" i="82"/>
  <c r="M31" i="82" s="1"/>
  <c r="N31" i="82" s="1"/>
  <c r="L30" i="82"/>
  <c r="K30" i="82"/>
  <c r="K29" i="82" s="1"/>
  <c r="J30" i="82"/>
  <c r="H30" i="82"/>
  <c r="H29" i="82" s="1"/>
  <c r="G30" i="82"/>
  <c r="G29" i="82" s="1"/>
  <c r="F30" i="82"/>
  <c r="F29" i="82" s="1"/>
  <c r="J29" i="82"/>
  <c r="M28" i="82"/>
  <c r="N28" i="82" s="1"/>
  <c r="L28" i="82"/>
  <c r="L27" i="82"/>
  <c r="M27" i="82" s="1"/>
  <c r="N27" i="82" s="1"/>
  <c r="P26" i="82"/>
  <c r="L26" i="82"/>
  <c r="I26" i="82"/>
  <c r="M26" i="82" s="1"/>
  <c r="N26" i="82" s="1"/>
  <c r="L25" i="82"/>
  <c r="I25" i="82"/>
  <c r="M25" i="82" s="1"/>
  <c r="N25" i="82" s="1"/>
  <c r="L24" i="82"/>
  <c r="I24" i="82"/>
  <c r="M24" i="82" s="1"/>
  <c r="N24" i="82" s="1"/>
  <c r="K23" i="82"/>
  <c r="J23" i="82"/>
  <c r="L23" i="82" s="1"/>
  <c r="H23" i="82"/>
  <c r="H22" i="82" s="1"/>
  <c r="H21" i="82" s="1"/>
  <c r="H20" i="82" s="1"/>
  <c r="H19" i="82" s="1"/>
  <c r="G23" i="82"/>
  <c r="I23" i="82" s="1"/>
  <c r="M23" i="82" s="1"/>
  <c r="F23" i="82"/>
  <c r="K22" i="82"/>
  <c r="K21" i="82" s="1"/>
  <c r="K20" i="82" s="1"/>
  <c r="K19" i="82" s="1"/>
  <c r="K18" i="82" s="1"/>
  <c r="J22" i="82"/>
  <c r="G22" i="82"/>
  <c r="F22" i="82"/>
  <c r="T19" i="82"/>
  <c r="U17" i="82"/>
  <c r="F323" i="76"/>
  <c r="F322" i="76" s="1"/>
  <c r="N324" i="76"/>
  <c r="M324" i="76"/>
  <c r="L324" i="76"/>
  <c r="F316" i="76"/>
  <c r="L318" i="76"/>
  <c r="M318" i="76" s="1"/>
  <c r="N318" i="76" s="1"/>
  <c r="L294" i="76"/>
  <c r="I294" i="76"/>
  <c r="F263" i="76"/>
  <c r="H244" i="76"/>
  <c r="F244" i="76"/>
  <c r="I245" i="76"/>
  <c r="M245" i="76" s="1"/>
  <c r="N245" i="76" s="1"/>
  <c r="F232" i="76"/>
  <c r="F231" i="76" s="1"/>
  <c r="F236" i="76"/>
  <c r="L233" i="76"/>
  <c r="I233" i="76"/>
  <c r="F227" i="76"/>
  <c r="L230" i="76"/>
  <c r="I230" i="76"/>
  <c r="L228" i="76"/>
  <c r="I228" i="76"/>
  <c r="F213" i="76"/>
  <c r="F210" i="76"/>
  <c r="F199" i="76"/>
  <c r="F198" i="76" s="1"/>
  <c r="L200" i="76"/>
  <c r="I200" i="76"/>
  <c r="F195" i="76"/>
  <c r="L196" i="76"/>
  <c r="I196" i="76"/>
  <c r="F177" i="76"/>
  <c r="F181" i="76"/>
  <c r="L178" i="76"/>
  <c r="I178" i="76"/>
  <c r="F157" i="76"/>
  <c r="F156" i="76" s="1"/>
  <c r="L158" i="76"/>
  <c r="I158" i="76"/>
  <c r="K157" i="76"/>
  <c r="J157" i="76"/>
  <c r="H157" i="76"/>
  <c r="G157" i="76"/>
  <c r="F153" i="76"/>
  <c r="F150" i="76"/>
  <c r="L152" i="76"/>
  <c r="I152" i="76"/>
  <c r="F143" i="76"/>
  <c r="L146" i="76"/>
  <c r="I146" i="76"/>
  <c r="L144" i="76"/>
  <c r="I144" i="76"/>
  <c r="F95" i="76"/>
  <c r="L98" i="76"/>
  <c r="I98" i="76"/>
  <c r="F84" i="76"/>
  <c r="I82" i="76"/>
  <c r="M82" i="76" s="1"/>
  <c r="N82" i="76" s="1"/>
  <c r="K81" i="76"/>
  <c r="L81" i="76" s="1"/>
  <c r="H81" i="76"/>
  <c r="G81" i="76"/>
  <c r="F81" i="76"/>
  <c r="F43" i="76"/>
  <c r="L44" i="76"/>
  <c r="I44" i="76"/>
  <c r="M52" i="82" l="1"/>
  <c r="N52" i="82" s="1"/>
  <c r="M79" i="82"/>
  <c r="N79" i="82" s="1"/>
  <c r="I235" i="82"/>
  <c r="G234" i="82"/>
  <c r="I234" i="82" s="1"/>
  <c r="L334" i="82"/>
  <c r="J333" i="82"/>
  <c r="L333" i="82" s="1"/>
  <c r="L309" i="82"/>
  <c r="J301" i="82"/>
  <c r="J300" i="82" s="1"/>
  <c r="J299" i="82" s="1"/>
  <c r="M58" i="82"/>
  <c r="N58" i="82" s="1"/>
  <c r="M70" i="82"/>
  <c r="N70" i="82" s="1"/>
  <c r="L242" i="82"/>
  <c r="J241" i="82"/>
  <c r="M160" i="82"/>
  <c r="N160" i="82" s="1"/>
  <c r="G42" i="82"/>
  <c r="I42" i="82" s="1"/>
  <c r="G76" i="82"/>
  <c r="I76" i="82" s="1"/>
  <c r="M76" i="82" s="1"/>
  <c r="I84" i="82"/>
  <c r="M84" i="82" s="1"/>
  <c r="M86" i="82"/>
  <c r="N86" i="82" s="1"/>
  <c r="M89" i="82"/>
  <c r="N89" i="82" s="1"/>
  <c r="M92" i="82"/>
  <c r="N92" i="82" s="1"/>
  <c r="M97" i="82"/>
  <c r="N97" i="82" s="1"/>
  <c r="L102" i="82"/>
  <c r="M120" i="82"/>
  <c r="N120" i="82" s="1"/>
  <c r="H125" i="82"/>
  <c r="H124" i="82" s="1"/>
  <c r="H123" i="82" s="1"/>
  <c r="H122" i="82" s="1"/>
  <c r="L153" i="82"/>
  <c r="M153" i="82" s="1"/>
  <c r="N153" i="82" s="1"/>
  <c r="I162" i="82"/>
  <c r="M162" i="82" s="1"/>
  <c r="L188" i="82"/>
  <c r="G194" i="82"/>
  <c r="I194" i="82" s="1"/>
  <c r="L195" i="82"/>
  <c r="I212" i="82"/>
  <c r="L216" i="82"/>
  <c r="L223" i="82"/>
  <c r="M228" i="82"/>
  <c r="N228" i="82" s="1"/>
  <c r="I236" i="82"/>
  <c r="M236" i="82" s="1"/>
  <c r="M261" i="82"/>
  <c r="N261" i="82" s="1"/>
  <c r="L262" i="82"/>
  <c r="K280" i="82"/>
  <c r="K279" i="82" s="1"/>
  <c r="K278" i="82" s="1"/>
  <c r="K247" i="82" s="1"/>
  <c r="M283" i="82"/>
  <c r="N283" i="82" s="1"/>
  <c r="M295" i="82"/>
  <c r="N295" i="82" s="1"/>
  <c r="I303" i="82"/>
  <c r="L345" i="82"/>
  <c r="M364" i="82"/>
  <c r="L203" i="82"/>
  <c r="L291" i="82"/>
  <c r="I315" i="82"/>
  <c r="I335" i="82"/>
  <c r="M335" i="82" s="1"/>
  <c r="L355" i="82"/>
  <c r="M355" i="82" s="1"/>
  <c r="N355" i="82" s="1"/>
  <c r="I366" i="82"/>
  <c r="M366" i="82" s="1"/>
  <c r="N366" i="82" s="1"/>
  <c r="L381" i="82"/>
  <c r="M392" i="82"/>
  <c r="M406" i="82"/>
  <c r="M409" i="82"/>
  <c r="H18" i="82"/>
  <c r="I83" i="82"/>
  <c r="M83" i="82" s="1"/>
  <c r="N83" i="82" s="1"/>
  <c r="G51" i="82"/>
  <c r="M118" i="82"/>
  <c r="N118" i="82" s="1"/>
  <c r="L127" i="82"/>
  <c r="L156" i="82"/>
  <c r="M196" i="82"/>
  <c r="N196" i="82" s="1"/>
  <c r="J209" i="82"/>
  <c r="L209" i="82" s="1"/>
  <c r="L213" i="82"/>
  <c r="M213" i="82" s="1"/>
  <c r="N213" i="82" s="1"/>
  <c r="M225" i="82"/>
  <c r="N225" i="82" s="1"/>
  <c r="I227" i="82"/>
  <c r="M229" i="82"/>
  <c r="N229" i="82" s="1"/>
  <c r="I282" i="82"/>
  <c r="M282" i="82" s="1"/>
  <c r="N282" i="82" s="1"/>
  <c r="M293" i="82"/>
  <c r="N293" i="82" s="1"/>
  <c r="H315" i="82"/>
  <c r="G319" i="82"/>
  <c r="G322" i="82"/>
  <c r="I322" i="82" s="1"/>
  <c r="I347" i="82"/>
  <c r="M347" i="82" s="1"/>
  <c r="M361" i="82"/>
  <c r="N361" i="82" s="1"/>
  <c r="H376" i="82"/>
  <c r="H375" i="82" s="1"/>
  <c r="H374" i="82" s="1"/>
  <c r="M60" i="82"/>
  <c r="N60" i="82" s="1"/>
  <c r="M66" i="82"/>
  <c r="N66" i="82" s="1"/>
  <c r="M72" i="82"/>
  <c r="N72" i="82" s="1"/>
  <c r="L22" i="82"/>
  <c r="L29" i="82"/>
  <c r="G35" i="82"/>
  <c r="I35" i="82" s="1"/>
  <c r="H51" i="82"/>
  <c r="K83" i="82"/>
  <c r="L83" i="82" s="1"/>
  <c r="I102" i="82"/>
  <c r="M102" i="82" s="1"/>
  <c r="N102" i="82" s="1"/>
  <c r="K125" i="82"/>
  <c r="K124" i="82" s="1"/>
  <c r="K123" i="82" s="1"/>
  <c r="K122" i="82" s="1"/>
  <c r="G131" i="82"/>
  <c r="I131" i="82" s="1"/>
  <c r="M131" i="82" s="1"/>
  <c r="N131" i="82" s="1"/>
  <c r="L131" i="82"/>
  <c r="M136" i="82"/>
  <c r="N136" i="82" s="1"/>
  <c r="M158" i="82"/>
  <c r="N158" i="82" s="1"/>
  <c r="H159" i="82"/>
  <c r="M170" i="82"/>
  <c r="N170" i="82" s="1"/>
  <c r="M263" i="82"/>
  <c r="N263" i="82" s="1"/>
  <c r="I281" i="82"/>
  <c r="I306" i="82"/>
  <c r="M306" i="82" s="1"/>
  <c r="L319" i="82"/>
  <c r="G340" i="82"/>
  <c r="I340" i="82" s="1"/>
  <c r="L341" i="82"/>
  <c r="M341" i="82" s="1"/>
  <c r="N341" i="82" s="1"/>
  <c r="J363" i="82"/>
  <c r="J353" i="82" s="1"/>
  <c r="J352" i="82" s="1"/>
  <c r="J351" i="82" s="1"/>
  <c r="H222" i="82"/>
  <c r="H221" i="82" s="1"/>
  <c r="J259" i="82"/>
  <c r="I262" i="82"/>
  <c r="I271" i="82"/>
  <c r="N310" i="82"/>
  <c r="L346" i="82"/>
  <c r="N364" i="82"/>
  <c r="I381" i="82"/>
  <c r="M387" i="82"/>
  <c r="M390" i="82"/>
  <c r="M411" i="82"/>
  <c r="I157" i="82"/>
  <c r="N162" i="82"/>
  <c r="K186" i="82"/>
  <c r="K185" i="82" s="1"/>
  <c r="K184" i="82" s="1"/>
  <c r="M230" i="82"/>
  <c r="N230" i="82" s="1"/>
  <c r="G251" i="82"/>
  <c r="I251" i="82" s="1"/>
  <c r="L252" i="82"/>
  <c r="L263" i="82"/>
  <c r="G270" i="82"/>
  <c r="J272" i="82"/>
  <c r="J281" i="82"/>
  <c r="M287" i="82"/>
  <c r="N287" i="82" s="1"/>
  <c r="G291" i="82"/>
  <c r="I291" i="82" s="1"/>
  <c r="M291" i="82" s="1"/>
  <c r="N291" i="82" s="1"/>
  <c r="L306" i="82"/>
  <c r="I310" i="82"/>
  <c r="M310" i="82" s="1"/>
  <c r="N335" i="82"/>
  <c r="M342" i="82"/>
  <c r="N342" i="82" s="1"/>
  <c r="M365" i="82"/>
  <c r="N365" i="82" s="1"/>
  <c r="M367" i="82"/>
  <c r="N367" i="82" s="1"/>
  <c r="M386" i="82"/>
  <c r="M408" i="82"/>
  <c r="G50" i="82"/>
  <c r="I101" i="82"/>
  <c r="M101" i="82" s="1"/>
  <c r="N101" i="82" s="1"/>
  <c r="K95" i="82"/>
  <c r="L95" i="82" s="1"/>
  <c r="M95" i="82" s="1"/>
  <c r="N95" i="82" s="1"/>
  <c r="K50" i="82"/>
  <c r="L116" i="82"/>
  <c r="J115" i="82"/>
  <c r="F125" i="82"/>
  <c r="I116" i="82"/>
  <c r="M116" i="82" s="1"/>
  <c r="G115" i="82"/>
  <c r="F141" i="82"/>
  <c r="L168" i="82"/>
  <c r="J167" i="82"/>
  <c r="J175" i="82"/>
  <c r="L180" i="82"/>
  <c r="M81" i="82"/>
  <c r="N81" i="82" s="1"/>
  <c r="I22" i="82"/>
  <c r="I29" i="82"/>
  <c r="M43" i="82"/>
  <c r="N23" i="82"/>
  <c r="M36" i="82"/>
  <c r="N36" i="82" s="1"/>
  <c r="L101" i="82"/>
  <c r="M127" i="82"/>
  <c r="N127" i="82" s="1"/>
  <c r="K148" i="82"/>
  <c r="K147" i="82" s="1"/>
  <c r="K139" i="82" s="1"/>
  <c r="M150" i="82"/>
  <c r="M156" i="82"/>
  <c r="N156" i="82" s="1"/>
  <c r="M157" i="82"/>
  <c r="I176" i="82"/>
  <c r="M176" i="82" s="1"/>
  <c r="H175" i="82"/>
  <c r="H174" i="82" s="1"/>
  <c r="H173" i="82" s="1"/>
  <c r="H186" i="82"/>
  <c r="H185" i="82" s="1"/>
  <c r="K113" i="82"/>
  <c r="K99" i="82" s="1"/>
  <c r="L99" i="82" s="1"/>
  <c r="M99" i="82" s="1"/>
  <c r="N99" i="82" s="1"/>
  <c r="K47" i="82"/>
  <c r="J147" i="82"/>
  <c r="I187" i="82"/>
  <c r="G186" i="82"/>
  <c r="N117" i="82"/>
  <c r="N177" i="82"/>
  <c r="N84" i="82"/>
  <c r="H139" i="82"/>
  <c r="N159" i="82"/>
  <c r="F34" i="82"/>
  <c r="F148" i="82"/>
  <c r="F167" i="82"/>
  <c r="F175" i="82"/>
  <c r="L187" i="82"/>
  <c r="J186" i="82"/>
  <c r="H148" i="82"/>
  <c r="H147" i="82" s="1"/>
  <c r="I159" i="82"/>
  <c r="M159" i="82" s="1"/>
  <c r="N176" i="82"/>
  <c r="G199" i="82"/>
  <c r="L202" i="82"/>
  <c r="J201" i="82"/>
  <c r="F21" i="82"/>
  <c r="J21" i="82"/>
  <c r="I30" i="82"/>
  <c r="M30" i="82" s="1"/>
  <c r="N30" i="82" s="1"/>
  <c r="F76" i="82"/>
  <c r="F116" i="82"/>
  <c r="I117" i="82"/>
  <c r="M117" i="82" s="1"/>
  <c r="L132" i="82"/>
  <c r="M132" i="82" s="1"/>
  <c r="N132" i="82" s="1"/>
  <c r="L149" i="82"/>
  <c r="M149" i="82" s="1"/>
  <c r="N149" i="82" s="1"/>
  <c r="L169" i="82"/>
  <c r="M169" i="82" s="1"/>
  <c r="N169" i="82" s="1"/>
  <c r="L181" i="82"/>
  <c r="M181" i="82" s="1"/>
  <c r="N181" i="82" s="1"/>
  <c r="F187" i="82"/>
  <c r="I188" i="82"/>
  <c r="M188" i="82" s="1"/>
  <c r="N188" i="82" s="1"/>
  <c r="K208" i="82"/>
  <c r="K207" i="82" s="1"/>
  <c r="K206" i="82" s="1"/>
  <c r="N236" i="82"/>
  <c r="L243" i="82"/>
  <c r="L244" i="82"/>
  <c r="M252" i="82"/>
  <c r="N252" i="82" s="1"/>
  <c r="M273" i="82"/>
  <c r="N320" i="82"/>
  <c r="H201" i="82"/>
  <c r="H199" i="82" s="1"/>
  <c r="H198" i="82" s="1"/>
  <c r="I202" i="82"/>
  <c r="I217" i="82"/>
  <c r="M217" i="82" s="1"/>
  <c r="N217" i="82" s="1"/>
  <c r="G216" i="82"/>
  <c r="I216" i="82" s="1"/>
  <c r="L227" i="82"/>
  <c r="J226" i="82"/>
  <c r="L241" i="82"/>
  <c r="J240" i="82"/>
  <c r="N43" i="82"/>
  <c r="N143" i="82"/>
  <c r="N150" i="82"/>
  <c r="N223" i="82"/>
  <c r="J208" i="82"/>
  <c r="L212" i="82"/>
  <c r="M212" i="82" s="1"/>
  <c r="N212" i="82" s="1"/>
  <c r="F239" i="82"/>
  <c r="F240" i="82"/>
  <c r="I244" i="82"/>
  <c r="G243" i="82"/>
  <c r="F280" i="82"/>
  <c r="I319" i="82"/>
  <c r="M319" i="82" s="1"/>
  <c r="N319" i="82" s="1"/>
  <c r="H314" i="82"/>
  <c r="H313" i="82" s="1"/>
  <c r="H312" i="82" s="1"/>
  <c r="J35" i="82"/>
  <c r="J42" i="82"/>
  <c r="L42" i="82" s="1"/>
  <c r="M42" i="82" s="1"/>
  <c r="N42" i="82" s="1"/>
  <c r="J126" i="82"/>
  <c r="G141" i="82"/>
  <c r="J142" i="82"/>
  <c r="G148" i="82"/>
  <c r="N157" i="82"/>
  <c r="G168" i="82"/>
  <c r="G180" i="82"/>
  <c r="F194" i="82"/>
  <c r="J194" i="82"/>
  <c r="L194" i="82" s="1"/>
  <c r="M194" i="82" s="1"/>
  <c r="M195" i="82"/>
  <c r="N195" i="82" s="1"/>
  <c r="M200" i="82"/>
  <c r="N200" i="82" s="1"/>
  <c r="I204" i="82"/>
  <c r="M204" i="82" s="1"/>
  <c r="N204" i="82" s="1"/>
  <c r="I224" i="82"/>
  <c r="M224" i="82" s="1"/>
  <c r="N273" i="82"/>
  <c r="N292" i="82"/>
  <c r="N372" i="82"/>
  <c r="I210" i="82"/>
  <c r="M210" i="82" s="1"/>
  <c r="N210" i="82" s="1"/>
  <c r="G209" i="82"/>
  <c r="G222" i="82"/>
  <c r="I226" i="82"/>
  <c r="L235" i="82"/>
  <c r="M235" i="82" s="1"/>
  <c r="N235" i="82" s="1"/>
  <c r="J234" i="82"/>
  <c r="I259" i="82"/>
  <c r="H258" i="82"/>
  <c r="L305" i="82"/>
  <c r="K301" i="82"/>
  <c r="K300" i="82" s="1"/>
  <c r="K299" i="82" s="1"/>
  <c r="K298" i="82" s="1"/>
  <c r="I309" i="82"/>
  <c r="M309" i="82" s="1"/>
  <c r="N309" i="82" s="1"/>
  <c r="H301" i="82"/>
  <c r="H300" i="82" s="1"/>
  <c r="H299" i="82" s="1"/>
  <c r="G21" i="82"/>
  <c r="I203" i="82"/>
  <c r="H208" i="82"/>
  <c r="H207" i="82" s="1"/>
  <c r="H206" i="82" s="1"/>
  <c r="L217" i="82"/>
  <c r="I223" i="82"/>
  <c r="M223" i="82" s="1"/>
  <c r="N224" i="82"/>
  <c r="M227" i="82"/>
  <c r="N227" i="82" s="1"/>
  <c r="M233" i="82"/>
  <c r="N233" i="82" s="1"/>
  <c r="M262" i="82"/>
  <c r="N262" i="82" s="1"/>
  <c r="N302" i="82"/>
  <c r="M303" i="82"/>
  <c r="N303" i="82" s="1"/>
  <c r="N306" i="82"/>
  <c r="M316" i="82"/>
  <c r="N316" i="82" s="1"/>
  <c r="M323" i="82"/>
  <c r="N323" i="82" s="1"/>
  <c r="N347" i="82"/>
  <c r="N377" i="82"/>
  <c r="M378" i="82"/>
  <c r="N378" i="82" s="1"/>
  <c r="F251" i="82"/>
  <c r="J251" i="82"/>
  <c r="F256" i="82"/>
  <c r="G305" i="82"/>
  <c r="G314" i="82"/>
  <c r="F315" i="82"/>
  <c r="J315" i="82"/>
  <c r="F322" i="82"/>
  <c r="J322" i="82"/>
  <c r="L322" i="82" s="1"/>
  <c r="M322" i="82" s="1"/>
  <c r="G331" i="82"/>
  <c r="F332" i="82"/>
  <c r="J332" i="82"/>
  <c r="H334" i="82"/>
  <c r="G339" i="82"/>
  <c r="F340" i="82"/>
  <c r="J340" i="82"/>
  <c r="G343" i="82"/>
  <c r="F344" i="82"/>
  <c r="J344" i="82"/>
  <c r="H346" i="82"/>
  <c r="F351" i="82"/>
  <c r="G354" i="82"/>
  <c r="K354" i="82"/>
  <c r="F360" i="82"/>
  <c r="J360" i="82"/>
  <c r="L360" i="82" s="1"/>
  <c r="M360" i="82" s="1"/>
  <c r="H363" i="82"/>
  <c r="H359" i="82" s="1"/>
  <c r="H358" i="82" s="1"/>
  <c r="H357" i="82" s="1"/>
  <c r="H350" i="82" s="1"/>
  <c r="G370" i="82"/>
  <c r="F371" i="82"/>
  <c r="J371" i="82"/>
  <c r="F376" i="82"/>
  <c r="J376" i="82"/>
  <c r="G380" i="82"/>
  <c r="K380" i="82"/>
  <c r="K376" i="82" s="1"/>
  <c r="K375" i="82" s="1"/>
  <c r="K374" i="82" s="1"/>
  <c r="I260" i="82"/>
  <c r="M260" i="82" s="1"/>
  <c r="N260" i="82" s="1"/>
  <c r="G363" i="82"/>
  <c r="K363" i="82"/>
  <c r="K359" i="82" s="1"/>
  <c r="K358" i="82" s="1"/>
  <c r="K357" i="82" s="1"/>
  <c r="M294" i="76"/>
  <c r="N294" i="76" s="1"/>
  <c r="M230" i="76"/>
  <c r="N230" i="76" s="1"/>
  <c r="I157" i="76"/>
  <c r="M233" i="76"/>
  <c r="N233" i="76" s="1"/>
  <c r="M200" i="76"/>
  <c r="N200" i="76" s="1"/>
  <c r="M228" i="76"/>
  <c r="N228" i="76" s="1"/>
  <c r="M178" i="76"/>
  <c r="N178" i="76" s="1"/>
  <c r="M196" i="76"/>
  <c r="N196" i="76" s="1"/>
  <c r="M144" i="76"/>
  <c r="N144" i="76" s="1"/>
  <c r="M98" i="76"/>
  <c r="N98" i="76" s="1"/>
  <c r="M44" i="76"/>
  <c r="N44" i="76" s="1"/>
  <c r="L157" i="76"/>
  <c r="M146" i="76"/>
  <c r="N146" i="76" s="1"/>
  <c r="M158" i="76"/>
  <c r="N158" i="76" s="1"/>
  <c r="I81" i="76"/>
  <c r="M81" i="76" s="1"/>
  <c r="N81" i="76" s="1"/>
  <c r="M152" i="76"/>
  <c r="N152" i="76" s="1"/>
  <c r="M216" i="82" l="1"/>
  <c r="N216" i="82" s="1"/>
  <c r="G280" i="82"/>
  <c r="G250" i="82"/>
  <c r="G125" i="82"/>
  <c r="G124" i="82" s="1"/>
  <c r="G232" i="82"/>
  <c r="I232" i="82" s="1"/>
  <c r="H184" i="82"/>
  <c r="H138" i="82" s="1"/>
  <c r="L281" i="82"/>
  <c r="J280" i="82"/>
  <c r="M203" i="82"/>
  <c r="N203" i="82" s="1"/>
  <c r="K138" i="82"/>
  <c r="L272" i="82"/>
  <c r="M272" i="82" s="1"/>
  <c r="N272" i="82" s="1"/>
  <c r="J271" i="82"/>
  <c r="M381" i="82"/>
  <c r="N381" i="82" s="1"/>
  <c r="L380" i="82"/>
  <c r="M187" i="82"/>
  <c r="N187" i="82" s="1"/>
  <c r="M29" i="82"/>
  <c r="N29" i="82" s="1"/>
  <c r="I270" i="82"/>
  <c r="G269" i="82"/>
  <c r="I269" i="82" s="1"/>
  <c r="L259" i="82"/>
  <c r="M259" i="82" s="1"/>
  <c r="N259" i="82" s="1"/>
  <c r="J258" i="82"/>
  <c r="L300" i="82"/>
  <c r="G34" i="82"/>
  <c r="G33" i="82" s="1"/>
  <c r="M244" i="82"/>
  <c r="N244" i="82" s="1"/>
  <c r="L147" i="82"/>
  <c r="M22" i="82"/>
  <c r="N22" i="82" s="1"/>
  <c r="M281" i="82"/>
  <c r="N281" i="82" s="1"/>
  <c r="I51" i="82"/>
  <c r="M51" i="82" s="1"/>
  <c r="N51" i="82" s="1"/>
  <c r="H50" i="82"/>
  <c r="H49" i="82" s="1"/>
  <c r="H48" i="82" s="1"/>
  <c r="H47" i="82" s="1"/>
  <c r="L376" i="82"/>
  <c r="J375" i="82"/>
  <c r="G376" i="82"/>
  <c r="I380" i="82"/>
  <c r="M380" i="82" s="1"/>
  <c r="N380" i="82" s="1"/>
  <c r="F343" i="82"/>
  <c r="G140" i="82"/>
  <c r="I141" i="82"/>
  <c r="I363" i="82"/>
  <c r="G359" i="82"/>
  <c r="L371" i="82"/>
  <c r="M371" i="82" s="1"/>
  <c r="N371" i="82" s="1"/>
  <c r="J370" i="82"/>
  <c r="I354" i="82"/>
  <c r="M354" i="82" s="1"/>
  <c r="N354" i="82" s="1"/>
  <c r="G353" i="82"/>
  <c r="F339" i="82"/>
  <c r="F331" i="82"/>
  <c r="L315" i="82"/>
  <c r="M315" i="82" s="1"/>
  <c r="J314" i="82"/>
  <c r="I222" i="82"/>
  <c r="G221" i="82"/>
  <c r="I221" i="82" s="1"/>
  <c r="J141" i="82"/>
  <c r="L142" i="82"/>
  <c r="M142" i="82" s="1"/>
  <c r="N142" i="82" s="1"/>
  <c r="I125" i="82"/>
  <c r="I243" i="82"/>
  <c r="M243" i="82" s="1"/>
  <c r="N243" i="82" s="1"/>
  <c r="G242" i="82"/>
  <c r="F375" i="82"/>
  <c r="L354" i="82"/>
  <c r="K353" i="82"/>
  <c r="I346" i="82"/>
  <c r="M346" i="82" s="1"/>
  <c r="N346" i="82" s="1"/>
  <c r="H345" i="82"/>
  <c r="L340" i="82"/>
  <c r="M340" i="82" s="1"/>
  <c r="N340" i="82" s="1"/>
  <c r="J339" i="82"/>
  <c r="L332" i="82"/>
  <c r="J331" i="82"/>
  <c r="L331" i="82" s="1"/>
  <c r="G301" i="82"/>
  <c r="I305" i="82"/>
  <c r="M305" i="82" s="1"/>
  <c r="N305" i="82" s="1"/>
  <c r="L251" i="82"/>
  <c r="M251" i="82" s="1"/>
  <c r="J250" i="82"/>
  <c r="I258" i="82"/>
  <c r="H257" i="82"/>
  <c r="G175" i="82"/>
  <c r="I180" i="82"/>
  <c r="M180" i="82" s="1"/>
  <c r="N180" i="82" s="1"/>
  <c r="G147" i="82"/>
  <c r="I147" i="82" s="1"/>
  <c r="M147" i="82" s="1"/>
  <c r="I148" i="82"/>
  <c r="J125" i="82"/>
  <c r="L126" i="82"/>
  <c r="M126" i="82" s="1"/>
  <c r="N126" i="82" s="1"/>
  <c r="I34" i="82"/>
  <c r="F279" i="82"/>
  <c r="L240" i="82"/>
  <c r="J239" i="82"/>
  <c r="L239" i="82" s="1"/>
  <c r="L226" i="82"/>
  <c r="J222" i="82"/>
  <c r="L21" i="82"/>
  <c r="J20" i="82"/>
  <c r="I199" i="82"/>
  <c r="G198" i="82"/>
  <c r="I198" i="82" s="1"/>
  <c r="F33" i="82"/>
  <c r="G49" i="82"/>
  <c r="J359" i="82"/>
  <c r="N194" i="82"/>
  <c r="L363" i="82"/>
  <c r="N322" i="82"/>
  <c r="M226" i="82"/>
  <c r="N226" i="82" s="1"/>
  <c r="M202" i="82"/>
  <c r="N202" i="82" s="1"/>
  <c r="L148" i="82"/>
  <c r="I334" i="82"/>
  <c r="M334" i="82" s="1"/>
  <c r="N334" i="82" s="1"/>
  <c r="H333" i="82"/>
  <c r="I21" i="82"/>
  <c r="G20" i="82"/>
  <c r="J34" i="82"/>
  <c r="L35" i="82"/>
  <c r="M35" i="82" s="1"/>
  <c r="N35" i="82" s="1"/>
  <c r="F186" i="82"/>
  <c r="L186" i="82"/>
  <c r="J185" i="82"/>
  <c r="F166" i="82"/>
  <c r="L167" i="82"/>
  <c r="J166" i="82"/>
  <c r="I115" i="82"/>
  <c r="G114" i="82"/>
  <c r="L115" i="82"/>
  <c r="J114" i="82"/>
  <c r="I370" i="82"/>
  <c r="G369" i="82"/>
  <c r="F370" i="82"/>
  <c r="I250" i="82"/>
  <c r="G249" i="82"/>
  <c r="I209" i="82"/>
  <c r="M209" i="82" s="1"/>
  <c r="N209" i="82" s="1"/>
  <c r="G208" i="82"/>
  <c r="N76" i="82"/>
  <c r="F50" i="82"/>
  <c r="L201" i="82"/>
  <c r="J199" i="82"/>
  <c r="F147" i="82"/>
  <c r="J174" i="82"/>
  <c r="L175" i="82"/>
  <c r="F140" i="82"/>
  <c r="I314" i="82"/>
  <c r="G313" i="82"/>
  <c r="I339" i="82"/>
  <c r="G338" i="82"/>
  <c r="F314" i="82"/>
  <c r="N315" i="82"/>
  <c r="L234" i="82"/>
  <c r="M234" i="82" s="1"/>
  <c r="N234" i="82" s="1"/>
  <c r="J232" i="82"/>
  <c r="G167" i="82"/>
  <c r="I168" i="82"/>
  <c r="M168" i="82" s="1"/>
  <c r="N168" i="82" s="1"/>
  <c r="L208" i="82"/>
  <c r="J207" i="82"/>
  <c r="L344" i="82"/>
  <c r="J343" i="82"/>
  <c r="L343" i="82" s="1"/>
  <c r="F250" i="82"/>
  <c r="N251" i="82"/>
  <c r="F115" i="82"/>
  <c r="N116" i="82"/>
  <c r="F20" i="82"/>
  <c r="F174" i="82"/>
  <c r="I186" i="82"/>
  <c r="G185" i="82"/>
  <c r="F124" i="82"/>
  <c r="L50" i="82"/>
  <c r="K49" i="82"/>
  <c r="N360" i="82"/>
  <c r="F359" i="82"/>
  <c r="L299" i="82"/>
  <c r="L301" i="82"/>
  <c r="I201" i="82"/>
  <c r="M157" i="76"/>
  <c r="I336" i="76"/>
  <c r="I342" i="76"/>
  <c r="I50" i="82" l="1"/>
  <c r="L271" i="82"/>
  <c r="M271" i="82" s="1"/>
  <c r="N271" i="82" s="1"/>
  <c r="J270" i="82"/>
  <c r="L258" i="82"/>
  <c r="M258" i="82" s="1"/>
  <c r="N258" i="82" s="1"/>
  <c r="J257" i="82"/>
  <c r="L280" i="82"/>
  <c r="J279" i="82"/>
  <c r="I280" i="82"/>
  <c r="M280" i="82" s="1"/>
  <c r="N280" i="82" s="1"/>
  <c r="G279" i="82"/>
  <c r="G231" i="82"/>
  <c r="I231" i="82" s="1"/>
  <c r="M186" i="82"/>
  <c r="F123" i="82"/>
  <c r="F19" i="82"/>
  <c r="F249" i="82"/>
  <c r="I249" i="82"/>
  <c r="G248" i="82"/>
  <c r="L34" i="82"/>
  <c r="J33" i="82"/>
  <c r="L49" i="82"/>
  <c r="K48" i="82"/>
  <c r="L48" i="82" s="1"/>
  <c r="I185" i="82"/>
  <c r="G184" i="82"/>
  <c r="I184" i="82" s="1"/>
  <c r="L207" i="82"/>
  <c r="J231" i="82"/>
  <c r="L231" i="82" s="1"/>
  <c r="L232" i="82"/>
  <c r="M232" i="82" s="1"/>
  <c r="N232" i="82" s="1"/>
  <c r="I338" i="82"/>
  <c r="G337" i="82"/>
  <c r="I337" i="82" s="1"/>
  <c r="I313" i="82"/>
  <c r="G312" i="82"/>
  <c r="I312" i="82" s="1"/>
  <c r="F369" i="82"/>
  <c r="J113" i="82"/>
  <c r="L113" i="82" s="1"/>
  <c r="J47" i="82"/>
  <c r="L47" i="82" s="1"/>
  <c r="L114" i="82"/>
  <c r="J184" i="82"/>
  <c r="L184" i="82" s="1"/>
  <c r="L185" i="82"/>
  <c r="H332" i="82"/>
  <c r="I333" i="82"/>
  <c r="M333" i="82" s="1"/>
  <c r="N333" i="82" s="1"/>
  <c r="I33" i="82"/>
  <c r="G32" i="82"/>
  <c r="I32" i="82" s="1"/>
  <c r="I301" i="82"/>
  <c r="M301" i="82" s="1"/>
  <c r="N301" i="82" s="1"/>
  <c r="G300" i="82"/>
  <c r="L141" i="82"/>
  <c r="M141" i="82" s="1"/>
  <c r="N141" i="82" s="1"/>
  <c r="J140" i="82"/>
  <c r="I140" i="82"/>
  <c r="G139" i="82"/>
  <c r="I376" i="82"/>
  <c r="M376" i="82" s="1"/>
  <c r="N376" i="82" s="1"/>
  <c r="G375" i="82"/>
  <c r="F173" i="82"/>
  <c r="F114" i="82"/>
  <c r="I167" i="82"/>
  <c r="M167" i="82" s="1"/>
  <c r="N167" i="82" s="1"/>
  <c r="G166" i="82"/>
  <c r="F313" i="82"/>
  <c r="F139" i="82"/>
  <c r="F49" i="82"/>
  <c r="G207" i="82"/>
  <c r="I208" i="82"/>
  <c r="M208" i="82" s="1"/>
  <c r="N208" i="82" s="1"/>
  <c r="I369" i="82"/>
  <c r="G368" i="82"/>
  <c r="I368" i="82" s="1"/>
  <c r="F165" i="82"/>
  <c r="F185" i="82"/>
  <c r="N186" i="82"/>
  <c r="F32" i="82"/>
  <c r="L20" i="82"/>
  <c r="J19" i="82"/>
  <c r="H256" i="82"/>
  <c r="I257" i="82"/>
  <c r="L339" i="82"/>
  <c r="M339" i="82" s="1"/>
  <c r="N339" i="82" s="1"/>
  <c r="J338" i="82"/>
  <c r="K352" i="82"/>
  <c r="L353" i="82"/>
  <c r="G241" i="82"/>
  <c r="I242" i="82"/>
  <c r="M242" i="82" s="1"/>
  <c r="N242" i="82" s="1"/>
  <c r="L314" i="82"/>
  <c r="M314" i="82" s="1"/>
  <c r="N314" i="82" s="1"/>
  <c r="J313" i="82"/>
  <c r="L370" i="82"/>
  <c r="J369" i="82"/>
  <c r="M231" i="82"/>
  <c r="N231" i="82" s="1"/>
  <c r="M50" i="82"/>
  <c r="N50" i="82" s="1"/>
  <c r="M370" i="82"/>
  <c r="N370" i="82" s="1"/>
  <c r="M201" i="82"/>
  <c r="N201" i="82" s="1"/>
  <c r="N147" i="82"/>
  <c r="M115" i="82"/>
  <c r="N115" i="82" s="1"/>
  <c r="M21" i="82"/>
  <c r="N21" i="82" s="1"/>
  <c r="M34" i="82"/>
  <c r="N34" i="82" s="1"/>
  <c r="M148" i="82"/>
  <c r="N148" i="82" s="1"/>
  <c r="F358" i="82"/>
  <c r="L174" i="82"/>
  <c r="J173" i="82"/>
  <c r="L173" i="82" s="1"/>
  <c r="I114" i="82"/>
  <c r="M114" i="82" s="1"/>
  <c r="G113" i="82"/>
  <c r="I113" i="82" s="1"/>
  <c r="M113" i="82" s="1"/>
  <c r="G19" i="82"/>
  <c r="I20" i="82"/>
  <c r="L359" i="82"/>
  <c r="J358" i="82"/>
  <c r="I49" i="82"/>
  <c r="G48" i="82"/>
  <c r="F278" i="82"/>
  <c r="L125" i="82"/>
  <c r="J124" i="82"/>
  <c r="I175" i="82"/>
  <c r="M175" i="82" s="1"/>
  <c r="N175" i="82" s="1"/>
  <c r="G174" i="82"/>
  <c r="F374" i="82"/>
  <c r="I124" i="82"/>
  <c r="G123" i="82"/>
  <c r="M199" i="82"/>
  <c r="N199" i="82" s="1"/>
  <c r="M222" i="82"/>
  <c r="N222" i="82" s="1"/>
  <c r="M363" i="82"/>
  <c r="N363" i="82" s="1"/>
  <c r="J198" i="82"/>
  <c r="L198" i="82" s="1"/>
  <c r="M198" i="82" s="1"/>
  <c r="N198" i="82" s="1"/>
  <c r="L199" i="82"/>
  <c r="L222" i="82"/>
  <c r="J221" i="82"/>
  <c r="L221" i="82" s="1"/>
  <c r="M221" i="82" s="1"/>
  <c r="N221" i="82" s="1"/>
  <c r="L250" i="82"/>
  <c r="M250" i="82" s="1"/>
  <c r="N250" i="82" s="1"/>
  <c r="J249" i="82"/>
  <c r="H344" i="82"/>
  <c r="I345" i="82"/>
  <c r="M345" i="82" s="1"/>
  <c r="N345" i="82" s="1"/>
  <c r="I353" i="82"/>
  <c r="M353" i="82" s="1"/>
  <c r="N353" i="82" s="1"/>
  <c r="G352" i="82"/>
  <c r="I359" i="82"/>
  <c r="G358" i="82"/>
  <c r="L375" i="82"/>
  <c r="J374" i="82"/>
  <c r="L374" i="82" s="1"/>
  <c r="M125" i="82"/>
  <c r="N125" i="82" s="1"/>
  <c r="L166" i="82"/>
  <c r="J165" i="82"/>
  <c r="L165" i="82" s="1"/>
  <c r="F338" i="82"/>
  <c r="L257" i="82" l="1"/>
  <c r="J256" i="82"/>
  <c r="L256" i="82" s="1"/>
  <c r="M257" i="82"/>
  <c r="N257" i="82" s="1"/>
  <c r="L279" i="82"/>
  <c r="J278" i="82"/>
  <c r="L278" i="82" s="1"/>
  <c r="I279" i="82"/>
  <c r="M279" i="82" s="1"/>
  <c r="N279" i="82" s="1"/>
  <c r="G278" i="82"/>
  <c r="I278" i="82" s="1"/>
  <c r="L270" i="82"/>
  <c r="M270" i="82" s="1"/>
  <c r="N270" i="82" s="1"/>
  <c r="J269" i="82"/>
  <c r="L269" i="82" s="1"/>
  <c r="M269" i="82" s="1"/>
  <c r="N269" i="82" s="1"/>
  <c r="M184" i="82"/>
  <c r="F337" i="82"/>
  <c r="H247" i="82"/>
  <c r="I256" i="82"/>
  <c r="I207" i="82"/>
  <c r="M207" i="82" s="1"/>
  <c r="N207" i="82" s="1"/>
  <c r="G206" i="82"/>
  <c r="I206" i="82" s="1"/>
  <c r="G173" i="82"/>
  <c r="I173" i="82" s="1"/>
  <c r="M173" i="82" s="1"/>
  <c r="N173" i="82" s="1"/>
  <c r="I174" i="82"/>
  <c r="M174" i="82" s="1"/>
  <c r="N174" i="82" s="1"/>
  <c r="I139" i="82"/>
  <c r="G351" i="82"/>
  <c r="I352" i="82"/>
  <c r="J248" i="82"/>
  <c r="L249" i="82"/>
  <c r="M249" i="82" s="1"/>
  <c r="N249" i="82" s="1"/>
  <c r="I19" i="82"/>
  <c r="G18" i="82"/>
  <c r="I241" i="82"/>
  <c r="M241" i="82" s="1"/>
  <c r="N241" i="82" s="1"/>
  <c r="G240" i="82"/>
  <c r="G247" i="82"/>
  <c r="I247" i="82" s="1"/>
  <c r="I248" i="82"/>
  <c r="F18" i="82"/>
  <c r="H343" i="82"/>
  <c r="I343" i="82" s="1"/>
  <c r="M343" i="82" s="1"/>
  <c r="N343" i="82" s="1"/>
  <c r="I344" i="82"/>
  <c r="M344" i="82" s="1"/>
  <c r="N344" i="82" s="1"/>
  <c r="L124" i="82"/>
  <c r="J122" i="82"/>
  <c r="L122" i="82" s="1"/>
  <c r="J123" i="82"/>
  <c r="L123" i="82" s="1"/>
  <c r="I48" i="82"/>
  <c r="M48" i="82" s="1"/>
  <c r="G47" i="82"/>
  <c r="I47" i="82" s="1"/>
  <c r="M47" i="82" s="1"/>
  <c r="J368" i="82"/>
  <c r="L368" i="82" s="1"/>
  <c r="M368" i="82" s="1"/>
  <c r="L369" i="82"/>
  <c r="M369" i="82" s="1"/>
  <c r="N369" i="82" s="1"/>
  <c r="J337" i="82"/>
  <c r="L337" i="82" s="1"/>
  <c r="M337" i="82" s="1"/>
  <c r="L338" i="82"/>
  <c r="L19" i="82"/>
  <c r="N49" i="82"/>
  <c r="F48" i="82"/>
  <c r="I375" i="82"/>
  <c r="M375" i="82" s="1"/>
  <c r="N375" i="82" s="1"/>
  <c r="G374" i="82"/>
  <c r="I374" i="82" s="1"/>
  <c r="M374" i="82" s="1"/>
  <c r="N374" i="82" s="1"/>
  <c r="L140" i="82"/>
  <c r="J139" i="82"/>
  <c r="F248" i="82"/>
  <c r="F122" i="82"/>
  <c r="M338" i="82"/>
  <c r="N338" i="82" s="1"/>
  <c r="M49" i="82"/>
  <c r="J206" i="82"/>
  <c r="L206" i="82" s="1"/>
  <c r="M359" i="82"/>
  <c r="N359" i="82" s="1"/>
  <c r="M20" i="82"/>
  <c r="N20" i="82" s="1"/>
  <c r="M185" i="82"/>
  <c r="N185" i="82" s="1"/>
  <c r="F357" i="82"/>
  <c r="L33" i="82"/>
  <c r="J32" i="82"/>
  <c r="L32" i="82" s="1"/>
  <c r="M32" i="82" s="1"/>
  <c r="N32" i="82" s="1"/>
  <c r="M140" i="82"/>
  <c r="N140" i="82" s="1"/>
  <c r="K351" i="82"/>
  <c r="L351" i="82" s="1"/>
  <c r="K350" i="82"/>
  <c r="K17" i="82" s="1"/>
  <c r="K385" i="82" s="1"/>
  <c r="K404" i="82" s="1"/>
  <c r="L352" i="82"/>
  <c r="J357" i="82"/>
  <c r="L358" i="82"/>
  <c r="F368" i="82"/>
  <c r="M124" i="82"/>
  <c r="N124" i="82" s="1"/>
  <c r="I358" i="82"/>
  <c r="G357" i="82"/>
  <c r="I357" i="82" s="1"/>
  <c r="H331" i="82"/>
  <c r="I332" i="82"/>
  <c r="M332" i="82" s="1"/>
  <c r="N332" i="82" s="1"/>
  <c r="I123" i="82"/>
  <c r="G122" i="82"/>
  <c r="I122" i="82" s="1"/>
  <c r="J312" i="82"/>
  <c r="L313" i="82"/>
  <c r="M313" i="82" s="1"/>
  <c r="N313" i="82" s="1"/>
  <c r="I166" i="82"/>
  <c r="M166" i="82" s="1"/>
  <c r="N166" i="82" s="1"/>
  <c r="G165" i="82"/>
  <c r="I165" i="82" s="1"/>
  <c r="M165" i="82" s="1"/>
  <c r="N165" i="82" s="1"/>
  <c r="I300" i="82"/>
  <c r="M300" i="82" s="1"/>
  <c r="N300" i="82" s="1"/>
  <c r="G299" i="82"/>
  <c r="F184" i="82"/>
  <c r="N184" i="82" s="1"/>
  <c r="F312" i="82"/>
  <c r="F113" i="82"/>
  <c r="N113" i="82" s="1"/>
  <c r="N114" i="82"/>
  <c r="M33" i="82"/>
  <c r="N33" i="82" s="1"/>
  <c r="K282" i="76"/>
  <c r="L296" i="76"/>
  <c r="M296" i="76" s="1"/>
  <c r="K292" i="76"/>
  <c r="K150" i="76"/>
  <c r="M206" i="82" l="1"/>
  <c r="N206" i="82" s="1"/>
  <c r="G138" i="82"/>
  <c r="I138" i="82" s="1"/>
  <c r="M256" i="82"/>
  <c r="N256" i="82" s="1"/>
  <c r="M278" i="82"/>
  <c r="N278" i="82" s="1"/>
  <c r="F298" i="82"/>
  <c r="J298" i="82"/>
  <c r="L298" i="82" s="1"/>
  <c r="L312" i="82"/>
  <c r="M312" i="82" s="1"/>
  <c r="N312" i="82" s="1"/>
  <c r="F247" i="82"/>
  <c r="I299" i="82"/>
  <c r="M299" i="82" s="1"/>
  <c r="N299" i="82" s="1"/>
  <c r="G298" i="82"/>
  <c r="L357" i="82"/>
  <c r="J350" i="82"/>
  <c r="L350" i="82" s="1"/>
  <c r="I351" i="82"/>
  <c r="M351" i="82" s="1"/>
  <c r="N351" i="82" s="1"/>
  <c r="G350" i="82"/>
  <c r="I350" i="82" s="1"/>
  <c r="L139" i="82"/>
  <c r="J138" i="82"/>
  <c r="L138" i="82" s="1"/>
  <c r="M138" i="82" s="1"/>
  <c r="F47" i="82"/>
  <c r="N47" i="82" s="1"/>
  <c r="N48" i="82"/>
  <c r="L248" i="82"/>
  <c r="J247" i="82"/>
  <c r="L247" i="82" s="1"/>
  <c r="M247" i="82" s="1"/>
  <c r="J18" i="82"/>
  <c r="M123" i="82"/>
  <c r="N123" i="82" s="1"/>
  <c r="M358" i="82"/>
  <c r="N358" i="82" s="1"/>
  <c r="M122" i="82"/>
  <c r="N122" i="82" s="1"/>
  <c r="M357" i="82"/>
  <c r="N368" i="82"/>
  <c r="F138" i="82"/>
  <c r="M139" i="82"/>
  <c r="N139" i="82" s="1"/>
  <c r="N337" i="82"/>
  <c r="H298" i="82"/>
  <c r="H17" i="82" s="1"/>
  <c r="I331" i="82"/>
  <c r="M331" i="82" s="1"/>
  <c r="N331" i="82" s="1"/>
  <c r="I240" i="82"/>
  <c r="M240" i="82" s="1"/>
  <c r="N240" i="82" s="1"/>
  <c r="G239" i="82"/>
  <c r="I239" i="82" s="1"/>
  <c r="M239" i="82" s="1"/>
  <c r="N239" i="82" s="1"/>
  <c r="N357" i="82"/>
  <c r="F350" i="82"/>
  <c r="I18" i="82"/>
  <c r="M19" i="82"/>
  <c r="N19" i="82" s="1"/>
  <c r="M248" i="82"/>
  <c r="N248" i="82" s="1"/>
  <c r="M352" i="82"/>
  <c r="N352" i="82" s="1"/>
  <c r="J127" i="76"/>
  <c r="J126" i="76" s="1"/>
  <c r="I419" i="76"/>
  <c r="M419" i="76" s="1"/>
  <c r="L418" i="76"/>
  <c r="M418" i="76" s="1"/>
  <c r="I417" i="76"/>
  <c r="M417" i="76" s="1"/>
  <c r="I416" i="76"/>
  <c r="M416" i="76" s="1"/>
  <c r="I415" i="76"/>
  <c r="M415" i="76" s="1"/>
  <c r="I414" i="76"/>
  <c r="M414" i="76" s="1"/>
  <c r="I413" i="76"/>
  <c r="M413" i="76" s="1"/>
  <c r="L412" i="76"/>
  <c r="I412" i="76"/>
  <c r="L410" i="76"/>
  <c r="I410" i="76"/>
  <c r="L409" i="76"/>
  <c r="I409" i="76"/>
  <c r="L408" i="76"/>
  <c r="I408" i="76"/>
  <c r="L407" i="76"/>
  <c r="I407" i="76"/>
  <c r="J406" i="76"/>
  <c r="G406" i="76"/>
  <c r="I400" i="76"/>
  <c r="M400" i="76" s="1"/>
  <c r="L399" i="76"/>
  <c r="M399" i="76" s="1"/>
  <c r="I398" i="76"/>
  <c r="M398" i="76" s="1"/>
  <c r="I397" i="76"/>
  <c r="M397" i="76" s="1"/>
  <c r="I396" i="76"/>
  <c r="M396" i="76" s="1"/>
  <c r="I395" i="76"/>
  <c r="M395" i="76" s="1"/>
  <c r="L394" i="76"/>
  <c r="I394" i="76"/>
  <c r="L393" i="76"/>
  <c r="I393" i="76"/>
  <c r="L391" i="76"/>
  <c r="H387" i="76"/>
  <c r="L390" i="76"/>
  <c r="I390" i="76"/>
  <c r="L389" i="76"/>
  <c r="I389" i="76"/>
  <c r="L388" i="76"/>
  <c r="I388" i="76"/>
  <c r="J387" i="76"/>
  <c r="G387" i="76"/>
  <c r="L383" i="76"/>
  <c r="I383" i="76"/>
  <c r="K382" i="76"/>
  <c r="K381" i="76" s="1"/>
  <c r="J382" i="76"/>
  <c r="H382" i="76"/>
  <c r="H381" i="76" s="1"/>
  <c r="G382" i="76"/>
  <c r="G381" i="76" s="1"/>
  <c r="F382" i="76"/>
  <c r="F381" i="76" s="1"/>
  <c r="J381" i="76"/>
  <c r="L380" i="76"/>
  <c r="I380" i="76"/>
  <c r="K379" i="76"/>
  <c r="K378" i="76" s="1"/>
  <c r="J379" i="76"/>
  <c r="J378" i="76" s="1"/>
  <c r="H379" i="76"/>
  <c r="H378" i="76" s="1"/>
  <c r="G379" i="76"/>
  <c r="F379" i="76"/>
  <c r="F378" i="76" s="1"/>
  <c r="L374" i="76"/>
  <c r="I374" i="76"/>
  <c r="K373" i="76"/>
  <c r="K372" i="76" s="1"/>
  <c r="K371" i="76" s="1"/>
  <c r="K370" i="76" s="1"/>
  <c r="K369" i="76" s="1"/>
  <c r="J373" i="76"/>
  <c r="J372" i="76" s="1"/>
  <c r="H373" i="76"/>
  <c r="H372" i="76" s="1"/>
  <c r="H371" i="76" s="1"/>
  <c r="H370" i="76" s="1"/>
  <c r="H369" i="76" s="1"/>
  <c r="G373" i="76"/>
  <c r="G372" i="76" s="1"/>
  <c r="F373" i="76"/>
  <c r="L367" i="76"/>
  <c r="I367" i="76"/>
  <c r="K366" i="76"/>
  <c r="J366" i="76"/>
  <c r="H366" i="76"/>
  <c r="G366" i="76"/>
  <c r="L365" i="76"/>
  <c r="I365" i="76"/>
  <c r="K364" i="76"/>
  <c r="J364" i="76"/>
  <c r="H364" i="76"/>
  <c r="G364" i="76"/>
  <c r="F364" i="76"/>
  <c r="F363" i="76" s="1"/>
  <c r="L362" i="76"/>
  <c r="I362" i="76"/>
  <c r="K361" i="76"/>
  <c r="K360" i="76" s="1"/>
  <c r="J361" i="76"/>
  <c r="J360" i="76" s="1"/>
  <c r="H361" i="76"/>
  <c r="H360" i="76" s="1"/>
  <c r="G361" i="76"/>
  <c r="G360" i="76" s="1"/>
  <c r="F361" i="76"/>
  <c r="L356" i="76"/>
  <c r="I356" i="76"/>
  <c r="K355" i="76"/>
  <c r="K354" i="76" s="1"/>
  <c r="J355" i="76"/>
  <c r="H355" i="76"/>
  <c r="H354" i="76" s="1"/>
  <c r="G355" i="76"/>
  <c r="G354" i="76" s="1"/>
  <c r="G353" i="76" s="1"/>
  <c r="G352" i="76" s="1"/>
  <c r="G351" i="76" s="1"/>
  <c r="F355" i="76"/>
  <c r="F354" i="76" s="1"/>
  <c r="F353" i="76" s="1"/>
  <c r="F352" i="76" s="1"/>
  <c r="J354" i="76"/>
  <c r="L348" i="76"/>
  <c r="M348" i="76" s="1"/>
  <c r="N348" i="76" s="1"/>
  <c r="K347" i="76"/>
  <c r="K346" i="76" s="1"/>
  <c r="K345" i="76" s="1"/>
  <c r="K344" i="76" s="1"/>
  <c r="K343" i="76" s="1"/>
  <c r="J347" i="76"/>
  <c r="H347" i="76"/>
  <c r="H346" i="76" s="1"/>
  <c r="H345" i="76" s="1"/>
  <c r="H344" i="76" s="1"/>
  <c r="H343" i="76" s="1"/>
  <c r="G347" i="76"/>
  <c r="F347" i="76"/>
  <c r="F346" i="76" s="1"/>
  <c r="F345" i="76" s="1"/>
  <c r="J346" i="76"/>
  <c r="J345" i="76" s="1"/>
  <c r="L342" i="76"/>
  <c r="M342" i="76" s="1"/>
  <c r="N342" i="76" s="1"/>
  <c r="K341" i="76"/>
  <c r="K340" i="76" s="1"/>
  <c r="K339" i="76" s="1"/>
  <c r="K338" i="76" s="1"/>
  <c r="K337" i="76" s="1"/>
  <c r="J341" i="76"/>
  <c r="J340" i="76" s="1"/>
  <c r="J339" i="76" s="1"/>
  <c r="H341" i="76"/>
  <c r="H340" i="76" s="1"/>
  <c r="H339" i="76" s="1"/>
  <c r="H338" i="76" s="1"/>
  <c r="H337" i="76" s="1"/>
  <c r="G341" i="76"/>
  <c r="G340" i="76" s="1"/>
  <c r="G339" i="76" s="1"/>
  <c r="G338" i="76" s="1"/>
  <c r="F341" i="76"/>
  <c r="F340" i="76" s="1"/>
  <c r="F339" i="76" s="1"/>
  <c r="L336" i="76"/>
  <c r="M336" i="76" s="1"/>
  <c r="N336" i="76" s="1"/>
  <c r="K335" i="76"/>
  <c r="K334" i="76" s="1"/>
  <c r="K333" i="76" s="1"/>
  <c r="K332" i="76" s="1"/>
  <c r="K331" i="76" s="1"/>
  <c r="J335" i="76"/>
  <c r="J334" i="76" s="1"/>
  <c r="J333" i="76" s="1"/>
  <c r="H335" i="76"/>
  <c r="H334" i="76" s="1"/>
  <c r="H333" i="76" s="1"/>
  <c r="H332" i="76" s="1"/>
  <c r="H331" i="76" s="1"/>
  <c r="G335" i="76"/>
  <c r="G334" i="76" s="1"/>
  <c r="G333" i="76" s="1"/>
  <c r="G332" i="76" s="1"/>
  <c r="F335" i="76"/>
  <c r="F334" i="76" s="1"/>
  <c r="F333" i="76" s="1"/>
  <c r="L330" i="76"/>
  <c r="I330" i="76"/>
  <c r="L329" i="76"/>
  <c r="M329" i="76" s="1"/>
  <c r="N329" i="76" s="1"/>
  <c r="K323" i="76"/>
  <c r="L327" i="76"/>
  <c r="M327" i="76" s="1"/>
  <c r="N327" i="76" s="1"/>
  <c r="L326" i="76"/>
  <c r="M326" i="76" s="1"/>
  <c r="N326" i="76" s="1"/>
  <c r="L325" i="76"/>
  <c r="M325" i="76" s="1"/>
  <c r="N325" i="76" s="1"/>
  <c r="J323" i="76"/>
  <c r="H323" i="76"/>
  <c r="H322" i="76" s="1"/>
  <c r="G323" i="76"/>
  <c r="G322" i="76" s="1"/>
  <c r="J322" i="76"/>
  <c r="L321" i="76"/>
  <c r="M321" i="76" s="1"/>
  <c r="N321" i="76" s="1"/>
  <c r="K320" i="76"/>
  <c r="K319" i="76" s="1"/>
  <c r="J320" i="76"/>
  <c r="J319" i="76" s="1"/>
  <c r="H320" i="76"/>
  <c r="G320" i="76"/>
  <c r="G319" i="76" s="1"/>
  <c r="F320" i="76"/>
  <c r="F319" i="76" s="1"/>
  <c r="L317" i="76"/>
  <c r="M317" i="76" s="1"/>
  <c r="N317" i="76" s="1"/>
  <c r="K316" i="76"/>
  <c r="K315" i="76" s="1"/>
  <c r="J316" i="76"/>
  <c r="H316" i="76"/>
  <c r="H315" i="76" s="1"/>
  <c r="G316" i="76"/>
  <c r="G315" i="76" s="1"/>
  <c r="F315" i="76"/>
  <c r="L311" i="76"/>
  <c r="I311" i="76"/>
  <c r="K310" i="76"/>
  <c r="K309" i="76" s="1"/>
  <c r="J310" i="76"/>
  <c r="J309" i="76" s="1"/>
  <c r="H310" i="76"/>
  <c r="H309" i="76" s="1"/>
  <c r="G310" i="76"/>
  <c r="G309" i="76" s="1"/>
  <c r="F310" i="76"/>
  <c r="F309" i="76" s="1"/>
  <c r="L308" i="76"/>
  <c r="I308" i="76"/>
  <c r="L307" i="76"/>
  <c r="I307" i="76"/>
  <c r="K306" i="76"/>
  <c r="K305" i="76" s="1"/>
  <c r="J306" i="76"/>
  <c r="H306" i="76"/>
  <c r="G306" i="76"/>
  <c r="G305" i="76" s="1"/>
  <c r="F306" i="76"/>
  <c r="F305" i="76" s="1"/>
  <c r="J305" i="76"/>
  <c r="H305" i="76"/>
  <c r="L304" i="76"/>
  <c r="M304" i="76" s="1"/>
  <c r="N304" i="76" s="1"/>
  <c r="K303" i="76"/>
  <c r="K302" i="76" s="1"/>
  <c r="J303" i="76"/>
  <c r="J302" i="76" s="1"/>
  <c r="H303" i="76"/>
  <c r="H302" i="76" s="1"/>
  <c r="G303" i="76"/>
  <c r="F303" i="76"/>
  <c r="F302" i="76" s="1"/>
  <c r="N296" i="76"/>
  <c r="L295" i="76"/>
  <c r="I295" i="76"/>
  <c r="L293" i="76"/>
  <c r="I293" i="76"/>
  <c r="K291" i="76"/>
  <c r="J292" i="76"/>
  <c r="L292" i="76" s="1"/>
  <c r="H292" i="76"/>
  <c r="H291" i="76" s="1"/>
  <c r="G292" i="76"/>
  <c r="G291" i="76" s="1"/>
  <c r="F292" i="76"/>
  <c r="F291" i="76" s="1"/>
  <c r="J291" i="76"/>
  <c r="L290" i="76"/>
  <c r="M290" i="76" s="1"/>
  <c r="N290" i="76" s="1"/>
  <c r="L289" i="76"/>
  <c r="M289" i="76" s="1"/>
  <c r="N289" i="76" s="1"/>
  <c r="L288" i="76"/>
  <c r="M288" i="76" s="1"/>
  <c r="N288" i="76" s="1"/>
  <c r="L287" i="76"/>
  <c r="I287" i="76"/>
  <c r="L286" i="76"/>
  <c r="M286" i="76" s="1"/>
  <c r="N286" i="76" s="1"/>
  <c r="L285" i="76"/>
  <c r="M285" i="76" s="1"/>
  <c r="N285" i="76" s="1"/>
  <c r="L284" i="76"/>
  <c r="M284" i="76" s="1"/>
  <c r="N284" i="76" s="1"/>
  <c r="L283" i="76"/>
  <c r="I283" i="76"/>
  <c r="K281" i="76"/>
  <c r="K280" i="76" s="1"/>
  <c r="J282" i="76"/>
  <c r="J281" i="76" s="1"/>
  <c r="J280" i="76" s="1"/>
  <c r="H282" i="76"/>
  <c r="H281" i="76" s="1"/>
  <c r="H280" i="76" s="1"/>
  <c r="G282" i="76"/>
  <c r="F282" i="76"/>
  <c r="F281" i="76" s="1"/>
  <c r="F280" i="76" s="1"/>
  <c r="L277" i="76"/>
  <c r="I277" i="76"/>
  <c r="I276" i="76"/>
  <c r="M276" i="76" s="1"/>
  <c r="N276" i="76" s="1"/>
  <c r="I275" i="76"/>
  <c r="M275" i="76" s="1"/>
  <c r="N275" i="76" s="1"/>
  <c r="L274" i="76"/>
  <c r="I274" i="76"/>
  <c r="K273" i="76"/>
  <c r="J273" i="76"/>
  <c r="J272" i="76" s="1"/>
  <c r="G273" i="76"/>
  <c r="G272" i="76" s="1"/>
  <c r="G271" i="76" s="1"/>
  <c r="F273" i="76"/>
  <c r="F272" i="76" s="1"/>
  <c r="K272" i="76"/>
  <c r="K271" i="76" s="1"/>
  <c r="K270" i="76" s="1"/>
  <c r="K269" i="76" s="1"/>
  <c r="L268" i="76"/>
  <c r="I268" i="76"/>
  <c r="L267" i="76"/>
  <c r="I267" i="76"/>
  <c r="L266" i="76"/>
  <c r="I266" i="76"/>
  <c r="L265" i="76"/>
  <c r="I265" i="76"/>
  <c r="K263" i="76"/>
  <c r="I264" i="76"/>
  <c r="J263" i="76"/>
  <c r="J262" i="76" s="1"/>
  <c r="H263" i="76"/>
  <c r="H262" i="76" s="1"/>
  <c r="G263" i="76"/>
  <c r="G262" i="76" s="1"/>
  <c r="F262" i="76"/>
  <c r="K260" i="76"/>
  <c r="I261" i="76"/>
  <c r="J260" i="76"/>
  <c r="H260" i="76"/>
  <c r="H259" i="76" s="1"/>
  <c r="G260" i="76"/>
  <c r="G259" i="76" s="1"/>
  <c r="G258" i="76" s="1"/>
  <c r="F260" i="76"/>
  <c r="F259" i="76" s="1"/>
  <c r="F258" i="76" s="1"/>
  <c r="J259" i="76"/>
  <c r="J258" i="76" s="1"/>
  <c r="L255" i="76"/>
  <c r="I255" i="76"/>
  <c r="L254" i="76"/>
  <c r="I254" i="76"/>
  <c r="L253" i="76"/>
  <c r="I253" i="76"/>
  <c r="K252" i="76"/>
  <c r="K251" i="76" s="1"/>
  <c r="K250" i="76" s="1"/>
  <c r="K249" i="76" s="1"/>
  <c r="K248" i="76" s="1"/>
  <c r="J252" i="76"/>
  <c r="H252" i="76"/>
  <c r="H251" i="76" s="1"/>
  <c r="H250" i="76" s="1"/>
  <c r="H249" i="76" s="1"/>
  <c r="H248" i="76" s="1"/>
  <c r="G252" i="76"/>
  <c r="F252" i="76"/>
  <c r="F251" i="76" s="1"/>
  <c r="F250" i="76" s="1"/>
  <c r="K244" i="76"/>
  <c r="J244" i="76"/>
  <c r="G244" i="76"/>
  <c r="I244" i="76" s="1"/>
  <c r="K243" i="76"/>
  <c r="K242" i="76" s="1"/>
  <c r="K241" i="76" s="1"/>
  <c r="K240" i="76" s="1"/>
  <c r="K239" i="76" s="1"/>
  <c r="H243" i="76"/>
  <c r="H242" i="76" s="1"/>
  <c r="H241" i="76" s="1"/>
  <c r="H240" i="76" s="1"/>
  <c r="H239" i="76" s="1"/>
  <c r="L237" i="76"/>
  <c r="I237" i="76"/>
  <c r="K236" i="76"/>
  <c r="K235" i="76" s="1"/>
  <c r="K234" i="76" s="1"/>
  <c r="K232" i="76" s="1"/>
  <c r="K231" i="76" s="1"/>
  <c r="J236" i="76"/>
  <c r="H236" i="76"/>
  <c r="G236" i="76"/>
  <c r="F235" i="76"/>
  <c r="J235" i="76"/>
  <c r="J234" i="76" s="1"/>
  <c r="H235" i="76"/>
  <c r="H234" i="76" s="1"/>
  <c r="H232" i="76" s="1"/>
  <c r="H231" i="76" s="1"/>
  <c r="L229" i="76"/>
  <c r="I229" i="76"/>
  <c r="K227" i="76"/>
  <c r="K226" i="76" s="1"/>
  <c r="J227" i="76"/>
  <c r="H227" i="76"/>
  <c r="H226" i="76" s="1"/>
  <c r="G227" i="76"/>
  <c r="F226" i="76"/>
  <c r="L225" i="76"/>
  <c r="I225" i="76"/>
  <c r="K224" i="76"/>
  <c r="K223" i="76" s="1"/>
  <c r="K222" i="76" s="1"/>
  <c r="K221" i="76" s="1"/>
  <c r="J224" i="76"/>
  <c r="J223" i="76" s="1"/>
  <c r="H224" i="76"/>
  <c r="H223" i="76" s="1"/>
  <c r="G224" i="76"/>
  <c r="F224" i="76"/>
  <c r="F223" i="76" s="1"/>
  <c r="F222" i="76" s="1"/>
  <c r="I220" i="76"/>
  <c r="M220" i="76" s="1"/>
  <c r="N220" i="76" s="1"/>
  <c r="L219" i="76"/>
  <c r="M219" i="76" s="1"/>
  <c r="N219" i="76" s="1"/>
  <c r="L218" i="76"/>
  <c r="I218" i="76"/>
  <c r="K217" i="76"/>
  <c r="K216" i="76" s="1"/>
  <c r="J217" i="76"/>
  <c r="J216" i="76" s="1"/>
  <c r="H217" i="76"/>
  <c r="H216" i="76" s="1"/>
  <c r="G217" i="76"/>
  <c r="F217" i="76"/>
  <c r="F216" i="76" s="1"/>
  <c r="L215" i="76"/>
  <c r="I215" i="76"/>
  <c r="L214" i="76"/>
  <c r="I214" i="76"/>
  <c r="K213" i="76"/>
  <c r="K212" i="76" s="1"/>
  <c r="J213" i="76"/>
  <c r="J212" i="76" s="1"/>
  <c r="H213" i="76"/>
  <c r="H212" i="76" s="1"/>
  <c r="G213" i="76"/>
  <c r="G212" i="76" s="1"/>
  <c r="L211" i="76"/>
  <c r="I211" i="76"/>
  <c r="K210" i="76"/>
  <c r="K209" i="76" s="1"/>
  <c r="J210" i="76"/>
  <c r="J209" i="76" s="1"/>
  <c r="H210" i="76"/>
  <c r="H209" i="76" s="1"/>
  <c r="G210" i="76"/>
  <c r="G209" i="76" s="1"/>
  <c r="F209" i="76"/>
  <c r="L205" i="76"/>
  <c r="I205" i="76"/>
  <c r="K204" i="76"/>
  <c r="K203" i="76" s="1"/>
  <c r="K202" i="76" s="1"/>
  <c r="K201" i="76" s="1"/>
  <c r="J204" i="76"/>
  <c r="J203" i="76" s="1"/>
  <c r="H204" i="76"/>
  <c r="H203" i="76" s="1"/>
  <c r="H202" i="76" s="1"/>
  <c r="H201" i="76" s="1"/>
  <c r="G204" i="76"/>
  <c r="G203" i="76" s="1"/>
  <c r="F204" i="76"/>
  <c r="L197" i="76"/>
  <c r="I197" i="76"/>
  <c r="K194" i="76"/>
  <c r="J195" i="76"/>
  <c r="J194" i="76" s="1"/>
  <c r="H194" i="76"/>
  <c r="G195" i="76"/>
  <c r="G194" i="76" s="1"/>
  <c r="L193" i="76"/>
  <c r="M193" i="76" s="1"/>
  <c r="N193" i="76" s="1"/>
  <c r="L192" i="76"/>
  <c r="M192" i="76" s="1"/>
  <c r="N192" i="76" s="1"/>
  <c r="L191" i="76"/>
  <c r="M191" i="76" s="1"/>
  <c r="N191" i="76" s="1"/>
  <c r="L190" i="76"/>
  <c r="M190" i="76" s="1"/>
  <c r="N190" i="76" s="1"/>
  <c r="L189" i="76"/>
  <c r="I189" i="76"/>
  <c r="K188" i="76"/>
  <c r="K187" i="76" s="1"/>
  <c r="J188" i="76"/>
  <c r="H188" i="76"/>
  <c r="H187" i="76" s="1"/>
  <c r="G188" i="76"/>
  <c r="F188" i="76"/>
  <c r="F187" i="76" s="1"/>
  <c r="L183" i="76"/>
  <c r="M183" i="76" s="1"/>
  <c r="N183" i="76" s="1"/>
  <c r="L182" i="76"/>
  <c r="K181" i="76"/>
  <c r="K180" i="76" s="1"/>
  <c r="I182" i="76"/>
  <c r="J181" i="76"/>
  <c r="J180" i="76" s="1"/>
  <c r="H181" i="76"/>
  <c r="H180" i="76" s="1"/>
  <c r="G181" i="76"/>
  <c r="F180" i="76"/>
  <c r="L179" i="76"/>
  <c r="I179" i="76"/>
  <c r="K177" i="76"/>
  <c r="K176" i="76" s="1"/>
  <c r="J177" i="76"/>
  <c r="J176" i="76" s="1"/>
  <c r="H177" i="76"/>
  <c r="H176" i="76" s="1"/>
  <c r="G177" i="76"/>
  <c r="G176" i="76" s="1"/>
  <c r="L172" i="76"/>
  <c r="M172" i="76" s="1"/>
  <c r="N172" i="76" s="1"/>
  <c r="L171" i="76"/>
  <c r="I171" i="76"/>
  <c r="L170" i="76"/>
  <c r="I170" i="76"/>
  <c r="K169" i="76"/>
  <c r="K168" i="76" s="1"/>
  <c r="K167" i="76" s="1"/>
  <c r="K166" i="76" s="1"/>
  <c r="K165" i="76" s="1"/>
  <c r="J169" i="76"/>
  <c r="J168" i="76" s="1"/>
  <c r="H169" i="76"/>
  <c r="H168" i="76" s="1"/>
  <c r="H167" i="76" s="1"/>
  <c r="H166" i="76" s="1"/>
  <c r="H165" i="76" s="1"/>
  <c r="G169" i="76"/>
  <c r="G168" i="76" s="1"/>
  <c r="F169" i="76"/>
  <c r="L164" i="76"/>
  <c r="I164" i="76"/>
  <c r="L163" i="76"/>
  <c r="I163" i="76"/>
  <c r="K162" i="76"/>
  <c r="J162" i="76"/>
  <c r="L162" i="76" s="1"/>
  <c r="H162" i="76"/>
  <c r="G162" i="76"/>
  <c r="F162" i="76"/>
  <c r="L161" i="76"/>
  <c r="I161" i="76"/>
  <c r="K160" i="76"/>
  <c r="J160" i="76"/>
  <c r="J156" i="76" s="1"/>
  <c r="H160" i="76"/>
  <c r="H156" i="76" s="1"/>
  <c r="G160" i="76"/>
  <c r="G156" i="76" s="1"/>
  <c r="F160" i="76"/>
  <c r="F159" i="76" s="1"/>
  <c r="L155" i="76"/>
  <c r="I155" i="76"/>
  <c r="L154" i="76"/>
  <c r="I154" i="76"/>
  <c r="K153" i="76"/>
  <c r="J153" i="76"/>
  <c r="J149" i="76" s="1"/>
  <c r="H153" i="76"/>
  <c r="H149" i="76" s="1"/>
  <c r="G153" i="76"/>
  <c r="L151" i="76"/>
  <c r="I151" i="76"/>
  <c r="J150" i="76"/>
  <c r="L150" i="76" s="1"/>
  <c r="H150" i="76"/>
  <c r="G150" i="76"/>
  <c r="L145" i="76"/>
  <c r="I145" i="76"/>
  <c r="K143" i="76"/>
  <c r="K142" i="76" s="1"/>
  <c r="K141" i="76" s="1"/>
  <c r="K140" i="76" s="1"/>
  <c r="J143" i="76"/>
  <c r="J142" i="76" s="1"/>
  <c r="J141" i="76" s="1"/>
  <c r="J140" i="76" s="1"/>
  <c r="H143" i="76"/>
  <c r="H142" i="76" s="1"/>
  <c r="H141" i="76" s="1"/>
  <c r="H140" i="76" s="1"/>
  <c r="G143" i="76"/>
  <c r="G142" i="76" s="1"/>
  <c r="F142" i="76"/>
  <c r="F141" i="76" s="1"/>
  <c r="F140" i="76" s="1"/>
  <c r="L136" i="76"/>
  <c r="I136" i="76"/>
  <c r="L135" i="76"/>
  <c r="I135" i="76"/>
  <c r="L134" i="76"/>
  <c r="I134" i="76"/>
  <c r="L133" i="76"/>
  <c r="I133" i="76"/>
  <c r="K132" i="76"/>
  <c r="K131" i="76" s="1"/>
  <c r="J132" i="76"/>
  <c r="J131" i="76" s="1"/>
  <c r="H132" i="76"/>
  <c r="H131" i="76" s="1"/>
  <c r="G132" i="76"/>
  <c r="G131" i="76" s="1"/>
  <c r="F132" i="76"/>
  <c r="F131" i="76" s="1"/>
  <c r="L130" i="76"/>
  <c r="I130" i="76"/>
  <c r="L129" i="76"/>
  <c r="I129" i="76"/>
  <c r="L128" i="76"/>
  <c r="I128" i="76"/>
  <c r="K127" i="76"/>
  <c r="K126" i="76" s="1"/>
  <c r="H127" i="76"/>
  <c r="H126" i="76" s="1"/>
  <c r="G127" i="76"/>
  <c r="G126" i="76" s="1"/>
  <c r="F127" i="76"/>
  <c r="F126" i="76" s="1"/>
  <c r="L120" i="76"/>
  <c r="I120" i="76"/>
  <c r="L119" i="76"/>
  <c r="I119" i="76"/>
  <c r="L118" i="76"/>
  <c r="I118" i="76"/>
  <c r="K117" i="76"/>
  <c r="K116" i="76" s="1"/>
  <c r="K115" i="76" s="1"/>
  <c r="K114" i="76" s="1"/>
  <c r="J117" i="76"/>
  <c r="J116" i="76" s="1"/>
  <c r="H117" i="76"/>
  <c r="H116" i="76" s="1"/>
  <c r="H115" i="76" s="1"/>
  <c r="H114" i="76" s="1"/>
  <c r="H113" i="76" s="1"/>
  <c r="G117" i="76"/>
  <c r="F117" i="76"/>
  <c r="F116" i="76" s="1"/>
  <c r="L112" i="76"/>
  <c r="I112" i="76"/>
  <c r="L111" i="76"/>
  <c r="I111" i="76"/>
  <c r="L110" i="76"/>
  <c r="I110" i="76"/>
  <c r="L109" i="76"/>
  <c r="I109" i="76"/>
  <c r="L108" i="76"/>
  <c r="I108" i="76"/>
  <c r="L107" i="76"/>
  <c r="I107" i="76"/>
  <c r="L106" i="76"/>
  <c r="I106" i="76"/>
  <c r="L105" i="76"/>
  <c r="I105" i="76"/>
  <c r="L104" i="76"/>
  <c r="I104" i="76"/>
  <c r="L103" i="76"/>
  <c r="I103" i="76"/>
  <c r="K102" i="76"/>
  <c r="K101" i="76" s="1"/>
  <c r="K95" i="76" s="1"/>
  <c r="J102" i="76"/>
  <c r="J101" i="76" s="1"/>
  <c r="L101" i="76" s="1"/>
  <c r="H102" i="76"/>
  <c r="H101" i="76" s="1"/>
  <c r="G102" i="76"/>
  <c r="G101" i="76" s="1"/>
  <c r="F102" i="76"/>
  <c r="L100" i="76"/>
  <c r="I100" i="76"/>
  <c r="H99" i="76"/>
  <c r="G99" i="76"/>
  <c r="F99" i="76"/>
  <c r="L97" i="76"/>
  <c r="I97" i="76"/>
  <c r="L96" i="76"/>
  <c r="I96" i="76"/>
  <c r="J95" i="76"/>
  <c r="L95" i="76" s="1"/>
  <c r="H95" i="76"/>
  <c r="G95" i="76"/>
  <c r="F83" i="76"/>
  <c r="L94" i="76"/>
  <c r="I94" i="76"/>
  <c r="L93" i="76"/>
  <c r="I93" i="76"/>
  <c r="L92" i="76"/>
  <c r="I92" i="76"/>
  <c r="L91" i="76"/>
  <c r="I91" i="76"/>
  <c r="M91" i="76" s="1"/>
  <c r="N91" i="76" s="1"/>
  <c r="L90" i="76"/>
  <c r="I90" i="76"/>
  <c r="L89" i="76"/>
  <c r="I89" i="76"/>
  <c r="M89" i="76" s="1"/>
  <c r="N89" i="76" s="1"/>
  <c r="L88" i="76"/>
  <c r="I88" i="76"/>
  <c r="L87" i="76"/>
  <c r="I87" i="76"/>
  <c r="M87" i="76" s="1"/>
  <c r="N87" i="76" s="1"/>
  <c r="L86" i="76"/>
  <c r="I86" i="76"/>
  <c r="L85" i="76"/>
  <c r="I85" i="76"/>
  <c r="M85" i="76" s="1"/>
  <c r="N85" i="76" s="1"/>
  <c r="K84" i="76"/>
  <c r="L84" i="76" s="1"/>
  <c r="H84" i="76"/>
  <c r="G84" i="76"/>
  <c r="K83" i="76"/>
  <c r="I80" i="76"/>
  <c r="M80" i="76" s="1"/>
  <c r="N80" i="76" s="1"/>
  <c r="K79" i="76"/>
  <c r="L79" i="76" s="1"/>
  <c r="H79" i="76"/>
  <c r="G79" i="76"/>
  <c r="F79" i="76"/>
  <c r="L78" i="76"/>
  <c r="I78" i="76"/>
  <c r="K77" i="76"/>
  <c r="L77" i="76" s="1"/>
  <c r="H77" i="76"/>
  <c r="H76" i="76" s="1"/>
  <c r="G77" i="76"/>
  <c r="F77" i="76"/>
  <c r="L75" i="76"/>
  <c r="I75" i="76"/>
  <c r="K74" i="76"/>
  <c r="L74" i="76" s="1"/>
  <c r="H74" i="76"/>
  <c r="G74" i="76"/>
  <c r="F74" i="76"/>
  <c r="L73" i="76"/>
  <c r="I73" i="76"/>
  <c r="K72" i="76"/>
  <c r="L72" i="76" s="1"/>
  <c r="H72" i="76"/>
  <c r="G72" i="76"/>
  <c r="F72" i="76"/>
  <c r="L71" i="76"/>
  <c r="I71" i="76"/>
  <c r="K70" i="76"/>
  <c r="L70" i="76" s="1"/>
  <c r="H70" i="76"/>
  <c r="G70" i="76"/>
  <c r="F70" i="76"/>
  <c r="L69" i="76"/>
  <c r="I69" i="76"/>
  <c r="K68" i="76"/>
  <c r="L68" i="76" s="1"/>
  <c r="H68" i="76"/>
  <c r="G68" i="76"/>
  <c r="F68" i="76"/>
  <c r="L67" i="76"/>
  <c r="I67" i="76"/>
  <c r="K66" i="76"/>
  <c r="L66" i="76" s="1"/>
  <c r="H66" i="76"/>
  <c r="G66" i="76"/>
  <c r="F66" i="76"/>
  <c r="L65" i="76"/>
  <c r="I65" i="76"/>
  <c r="K64" i="76"/>
  <c r="L64" i="76" s="1"/>
  <c r="H64" i="76"/>
  <c r="G64" i="76"/>
  <c r="F64" i="76"/>
  <c r="L63" i="76"/>
  <c r="I63" i="76"/>
  <c r="K62" i="76"/>
  <c r="L62" i="76" s="1"/>
  <c r="H62" i="76"/>
  <c r="G62" i="76"/>
  <c r="F62" i="76"/>
  <c r="L61" i="76"/>
  <c r="I61" i="76"/>
  <c r="K60" i="76"/>
  <c r="L60" i="76" s="1"/>
  <c r="H60" i="76"/>
  <c r="G60" i="76"/>
  <c r="F60" i="76"/>
  <c r="L59" i="76"/>
  <c r="I59" i="76"/>
  <c r="K58" i="76"/>
  <c r="L58" i="76" s="1"/>
  <c r="H58" i="76"/>
  <c r="G58" i="76"/>
  <c r="F58" i="76"/>
  <c r="L57" i="76"/>
  <c r="I57" i="76"/>
  <c r="K56" i="76"/>
  <c r="L56" i="76" s="1"/>
  <c r="H56" i="76"/>
  <c r="G56" i="76"/>
  <c r="F56" i="76"/>
  <c r="L55" i="76"/>
  <c r="I55" i="76"/>
  <c r="K54" i="76"/>
  <c r="L54" i="76" s="1"/>
  <c r="H54" i="76"/>
  <c r="G54" i="76"/>
  <c r="F54" i="76"/>
  <c r="L53" i="76"/>
  <c r="I53" i="76"/>
  <c r="K52" i="76"/>
  <c r="L52" i="76" s="1"/>
  <c r="H52" i="76"/>
  <c r="G52" i="76"/>
  <c r="F52" i="76"/>
  <c r="J48" i="76"/>
  <c r="L45" i="76"/>
  <c r="I45" i="76"/>
  <c r="K43" i="76"/>
  <c r="K42" i="76" s="1"/>
  <c r="J43" i="76"/>
  <c r="J42" i="76" s="1"/>
  <c r="H43" i="76"/>
  <c r="H42" i="76" s="1"/>
  <c r="G43" i="76"/>
  <c r="G42" i="76" s="1"/>
  <c r="L41" i="76"/>
  <c r="I41" i="76"/>
  <c r="L40" i="76"/>
  <c r="M40" i="76" s="1"/>
  <c r="N40" i="76" s="1"/>
  <c r="L39" i="76"/>
  <c r="M39" i="76" s="1"/>
  <c r="N39" i="76" s="1"/>
  <c r="L38" i="76"/>
  <c r="M38" i="76" s="1"/>
  <c r="N38" i="76" s="1"/>
  <c r="L37" i="76"/>
  <c r="I37" i="76"/>
  <c r="K36" i="76"/>
  <c r="K35" i="76" s="1"/>
  <c r="J36" i="76"/>
  <c r="J35" i="76" s="1"/>
  <c r="H36" i="76"/>
  <c r="H35" i="76" s="1"/>
  <c r="G36" i="76"/>
  <c r="F36" i="76"/>
  <c r="F35" i="76" s="1"/>
  <c r="L31" i="76"/>
  <c r="I31" i="76"/>
  <c r="K30" i="76"/>
  <c r="K29" i="76" s="1"/>
  <c r="J30" i="76"/>
  <c r="H30" i="76"/>
  <c r="H29" i="76" s="1"/>
  <c r="G30" i="76"/>
  <c r="G29" i="76" s="1"/>
  <c r="F30" i="76"/>
  <c r="F29" i="76" s="1"/>
  <c r="L28" i="76"/>
  <c r="M28" i="76" s="1"/>
  <c r="N28" i="76" s="1"/>
  <c r="L27" i="76"/>
  <c r="M27" i="76" s="1"/>
  <c r="N27" i="76" s="1"/>
  <c r="P26" i="76"/>
  <c r="L26" i="76"/>
  <c r="I26" i="76"/>
  <c r="L25" i="76"/>
  <c r="I25" i="76"/>
  <c r="L24" i="76"/>
  <c r="I24" i="76"/>
  <c r="K23" i="76"/>
  <c r="K22" i="76" s="1"/>
  <c r="J23" i="76"/>
  <c r="H23" i="76"/>
  <c r="H22" i="76" s="1"/>
  <c r="H21" i="76" s="1"/>
  <c r="G23" i="76"/>
  <c r="F23" i="76"/>
  <c r="T19" i="76"/>
  <c r="S19" i="76"/>
  <c r="U17" i="76"/>
  <c r="K199" i="76" l="1"/>
  <c r="K198" i="76" s="1"/>
  <c r="K76" i="76"/>
  <c r="L76" i="76" s="1"/>
  <c r="G17" i="82"/>
  <c r="G385" i="82" s="1"/>
  <c r="G404" i="82" s="1"/>
  <c r="K21" i="76"/>
  <c r="H258" i="76"/>
  <c r="H257" i="76" s="1"/>
  <c r="H256" i="76" s="1"/>
  <c r="H199" i="76"/>
  <c r="H198" i="76" s="1"/>
  <c r="F17" i="82"/>
  <c r="H385" i="82"/>
  <c r="P22" i="82"/>
  <c r="L18" i="82"/>
  <c r="J17" i="82"/>
  <c r="P18" i="82"/>
  <c r="N247" i="82"/>
  <c r="N138" i="82"/>
  <c r="M18" i="82"/>
  <c r="N18" i="82" s="1"/>
  <c r="M350" i="82"/>
  <c r="N350" i="82" s="1"/>
  <c r="I298" i="82"/>
  <c r="M298" i="82" s="1"/>
  <c r="N298" i="82" s="1"/>
  <c r="M93" i="76"/>
  <c r="N93" i="76" s="1"/>
  <c r="M73" i="76"/>
  <c r="N73" i="76" s="1"/>
  <c r="M86" i="76"/>
  <c r="N86" i="76" s="1"/>
  <c r="M75" i="76"/>
  <c r="N75" i="76" s="1"/>
  <c r="I84" i="76"/>
  <c r="M88" i="76"/>
  <c r="N88" i="76" s="1"/>
  <c r="G243" i="76"/>
  <c r="I243" i="76" s="1"/>
  <c r="M92" i="76"/>
  <c r="N92" i="76" s="1"/>
  <c r="I117" i="76"/>
  <c r="I217" i="76"/>
  <c r="L244" i="76"/>
  <c r="I379" i="76"/>
  <c r="L234" i="76"/>
  <c r="J232" i="76"/>
  <c r="M90" i="76"/>
  <c r="N90" i="76" s="1"/>
  <c r="G363" i="76"/>
  <c r="F234" i="76"/>
  <c r="F221" i="76" s="1"/>
  <c r="M94" i="76"/>
  <c r="N94" i="76" s="1"/>
  <c r="M293" i="76"/>
  <c r="N293" i="76" s="1"/>
  <c r="M96" i="76"/>
  <c r="N96" i="76" s="1"/>
  <c r="M104" i="76"/>
  <c r="N104" i="76" s="1"/>
  <c r="M97" i="76"/>
  <c r="N97" i="76" s="1"/>
  <c r="M225" i="76"/>
  <c r="N225" i="76" s="1"/>
  <c r="M128" i="76"/>
  <c r="N128" i="76" s="1"/>
  <c r="I188" i="76"/>
  <c r="M189" i="76"/>
  <c r="N189" i="76" s="1"/>
  <c r="G216" i="76"/>
  <c r="K363" i="76"/>
  <c r="K353" i="76" s="1"/>
  <c r="I212" i="76"/>
  <c r="M215" i="76"/>
  <c r="N215" i="76" s="1"/>
  <c r="M362" i="76"/>
  <c r="N362" i="76" s="1"/>
  <c r="H20" i="76"/>
  <c r="H19" i="76" s="1"/>
  <c r="M171" i="76"/>
  <c r="N171" i="76" s="1"/>
  <c r="M218" i="76"/>
  <c r="N218" i="76" s="1"/>
  <c r="I282" i="76"/>
  <c r="H363" i="76"/>
  <c r="H359" i="76" s="1"/>
  <c r="H358" i="76" s="1"/>
  <c r="H357" i="76" s="1"/>
  <c r="G378" i="76"/>
  <c r="G377" i="76" s="1"/>
  <c r="G376" i="76" s="1"/>
  <c r="M383" i="76"/>
  <c r="N383" i="76" s="1"/>
  <c r="M129" i="76"/>
  <c r="N129" i="76" s="1"/>
  <c r="I360" i="76"/>
  <c r="H301" i="76"/>
  <c r="H300" i="76" s="1"/>
  <c r="H299" i="76" s="1"/>
  <c r="L364" i="76"/>
  <c r="M106" i="76"/>
  <c r="N106" i="76" s="1"/>
  <c r="M253" i="76"/>
  <c r="N253" i="76" s="1"/>
  <c r="I303" i="76"/>
  <c r="I305" i="76"/>
  <c r="I347" i="76"/>
  <c r="J363" i="76"/>
  <c r="J353" i="76" s="1"/>
  <c r="J352" i="76" s="1"/>
  <c r="M57" i="76"/>
  <c r="N57" i="76" s="1"/>
  <c r="M65" i="76"/>
  <c r="N65" i="76" s="1"/>
  <c r="I156" i="76"/>
  <c r="M311" i="76"/>
  <c r="N311" i="76" s="1"/>
  <c r="I381" i="76"/>
  <c r="K159" i="76"/>
  <c r="K156" i="76"/>
  <c r="L156" i="76" s="1"/>
  <c r="M103" i="76"/>
  <c r="N103" i="76" s="1"/>
  <c r="M105" i="76"/>
  <c r="N105" i="76" s="1"/>
  <c r="M107" i="76"/>
  <c r="N107" i="76" s="1"/>
  <c r="M109" i="76"/>
  <c r="N109" i="76" s="1"/>
  <c r="M111" i="76"/>
  <c r="N111" i="76" s="1"/>
  <c r="G116" i="76"/>
  <c r="G115" i="76" s="1"/>
  <c r="I115" i="76" s="1"/>
  <c r="L188" i="76"/>
  <c r="I227" i="76"/>
  <c r="M229" i="76"/>
  <c r="N229" i="76" s="1"/>
  <c r="M267" i="76"/>
  <c r="N267" i="76" s="1"/>
  <c r="I309" i="76"/>
  <c r="I320" i="76"/>
  <c r="I30" i="76"/>
  <c r="I36" i="76"/>
  <c r="F76" i="76"/>
  <c r="N157" i="76"/>
  <c r="F314" i="76"/>
  <c r="F313" i="76" s="1"/>
  <c r="F149" i="76"/>
  <c r="L83" i="76"/>
  <c r="I23" i="76"/>
  <c r="G346" i="76"/>
  <c r="L347" i="76"/>
  <c r="L355" i="76"/>
  <c r="M374" i="76"/>
  <c r="N374" i="76" s="1"/>
  <c r="K20" i="76"/>
  <c r="K19" i="76" s="1"/>
  <c r="K51" i="76"/>
  <c r="L51" i="76" s="1"/>
  <c r="M130" i="76"/>
  <c r="N130" i="76" s="1"/>
  <c r="I153" i="76"/>
  <c r="G187" i="76"/>
  <c r="F279" i="76"/>
  <c r="G314" i="76"/>
  <c r="G313" i="76" s="1"/>
  <c r="G312" i="76" s="1"/>
  <c r="L354" i="76"/>
  <c r="L366" i="76"/>
  <c r="M55" i="76"/>
  <c r="N55" i="76" s="1"/>
  <c r="M69" i="76"/>
  <c r="N69" i="76" s="1"/>
  <c r="I132" i="76"/>
  <c r="I150" i="76"/>
  <c r="M150" i="76" s="1"/>
  <c r="N150" i="76" s="1"/>
  <c r="H34" i="76"/>
  <c r="H33" i="76" s="1"/>
  <c r="H32" i="76" s="1"/>
  <c r="M108" i="76"/>
  <c r="N108" i="76" s="1"/>
  <c r="M151" i="76"/>
  <c r="N151" i="76" s="1"/>
  <c r="M161" i="76"/>
  <c r="N161" i="76" s="1"/>
  <c r="L223" i="76"/>
  <c r="G281" i="76"/>
  <c r="G302" i="76"/>
  <c r="I310" i="76"/>
  <c r="L335" i="76"/>
  <c r="L341" i="76"/>
  <c r="I364" i="76"/>
  <c r="M364" i="76" s="1"/>
  <c r="N364" i="76" s="1"/>
  <c r="M365" i="76"/>
  <c r="N365" i="76" s="1"/>
  <c r="L382" i="76"/>
  <c r="L153" i="76"/>
  <c r="K149" i="76"/>
  <c r="M31" i="76"/>
  <c r="N31" i="76" s="1"/>
  <c r="M53" i="76"/>
  <c r="N53" i="76" s="1"/>
  <c r="M61" i="76"/>
  <c r="N61" i="76" s="1"/>
  <c r="I176" i="76"/>
  <c r="H186" i="76"/>
  <c r="H185" i="76" s="1"/>
  <c r="H184" i="76" s="1"/>
  <c r="K186" i="76"/>
  <c r="K185" i="76" s="1"/>
  <c r="K184" i="76" s="1"/>
  <c r="I224" i="76"/>
  <c r="L224" i="76"/>
  <c r="G257" i="76"/>
  <c r="G256" i="76" s="1"/>
  <c r="M287" i="76"/>
  <c r="N287" i="76" s="1"/>
  <c r="M41" i="76"/>
  <c r="N41" i="76" s="1"/>
  <c r="M63" i="76"/>
  <c r="N63" i="76" s="1"/>
  <c r="M71" i="76"/>
  <c r="N71" i="76" s="1"/>
  <c r="I74" i="76"/>
  <c r="M74" i="76" s="1"/>
  <c r="N74" i="76" s="1"/>
  <c r="L160" i="76"/>
  <c r="M255" i="76"/>
  <c r="N255" i="76" s="1"/>
  <c r="H319" i="76"/>
  <c r="I319" i="76" s="1"/>
  <c r="I366" i="76"/>
  <c r="H377" i="76"/>
  <c r="H376" i="76" s="1"/>
  <c r="H375" i="76" s="1"/>
  <c r="G35" i="76"/>
  <c r="G34" i="76" s="1"/>
  <c r="G33" i="76" s="1"/>
  <c r="I42" i="76"/>
  <c r="M110" i="76"/>
  <c r="N110" i="76" s="1"/>
  <c r="M112" i="76"/>
  <c r="N112" i="76" s="1"/>
  <c r="L143" i="76"/>
  <c r="J159" i="76"/>
  <c r="J279" i="76"/>
  <c r="M59" i="76"/>
  <c r="N59" i="76" s="1"/>
  <c r="F51" i="76"/>
  <c r="M67" i="76"/>
  <c r="N67" i="76" s="1"/>
  <c r="M78" i="76"/>
  <c r="N78" i="76" s="1"/>
  <c r="M100" i="76"/>
  <c r="N100" i="76" s="1"/>
  <c r="M145" i="76"/>
  <c r="N145" i="76" s="1"/>
  <c r="H175" i="76"/>
  <c r="H174" i="76" s="1"/>
  <c r="H173" i="76" s="1"/>
  <c r="I210" i="76"/>
  <c r="H208" i="76"/>
  <c r="H207" i="76" s="1"/>
  <c r="H222" i="76"/>
  <c r="H221" i="76" s="1"/>
  <c r="M244" i="76"/>
  <c r="N244" i="76" s="1"/>
  <c r="M274" i="76"/>
  <c r="N274" i="76" s="1"/>
  <c r="M277" i="76"/>
  <c r="N277" i="76" s="1"/>
  <c r="M283" i="76"/>
  <c r="N283" i="76" s="1"/>
  <c r="M380" i="76"/>
  <c r="N380" i="76" s="1"/>
  <c r="M394" i="76"/>
  <c r="M367" i="76"/>
  <c r="N367" i="76" s="1"/>
  <c r="M356" i="76"/>
  <c r="N356" i="76" s="1"/>
  <c r="I322" i="76"/>
  <c r="M330" i="76"/>
  <c r="N330" i="76" s="1"/>
  <c r="G223" i="76"/>
  <c r="I223" i="76" s="1"/>
  <c r="G226" i="76"/>
  <c r="M211" i="76"/>
  <c r="N211" i="76" s="1"/>
  <c r="M205" i="76"/>
  <c r="N205" i="76" s="1"/>
  <c r="J187" i="76"/>
  <c r="J186" i="76" s="1"/>
  <c r="J185" i="76" s="1"/>
  <c r="M179" i="76"/>
  <c r="N179" i="76" s="1"/>
  <c r="M164" i="76"/>
  <c r="N164" i="76" s="1"/>
  <c r="G159" i="76"/>
  <c r="M154" i="76"/>
  <c r="N154" i="76" s="1"/>
  <c r="M155" i="76"/>
  <c r="N155" i="76" s="1"/>
  <c r="M135" i="76"/>
  <c r="N135" i="76" s="1"/>
  <c r="M136" i="76"/>
  <c r="N136" i="76" s="1"/>
  <c r="M118" i="76"/>
  <c r="N118" i="76" s="1"/>
  <c r="M119" i="76"/>
  <c r="N119" i="76" s="1"/>
  <c r="I181" i="76"/>
  <c r="I101" i="76"/>
  <c r="M101" i="76" s="1"/>
  <c r="I334" i="76"/>
  <c r="I335" i="76"/>
  <c r="H125" i="76"/>
  <c r="H124" i="76" s="1"/>
  <c r="H123" i="76" s="1"/>
  <c r="H122" i="76" s="1"/>
  <c r="I131" i="76"/>
  <c r="I340" i="76"/>
  <c r="I341" i="76"/>
  <c r="M410" i="76"/>
  <c r="K301" i="76"/>
  <c r="K300" i="76" s="1"/>
  <c r="K299" i="76" s="1"/>
  <c r="M37" i="76"/>
  <c r="N37" i="76" s="1"/>
  <c r="M134" i="76"/>
  <c r="N134" i="76" s="1"/>
  <c r="K125" i="76"/>
  <c r="K124" i="76" s="1"/>
  <c r="K123" i="76" s="1"/>
  <c r="K122" i="76" s="1"/>
  <c r="M133" i="76"/>
  <c r="N133" i="76" s="1"/>
  <c r="L217" i="76"/>
  <c r="L216" i="76"/>
  <c r="L252" i="76"/>
  <c r="L320" i="76"/>
  <c r="L319" i="76"/>
  <c r="L310" i="76"/>
  <c r="M310" i="76" s="1"/>
  <c r="N310" i="76" s="1"/>
  <c r="L309" i="76"/>
  <c r="M309" i="76" s="1"/>
  <c r="N309" i="76" s="1"/>
  <c r="M412" i="76"/>
  <c r="M407" i="76"/>
  <c r="M409" i="76"/>
  <c r="M408" i="76"/>
  <c r="I387" i="76"/>
  <c r="M390" i="76"/>
  <c r="M389" i="76"/>
  <c r="M393" i="76"/>
  <c r="L316" i="76"/>
  <c r="J315" i="76"/>
  <c r="M307" i="76"/>
  <c r="N307" i="76" s="1"/>
  <c r="L305" i="76"/>
  <c r="M308" i="76"/>
  <c r="N308" i="76" s="1"/>
  <c r="M295" i="76"/>
  <c r="N295" i="76" s="1"/>
  <c r="L282" i="76"/>
  <c r="I262" i="76"/>
  <c r="M265" i="76"/>
  <c r="N265" i="76" s="1"/>
  <c r="M266" i="76"/>
  <c r="N266" i="76" s="1"/>
  <c r="M254" i="76"/>
  <c r="N254" i="76" s="1"/>
  <c r="J251" i="76"/>
  <c r="J250" i="76" s="1"/>
  <c r="L250" i="76" s="1"/>
  <c r="I252" i="76"/>
  <c r="G251" i="76"/>
  <c r="M214" i="76"/>
  <c r="N214" i="76" s="1"/>
  <c r="M197" i="76"/>
  <c r="N197" i="76" s="1"/>
  <c r="G180" i="76"/>
  <c r="I180" i="76" s="1"/>
  <c r="M182" i="76"/>
  <c r="N182" i="76" s="1"/>
  <c r="H159" i="76"/>
  <c r="M163" i="76"/>
  <c r="N163" i="76" s="1"/>
  <c r="I162" i="76"/>
  <c r="M162" i="76" s="1"/>
  <c r="N162" i="76" s="1"/>
  <c r="I160" i="76"/>
  <c r="M160" i="76" s="1"/>
  <c r="N160" i="76" s="1"/>
  <c r="L127" i="76"/>
  <c r="M120" i="76"/>
  <c r="N120" i="76" s="1"/>
  <c r="H83" i="76"/>
  <c r="I95" i="76"/>
  <c r="M95" i="76" s="1"/>
  <c r="N95" i="76" s="1"/>
  <c r="G83" i="76"/>
  <c r="G76" i="76"/>
  <c r="I79" i="76"/>
  <c r="M79" i="76" s="1"/>
  <c r="N79" i="76" s="1"/>
  <c r="I77" i="76"/>
  <c r="M77" i="76" s="1"/>
  <c r="N77" i="76" s="1"/>
  <c r="I72" i="76"/>
  <c r="M72" i="76" s="1"/>
  <c r="N72" i="76" s="1"/>
  <c r="I70" i="76"/>
  <c r="M70" i="76" s="1"/>
  <c r="N70" i="76" s="1"/>
  <c r="I68" i="76"/>
  <c r="M68" i="76" s="1"/>
  <c r="N68" i="76" s="1"/>
  <c r="I66" i="76"/>
  <c r="M66" i="76" s="1"/>
  <c r="N66" i="76" s="1"/>
  <c r="I64" i="76"/>
  <c r="M64" i="76" s="1"/>
  <c r="N64" i="76" s="1"/>
  <c r="I62" i="76"/>
  <c r="M62" i="76" s="1"/>
  <c r="N62" i="76" s="1"/>
  <c r="I60" i="76"/>
  <c r="M60" i="76" s="1"/>
  <c r="N60" i="76" s="1"/>
  <c r="H51" i="76"/>
  <c r="I58" i="76"/>
  <c r="M58" i="76" s="1"/>
  <c r="N58" i="76" s="1"/>
  <c r="I56" i="76"/>
  <c r="M56" i="76" s="1"/>
  <c r="N56" i="76" s="1"/>
  <c r="G51" i="76"/>
  <c r="I54" i="76"/>
  <c r="M54" i="76" s="1"/>
  <c r="N54" i="76" s="1"/>
  <c r="I52" i="76"/>
  <c r="M52" i="76" s="1"/>
  <c r="N52" i="76" s="1"/>
  <c r="L42" i="76"/>
  <c r="M42" i="76" s="1"/>
  <c r="K34" i="76"/>
  <c r="K33" i="76" s="1"/>
  <c r="K32" i="76" s="1"/>
  <c r="K18" i="76" s="1"/>
  <c r="M45" i="76"/>
  <c r="N45" i="76" s="1"/>
  <c r="L30" i="76"/>
  <c r="M30" i="76" s="1"/>
  <c r="N30" i="76" s="1"/>
  <c r="J29" i="76"/>
  <c r="L29" i="76" s="1"/>
  <c r="M24" i="76"/>
  <c r="N24" i="76" s="1"/>
  <c r="L23" i="76"/>
  <c r="M26" i="76"/>
  <c r="N26" i="76" s="1"/>
  <c r="M25" i="76"/>
  <c r="N25" i="76" s="1"/>
  <c r="K113" i="76"/>
  <c r="K99" i="76" s="1"/>
  <c r="L99" i="76" s="1"/>
  <c r="K47" i="76"/>
  <c r="L116" i="76"/>
  <c r="J115" i="76"/>
  <c r="J125" i="76"/>
  <c r="L131" i="76"/>
  <c r="L168" i="76"/>
  <c r="J167" i="76"/>
  <c r="I203" i="76"/>
  <c r="G202" i="76"/>
  <c r="L209" i="76"/>
  <c r="J208" i="76"/>
  <c r="I29" i="76"/>
  <c r="M84" i="76"/>
  <c r="N84" i="76" s="1"/>
  <c r="H148" i="76"/>
  <c r="H147" i="76" s="1"/>
  <c r="H139" i="76" s="1"/>
  <c r="J175" i="76"/>
  <c r="L194" i="76"/>
  <c r="K208" i="76"/>
  <c r="K207" i="76" s="1"/>
  <c r="K206" i="76" s="1"/>
  <c r="L35" i="76"/>
  <c r="J34" i="76"/>
  <c r="I126" i="76"/>
  <c r="G125" i="76"/>
  <c r="L140" i="76"/>
  <c r="I142" i="76"/>
  <c r="G141" i="76"/>
  <c r="K175" i="76"/>
  <c r="K174" i="76" s="1"/>
  <c r="K173" i="76" s="1"/>
  <c r="G114" i="76"/>
  <c r="I168" i="76"/>
  <c r="G167" i="76"/>
  <c r="G186" i="76"/>
  <c r="I194" i="76"/>
  <c r="L203" i="76"/>
  <c r="J202" i="76"/>
  <c r="M170" i="76"/>
  <c r="N170" i="76" s="1"/>
  <c r="L176" i="76"/>
  <c r="G208" i="76"/>
  <c r="I216" i="76"/>
  <c r="M216" i="76" s="1"/>
  <c r="N216" i="76" s="1"/>
  <c r="F115" i="76"/>
  <c r="F125" i="76"/>
  <c r="L126" i="76"/>
  <c r="L142" i="76"/>
  <c r="L181" i="76"/>
  <c r="M181" i="76" s="1"/>
  <c r="N181" i="76" s="1"/>
  <c r="I187" i="76"/>
  <c r="L212" i="76"/>
  <c r="M212" i="76" s="1"/>
  <c r="I259" i="76"/>
  <c r="G270" i="76"/>
  <c r="L272" i="76"/>
  <c r="J271" i="76"/>
  <c r="F301" i="76"/>
  <c r="L323" i="76"/>
  <c r="K322" i="76"/>
  <c r="K314" i="76" s="1"/>
  <c r="K313" i="76" s="1"/>
  <c r="K312" i="76" s="1"/>
  <c r="I332" i="76"/>
  <c r="G331" i="76"/>
  <c r="I331" i="76" s="1"/>
  <c r="I338" i="76"/>
  <c r="G337" i="76"/>
  <c r="I337" i="76" s="1"/>
  <c r="I372" i="76"/>
  <c r="G371" i="76"/>
  <c r="L378" i="76"/>
  <c r="J377" i="76"/>
  <c r="F22" i="76"/>
  <c r="F21" i="76" s="1"/>
  <c r="J22" i="76"/>
  <c r="J21" i="76" s="1"/>
  <c r="L36" i="76"/>
  <c r="M36" i="76" s="1"/>
  <c r="N36" i="76" s="1"/>
  <c r="F42" i="76"/>
  <c r="F34" i="76" s="1"/>
  <c r="I43" i="76"/>
  <c r="K50" i="76"/>
  <c r="F101" i="76"/>
  <c r="I102" i="76"/>
  <c r="I116" i="76"/>
  <c r="L117" i="76"/>
  <c r="M117" i="76" s="1"/>
  <c r="N117" i="76" s="1"/>
  <c r="L132" i="76"/>
  <c r="L141" i="76"/>
  <c r="G149" i="76"/>
  <c r="K148" i="76"/>
  <c r="K147" i="76" s="1"/>
  <c r="F168" i="76"/>
  <c r="I169" i="76"/>
  <c r="G175" i="76"/>
  <c r="F176" i="76"/>
  <c r="F175" i="76" s="1"/>
  <c r="I177" i="76"/>
  <c r="L180" i="76"/>
  <c r="F194" i="76"/>
  <c r="F186" i="76" s="1"/>
  <c r="I195" i="76"/>
  <c r="F203" i="76"/>
  <c r="I204" i="76"/>
  <c r="I209" i="76"/>
  <c r="L210" i="76"/>
  <c r="F212" i="76"/>
  <c r="F208" i="76" s="1"/>
  <c r="F207" i="76" s="1"/>
  <c r="I213" i="76"/>
  <c r="L235" i="76"/>
  <c r="M237" i="76"/>
  <c r="N237" i="76" s="1"/>
  <c r="F243" i="76"/>
  <c r="M268" i="76"/>
  <c r="N268" i="76" s="1"/>
  <c r="K377" i="76"/>
  <c r="K376" i="76" s="1"/>
  <c r="K375" i="76" s="1"/>
  <c r="G235" i="76"/>
  <c r="G234" i="76" s="1"/>
  <c r="I236" i="76"/>
  <c r="L260" i="76"/>
  <c r="K259" i="76"/>
  <c r="L259" i="76" s="1"/>
  <c r="I291" i="76"/>
  <c r="L302" i="76"/>
  <c r="J301" i="76"/>
  <c r="I315" i="76"/>
  <c r="H314" i="76"/>
  <c r="H313" i="76" s="1"/>
  <c r="H312" i="76" s="1"/>
  <c r="H298" i="76" s="1"/>
  <c r="F332" i="76"/>
  <c r="F338" i="76"/>
  <c r="F344" i="76"/>
  <c r="J351" i="76"/>
  <c r="I354" i="76"/>
  <c r="H353" i="76"/>
  <c r="H352" i="76" s="1"/>
  <c r="H351" i="76" s="1"/>
  <c r="L43" i="76"/>
  <c r="I99" i="76"/>
  <c r="L102" i="76"/>
  <c r="I127" i="76"/>
  <c r="I143" i="76"/>
  <c r="L169" i="76"/>
  <c r="L177" i="76"/>
  <c r="L195" i="76"/>
  <c r="L204" i="76"/>
  <c r="L213" i="76"/>
  <c r="L236" i="76"/>
  <c r="J243" i="76"/>
  <c r="F271" i="76"/>
  <c r="L291" i="76"/>
  <c r="K279" i="76"/>
  <c r="K278" i="76" s="1"/>
  <c r="H279" i="76"/>
  <c r="H278" i="76" s="1"/>
  <c r="F312" i="76"/>
  <c r="L333" i="76"/>
  <c r="J332" i="76"/>
  <c r="L339" i="76"/>
  <c r="J338" i="76"/>
  <c r="L345" i="76"/>
  <c r="J344" i="76"/>
  <c r="L372" i="76"/>
  <c r="J371" i="76"/>
  <c r="I377" i="76"/>
  <c r="J226" i="76"/>
  <c r="L226" i="76" s="1"/>
  <c r="L227" i="76"/>
  <c r="M227" i="76" s="1"/>
  <c r="N227" i="76" s="1"/>
  <c r="F249" i="76"/>
  <c r="L263" i="76"/>
  <c r="K262" i="76"/>
  <c r="F351" i="76"/>
  <c r="F377" i="76"/>
  <c r="G22" i="76"/>
  <c r="G21" i="76" s="1"/>
  <c r="G301" i="76"/>
  <c r="L360" i="76"/>
  <c r="M360" i="76" s="1"/>
  <c r="L381" i="76"/>
  <c r="M381" i="76" s="1"/>
  <c r="N381" i="76" s="1"/>
  <c r="M388" i="76"/>
  <c r="L251" i="76"/>
  <c r="H273" i="76"/>
  <c r="H272" i="76" s="1"/>
  <c r="H271" i="76" s="1"/>
  <c r="H270" i="76" s="1"/>
  <c r="H269" i="76" s="1"/>
  <c r="L273" i="76"/>
  <c r="L281" i="76"/>
  <c r="I292" i="76"/>
  <c r="I302" i="76"/>
  <c r="L303" i="76"/>
  <c r="M303" i="76" s="1"/>
  <c r="N303" i="76" s="1"/>
  <c r="I306" i="76"/>
  <c r="I333" i="76"/>
  <c r="L334" i="76"/>
  <c r="I339" i="76"/>
  <c r="L340" i="76"/>
  <c r="L346" i="76"/>
  <c r="G359" i="76"/>
  <c r="F360" i="76"/>
  <c r="F359" i="76" s="1"/>
  <c r="I361" i="76"/>
  <c r="F372" i="76"/>
  <c r="I373" i="76"/>
  <c r="L379" i="76"/>
  <c r="K387" i="76"/>
  <c r="L387" i="76" s="1"/>
  <c r="H406" i="76"/>
  <c r="I406" i="76" s="1"/>
  <c r="I260" i="76"/>
  <c r="L261" i="76"/>
  <c r="M261" i="76" s="1"/>
  <c r="N261" i="76" s="1"/>
  <c r="I263" i="76"/>
  <c r="L264" i="76"/>
  <c r="M264" i="76" s="1"/>
  <c r="N264" i="76" s="1"/>
  <c r="L306" i="76"/>
  <c r="I316" i="76"/>
  <c r="I323" i="76"/>
  <c r="L328" i="76"/>
  <c r="M328" i="76" s="1"/>
  <c r="N328" i="76" s="1"/>
  <c r="I355" i="76"/>
  <c r="L361" i="76"/>
  <c r="L373" i="76"/>
  <c r="I382" i="76"/>
  <c r="I391" i="76"/>
  <c r="M391" i="76" s="1"/>
  <c r="K406" i="76"/>
  <c r="L406" i="76" s="1"/>
  <c r="G242" i="76" l="1"/>
  <c r="I378" i="76"/>
  <c r="M132" i="76"/>
  <c r="N132" i="76" s="1"/>
  <c r="I17" i="82"/>
  <c r="I385" i="82" s="1"/>
  <c r="L262" i="76"/>
  <c r="M262" i="76" s="1"/>
  <c r="N262" i="76" s="1"/>
  <c r="K258" i="76"/>
  <c r="K257" i="76" s="1"/>
  <c r="K256" i="76" s="1"/>
  <c r="K247" i="76" s="1"/>
  <c r="M355" i="76"/>
  <c r="N355" i="76" s="1"/>
  <c r="H404" i="82"/>
  <c r="P21" i="82"/>
  <c r="J385" i="82"/>
  <c r="L17" i="82"/>
  <c r="M260" i="76"/>
  <c r="N260" i="76" s="1"/>
  <c r="I281" i="76"/>
  <c r="M281" i="76" s="1"/>
  <c r="N281" i="76" s="1"/>
  <c r="G280" i="76"/>
  <c r="M223" i="76"/>
  <c r="N223" i="76" s="1"/>
  <c r="M131" i="76"/>
  <c r="N131" i="76" s="1"/>
  <c r="M180" i="76"/>
  <c r="N180" i="76" s="1"/>
  <c r="I35" i="76"/>
  <c r="M35" i="76" s="1"/>
  <c r="N35" i="76" s="1"/>
  <c r="M23" i="76"/>
  <c r="N23" i="76" s="1"/>
  <c r="F50" i="76"/>
  <c r="I34" i="76"/>
  <c r="J359" i="76"/>
  <c r="J358" i="76" s="1"/>
  <c r="L358" i="76" s="1"/>
  <c r="M340" i="76"/>
  <c r="N340" i="76" s="1"/>
  <c r="M143" i="76"/>
  <c r="N143" i="76" s="1"/>
  <c r="L187" i="76"/>
  <c r="M217" i="76"/>
  <c r="N217" i="76" s="1"/>
  <c r="M335" i="76"/>
  <c r="N335" i="76" s="1"/>
  <c r="M347" i="76"/>
  <c r="N347" i="76" s="1"/>
  <c r="M188" i="76"/>
  <c r="N188" i="76" s="1"/>
  <c r="H350" i="76"/>
  <c r="M176" i="76"/>
  <c r="N176" i="76" s="1"/>
  <c r="L159" i="76"/>
  <c r="M341" i="76"/>
  <c r="N341" i="76" s="1"/>
  <c r="M366" i="76"/>
  <c r="N366" i="76" s="1"/>
  <c r="M282" i="76"/>
  <c r="N282" i="76" s="1"/>
  <c r="K352" i="76"/>
  <c r="L353" i="76"/>
  <c r="M379" i="76"/>
  <c r="N379" i="76" s="1"/>
  <c r="L363" i="76"/>
  <c r="M339" i="76"/>
  <c r="N339" i="76" s="1"/>
  <c r="H18" i="76"/>
  <c r="I234" i="76"/>
  <c r="M234" i="76" s="1"/>
  <c r="N234" i="76" s="1"/>
  <c r="G232" i="76"/>
  <c r="F358" i="76"/>
  <c r="F357" i="76" s="1"/>
  <c r="K359" i="76"/>
  <c r="K358" i="76" s="1"/>
  <c r="K357" i="76" s="1"/>
  <c r="M210" i="76"/>
  <c r="N210" i="76" s="1"/>
  <c r="M305" i="76"/>
  <c r="N305" i="76" s="1"/>
  <c r="I363" i="76"/>
  <c r="J231" i="76"/>
  <c r="L231" i="76" s="1"/>
  <c r="L232" i="76"/>
  <c r="M382" i="76"/>
  <c r="N382" i="76" s="1"/>
  <c r="M354" i="76"/>
  <c r="N354" i="76" s="1"/>
  <c r="I76" i="76"/>
  <c r="M76" i="76" s="1"/>
  <c r="N76" i="76" s="1"/>
  <c r="M252" i="76"/>
  <c r="N252" i="76" s="1"/>
  <c r="M320" i="76"/>
  <c r="N320" i="76" s="1"/>
  <c r="I159" i="76"/>
  <c r="M378" i="76"/>
  <c r="N378" i="76" s="1"/>
  <c r="M316" i="76"/>
  <c r="N316" i="76" s="1"/>
  <c r="M127" i="76"/>
  <c r="N127" i="76" s="1"/>
  <c r="M209" i="76"/>
  <c r="N209" i="76" s="1"/>
  <c r="M153" i="76"/>
  <c r="N153" i="76" s="1"/>
  <c r="M156" i="76"/>
  <c r="N156" i="76" s="1"/>
  <c r="F148" i="76"/>
  <c r="F147" i="76" s="1"/>
  <c r="F139" i="76" s="1"/>
  <c r="M319" i="76"/>
  <c r="N319" i="76" s="1"/>
  <c r="I346" i="76"/>
  <c r="M346" i="76" s="1"/>
  <c r="N346" i="76" s="1"/>
  <c r="G345" i="76"/>
  <c r="M116" i="76"/>
  <c r="N116" i="76" s="1"/>
  <c r="I351" i="76"/>
  <c r="M334" i="76"/>
  <c r="N334" i="76" s="1"/>
  <c r="I352" i="76"/>
  <c r="I313" i="76"/>
  <c r="M372" i="76"/>
  <c r="N372" i="76" s="1"/>
  <c r="M224" i="76"/>
  <c r="N224" i="76" s="1"/>
  <c r="J148" i="76"/>
  <c r="J147" i="76" s="1"/>
  <c r="J139" i="76" s="1"/>
  <c r="I226" i="76"/>
  <c r="M226" i="76" s="1"/>
  <c r="N226" i="76" s="1"/>
  <c r="G222" i="76"/>
  <c r="I222" i="76" s="1"/>
  <c r="M203" i="76"/>
  <c r="N203" i="76" s="1"/>
  <c r="M204" i="76"/>
  <c r="N204" i="76" s="1"/>
  <c r="L186" i="76"/>
  <c r="I83" i="76"/>
  <c r="M83" i="76" s="1"/>
  <c r="N83" i="76" s="1"/>
  <c r="N101" i="76"/>
  <c r="M387" i="76"/>
  <c r="H50" i="76"/>
  <c r="H49" i="76" s="1"/>
  <c r="H48" i="76" s="1"/>
  <c r="H47" i="76" s="1"/>
  <c r="I312" i="76"/>
  <c r="I314" i="76"/>
  <c r="I258" i="76"/>
  <c r="M168" i="76"/>
  <c r="N168" i="76" s="1"/>
  <c r="L322" i="76"/>
  <c r="M322" i="76" s="1"/>
  <c r="N322" i="76" s="1"/>
  <c r="K298" i="76"/>
  <c r="M323" i="76"/>
  <c r="N323" i="76" s="1"/>
  <c r="L315" i="76"/>
  <c r="M315" i="76" s="1"/>
  <c r="N315" i="76" s="1"/>
  <c r="J314" i="76"/>
  <c r="M302" i="76"/>
  <c r="N302" i="76" s="1"/>
  <c r="M291" i="76"/>
  <c r="N291" i="76" s="1"/>
  <c r="H247" i="76"/>
  <c r="I257" i="76"/>
  <c r="J249" i="76"/>
  <c r="L249" i="76" s="1"/>
  <c r="I251" i="76"/>
  <c r="M251" i="76" s="1"/>
  <c r="N251" i="76" s="1"/>
  <c r="G250" i="76"/>
  <c r="H206" i="76"/>
  <c r="H138" i="76" s="1"/>
  <c r="M213" i="76"/>
  <c r="N213" i="76" s="1"/>
  <c r="M194" i="76"/>
  <c r="N194" i="76" s="1"/>
  <c r="M169" i="76"/>
  <c r="N169" i="76" s="1"/>
  <c r="G50" i="76"/>
  <c r="G49" i="76" s="1"/>
  <c r="I51" i="76"/>
  <c r="M51" i="76" s="1"/>
  <c r="N51" i="76" s="1"/>
  <c r="M29" i="76"/>
  <c r="N29" i="76" s="1"/>
  <c r="M406" i="76"/>
  <c r="F371" i="76"/>
  <c r="I359" i="76"/>
  <c r="G358" i="76"/>
  <c r="F257" i="76"/>
  <c r="F256" i="76" s="1"/>
  <c r="F248" i="76"/>
  <c r="F167" i="76"/>
  <c r="I141" i="76"/>
  <c r="M141" i="76" s="1"/>
  <c r="N141" i="76" s="1"/>
  <c r="G140" i="76"/>
  <c r="I125" i="76"/>
  <c r="G124" i="76"/>
  <c r="L175" i="76"/>
  <c r="J174" i="76"/>
  <c r="M263" i="76"/>
  <c r="N263" i="76" s="1"/>
  <c r="M306" i="76"/>
  <c r="N306" i="76" s="1"/>
  <c r="I256" i="76"/>
  <c r="J222" i="76"/>
  <c r="I353" i="76"/>
  <c r="M99" i="76"/>
  <c r="N99" i="76" s="1"/>
  <c r="L280" i="76"/>
  <c r="M195" i="76"/>
  <c r="N195" i="76" s="1"/>
  <c r="M177" i="76"/>
  <c r="N177" i="76" s="1"/>
  <c r="M102" i="76"/>
  <c r="N102" i="76" s="1"/>
  <c r="N42" i="76"/>
  <c r="I271" i="76"/>
  <c r="M259" i="76"/>
  <c r="N259" i="76" s="1"/>
  <c r="M187" i="76"/>
  <c r="N187" i="76" s="1"/>
  <c r="L149" i="76"/>
  <c r="I301" i="76"/>
  <c r="G300" i="76"/>
  <c r="L371" i="76"/>
  <c r="J370" i="76"/>
  <c r="L338" i="76"/>
  <c r="M338" i="76" s="1"/>
  <c r="N338" i="76" s="1"/>
  <c r="J337" i="76"/>
  <c r="L337" i="76" s="1"/>
  <c r="M337" i="76" s="1"/>
  <c r="F174" i="76"/>
  <c r="F343" i="76"/>
  <c r="F331" i="76"/>
  <c r="L301" i="76"/>
  <c r="J300" i="76"/>
  <c r="L279" i="76"/>
  <c r="J278" i="76"/>
  <c r="L278" i="76" s="1"/>
  <c r="F202" i="76"/>
  <c r="L377" i="76"/>
  <c r="M377" i="76" s="1"/>
  <c r="N377" i="76" s="1"/>
  <c r="J376" i="76"/>
  <c r="F278" i="76"/>
  <c r="I270" i="76"/>
  <c r="G269" i="76"/>
  <c r="I269" i="76" s="1"/>
  <c r="F114" i="76"/>
  <c r="L202" i="76"/>
  <c r="J201" i="76"/>
  <c r="L185" i="76"/>
  <c r="L208" i="76"/>
  <c r="J207" i="76"/>
  <c r="L167" i="76"/>
  <c r="J166" i="76"/>
  <c r="L115" i="76"/>
  <c r="M115" i="76" s="1"/>
  <c r="N115" i="76" s="1"/>
  <c r="J114" i="76"/>
  <c r="F33" i="76"/>
  <c r="M373" i="76"/>
  <c r="N373" i="76" s="1"/>
  <c r="N360" i="76"/>
  <c r="M292" i="76"/>
  <c r="N292" i="76" s="1"/>
  <c r="I272" i="76"/>
  <c r="M272" i="76" s="1"/>
  <c r="N272" i="76" s="1"/>
  <c r="N212" i="76"/>
  <c r="M43" i="76"/>
  <c r="N43" i="76" s="1"/>
  <c r="F376" i="76"/>
  <c r="G279" i="76"/>
  <c r="I280" i="76"/>
  <c r="I235" i="76"/>
  <c r="M235" i="76" s="1"/>
  <c r="N235" i="76" s="1"/>
  <c r="G241" i="76"/>
  <c r="I242" i="76"/>
  <c r="I175" i="76"/>
  <c r="G174" i="76"/>
  <c r="I149" i="76"/>
  <c r="G148" i="76"/>
  <c r="L50" i="76"/>
  <c r="K49" i="76"/>
  <c r="J257" i="76"/>
  <c r="I208" i="76"/>
  <c r="G207" i="76"/>
  <c r="G185" i="76"/>
  <c r="I186" i="76"/>
  <c r="F49" i="76"/>
  <c r="L34" i="76"/>
  <c r="J33" i="76"/>
  <c r="F185" i="76"/>
  <c r="J124" i="76"/>
  <c r="L125" i="76"/>
  <c r="M361" i="76"/>
  <c r="N361" i="76" s="1"/>
  <c r="I22" i="76"/>
  <c r="I376" i="76"/>
  <c r="G375" i="76"/>
  <c r="I375" i="76" s="1"/>
  <c r="L344" i="76"/>
  <c r="J343" i="76"/>
  <c r="L343" i="76" s="1"/>
  <c r="L332" i="76"/>
  <c r="M332" i="76" s="1"/>
  <c r="N332" i="76" s="1"/>
  <c r="J331" i="76"/>
  <c r="L331" i="76" s="1"/>
  <c r="M331" i="76" s="1"/>
  <c r="F270" i="76"/>
  <c r="J242" i="76"/>
  <c r="L243" i="76"/>
  <c r="M243" i="76" s="1"/>
  <c r="N243" i="76" s="1"/>
  <c r="F337" i="76"/>
  <c r="F242" i="76"/>
  <c r="L22" i="76"/>
  <c r="I371" i="76"/>
  <c r="G370" i="76"/>
  <c r="F300" i="76"/>
  <c r="L271" i="76"/>
  <c r="J270" i="76"/>
  <c r="F124" i="76"/>
  <c r="I33" i="76"/>
  <c r="G32" i="76"/>
  <c r="I32" i="76" s="1"/>
  <c r="I167" i="76"/>
  <c r="G166" i="76"/>
  <c r="I114" i="76"/>
  <c r="G113" i="76"/>
  <c r="I113" i="76" s="1"/>
  <c r="I202" i="76"/>
  <c r="G201" i="76"/>
  <c r="M333" i="76"/>
  <c r="N333" i="76" s="1"/>
  <c r="I273" i="76"/>
  <c r="M273" i="76" s="1"/>
  <c r="N273" i="76" s="1"/>
  <c r="M236" i="76"/>
  <c r="N236" i="76" s="1"/>
  <c r="K139" i="76"/>
  <c r="K138" i="76" s="1"/>
  <c r="M142" i="76"/>
  <c r="N142" i="76" s="1"/>
  <c r="M126" i="76"/>
  <c r="N126" i="76" s="1"/>
  <c r="J357" i="76" l="1"/>
  <c r="L357" i="76" s="1"/>
  <c r="M17" i="82"/>
  <c r="N17" i="82" s="1"/>
  <c r="J404" i="82"/>
  <c r="L385" i="82"/>
  <c r="L404" i="82" s="1"/>
  <c r="I404" i="82"/>
  <c r="M186" i="76"/>
  <c r="N186" i="76" s="1"/>
  <c r="M34" i="76"/>
  <c r="N34" i="76" s="1"/>
  <c r="L359" i="76"/>
  <c r="M359" i="76" s="1"/>
  <c r="N359" i="76" s="1"/>
  <c r="M159" i="76"/>
  <c r="N159" i="76" s="1"/>
  <c r="M363" i="76"/>
  <c r="N363" i="76" s="1"/>
  <c r="K351" i="76"/>
  <c r="L351" i="76" s="1"/>
  <c r="M351" i="76" s="1"/>
  <c r="N351" i="76" s="1"/>
  <c r="K350" i="76"/>
  <c r="K17" i="76" s="1"/>
  <c r="K386" i="76" s="1"/>
  <c r="K405" i="76" s="1"/>
  <c r="L352" i="76"/>
  <c r="M352" i="76" s="1"/>
  <c r="N352" i="76" s="1"/>
  <c r="M353" i="76"/>
  <c r="N353" i="76" s="1"/>
  <c r="G231" i="76"/>
  <c r="I231" i="76" s="1"/>
  <c r="M231" i="76" s="1"/>
  <c r="N231" i="76" s="1"/>
  <c r="I232" i="76"/>
  <c r="M232" i="76" s="1"/>
  <c r="N232" i="76" s="1"/>
  <c r="J248" i="76"/>
  <c r="L248" i="76" s="1"/>
  <c r="I201" i="76"/>
  <c r="G199" i="76"/>
  <c r="L201" i="76"/>
  <c r="J199" i="76"/>
  <c r="M202" i="76"/>
  <c r="N202" i="76" s="1"/>
  <c r="G344" i="76"/>
  <c r="I345" i="76"/>
  <c r="M345" i="76" s="1"/>
  <c r="N345" i="76" s="1"/>
  <c r="L147" i="76"/>
  <c r="L148" i="76"/>
  <c r="M271" i="76"/>
  <c r="N271" i="76" s="1"/>
  <c r="G221" i="76"/>
  <c r="I221" i="76" s="1"/>
  <c r="J184" i="76"/>
  <c r="L184" i="76" s="1"/>
  <c r="M167" i="76"/>
  <c r="N167" i="76" s="1"/>
  <c r="I50" i="76"/>
  <c r="M50" i="76" s="1"/>
  <c r="N50" i="76" s="1"/>
  <c r="H17" i="76"/>
  <c r="H386" i="76" s="1"/>
  <c r="M280" i="76"/>
  <c r="N280" i="76" s="1"/>
  <c r="M175" i="76"/>
  <c r="N175" i="76" s="1"/>
  <c r="L258" i="76"/>
  <c r="M258" i="76" s="1"/>
  <c r="N258" i="76" s="1"/>
  <c r="J313" i="76"/>
  <c r="L314" i="76"/>
  <c r="M314" i="76" s="1"/>
  <c r="N314" i="76" s="1"/>
  <c r="G249" i="76"/>
  <c r="I250" i="76"/>
  <c r="M250" i="76" s="1"/>
  <c r="N250" i="76" s="1"/>
  <c r="J20" i="76"/>
  <c r="L21" i="76"/>
  <c r="I21" i="76"/>
  <c r="G20" i="76"/>
  <c r="L49" i="76"/>
  <c r="K48" i="76"/>
  <c r="L48" i="76" s="1"/>
  <c r="I174" i="76"/>
  <c r="G173" i="76"/>
  <c r="I173" i="76" s="1"/>
  <c r="L114" i="76"/>
  <c r="M114" i="76" s="1"/>
  <c r="N114" i="76" s="1"/>
  <c r="J113" i="76"/>
  <c r="L113" i="76" s="1"/>
  <c r="M113" i="76" s="1"/>
  <c r="J47" i="76"/>
  <c r="L47" i="76" s="1"/>
  <c r="L207" i="76"/>
  <c r="F123" i="76"/>
  <c r="F241" i="76"/>
  <c r="J241" i="76"/>
  <c r="L242" i="76"/>
  <c r="M242" i="76" s="1"/>
  <c r="N242" i="76" s="1"/>
  <c r="L124" i="76"/>
  <c r="J122" i="76"/>
  <c r="L122" i="76" s="1"/>
  <c r="J123" i="76"/>
  <c r="L123" i="76" s="1"/>
  <c r="F20" i="76"/>
  <c r="G240" i="76"/>
  <c r="I241" i="76"/>
  <c r="I279" i="76"/>
  <c r="M279" i="76" s="1"/>
  <c r="N279" i="76" s="1"/>
  <c r="G278" i="76"/>
  <c r="I278" i="76" s="1"/>
  <c r="M278" i="76" s="1"/>
  <c r="N278" i="76" s="1"/>
  <c r="F32" i="76"/>
  <c r="F173" i="76"/>
  <c r="F166" i="76"/>
  <c r="M371" i="76"/>
  <c r="N371" i="76" s="1"/>
  <c r="M208" i="76"/>
  <c r="N208" i="76" s="1"/>
  <c r="M149" i="76"/>
  <c r="N149" i="76" s="1"/>
  <c r="N331" i="76"/>
  <c r="M301" i="76"/>
  <c r="N301" i="76" s="1"/>
  <c r="I166" i="76"/>
  <c r="G165" i="76"/>
  <c r="I165" i="76" s="1"/>
  <c r="L270" i="76"/>
  <c r="M270" i="76" s="1"/>
  <c r="N270" i="76" s="1"/>
  <c r="J269" i="76"/>
  <c r="L269" i="76" s="1"/>
  <c r="M269" i="76" s="1"/>
  <c r="I370" i="76"/>
  <c r="G369" i="76"/>
  <c r="I369" i="76" s="1"/>
  <c r="L33" i="76"/>
  <c r="M33" i="76" s="1"/>
  <c r="N33" i="76" s="1"/>
  <c r="J32" i="76"/>
  <c r="L32" i="76" s="1"/>
  <c r="M32" i="76" s="1"/>
  <c r="F48" i="76"/>
  <c r="I207" i="76"/>
  <c r="I148" i="76"/>
  <c r="G147" i="76"/>
  <c r="I147" i="76" s="1"/>
  <c r="J165" i="76"/>
  <c r="L166" i="76"/>
  <c r="L376" i="76"/>
  <c r="M376" i="76" s="1"/>
  <c r="N376" i="76" s="1"/>
  <c r="J375" i="76"/>
  <c r="L375" i="76" s="1"/>
  <c r="M375" i="76" s="1"/>
  <c r="I300" i="76"/>
  <c r="G299" i="76"/>
  <c r="L222" i="76"/>
  <c r="M222" i="76" s="1"/>
  <c r="N222" i="76" s="1"/>
  <c r="J221" i="76"/>
  <c r="L221" i="76" s="1"/>
  <c r="J173" i="76"/>
  <c r="L173" i="76" s="1"/>
  <c r="L174" i="76"/>
  <c r="I140" i="76"/>
  <c r="M140" i="76" s="1"/>
  <c r="N140" i="76" s="1"/>
  <c r="I358" i="76"/>
  <c r="M358" i="76" s="1"/>
  <c r="N358" i="76" s="1"/>
  <c r="G357" i="76"/>
  <c r="F299" i="76"/>
  <c r="F269" i="76"/>
  <c r="I185" i="76"/>
  <c r="M185" i="76" s="1"/>
  <c r="N185" i="76" s="1"/>
  <c r="G184" i="76"/>
  <c r="I184" i="76" s="1"/>
  <c r="L257" i="76"/>
  <c r="M257" i="76" s="1"/>
  <c r="N257" i="76" s="1"/>
  <c r="J256" i="76"/>
  <c r="L256" i="76" s="1"/>
  <c r="M256" i="76" s="1"/>
  <c r="F375" i="76"/>
  <c r="F113" i="76"/>
  <c r="F201" i="76"/>
  <c r="I49" i="76"/>
  <c r="G48" i="76"/>
  <c r="F370" i="76"/>
  <c r="N337" i="76"/>
  <c r="M22" i="76"/>
  <c r="N22" i="76" s="1"/>
  <c r="L139" i="76"/>
  <c r="M125" i="76"/>
  <c r="N125" i="76" s="1"/>
  <c r="L300" i="76"/>
  <c r="J299" i="76"/>
  <c r="J369" i="76"/>
  <c r="L369" i="76" s="1"/>
  <c r="L370" i="76"/>
  <c r="G123" i="76"/>
  <c r="I124" i="76"/>
  <c r="M385" i="82" l="1"/>
  <c r="M201" i="76"/>
  <c r="N201" i="76" s="1"/>
  <c r="G206" i="76"/>
  <c r="I206" i="76" s="1"/>
  <c r="M147" i="76"/>
  <c r="N147" i="76" s="1"/>
  <c r="G198" i="76"/>
  <c r="I198" i="76" s="1"/>
  <c r="I199" i="76"/>
  <c r="L199" i="76"/>
  <c r="J198" i="76"/>
  <c r="L198" i="76" s="1"/>
  <c r="G343" i="76"/>
  <c r="I343" i="76" s="1"/>
  <c r="M343" i="76" s="1"/>
  <c r="N343" i="76" s="1"/>
  <c r="I344" i="76"/>
  <c r="M344" i="76" s="1"/>
  <c r="N344" i="76" s="1"/>
  <c r="M184" i="76"/>
  <c r="M148" i="76"/>
  <c r="N148" i="76" s="1"/>
  <c r="M370" i="76"/>
  <c r="N370" i="76" s="1"/>
  <c r="J350" i="76"/>
  <c r="L350" i="76" s="1"/>
  <c r="M221" i="76"/>
  <c r="N221" i="76" s="1"/>
  <c r="P22" i="76"/>
  <c r="J312" i="76"/>
  <c r="L312" i="76" s="1"/>
  <c r="M312" i="76" s="1"/>
  <c r="N312" i="76" s="1"/>
  <c r="L313" i="76"/>
  <c r="M313" i="76" s="1"/>
  <c r="N313" i="76" s="1"/>
  <c r="M300" i="76"/>
  <c r="N300" i="76" s="1"/>
  <c r="G248" i="76"/>
  <c r="I248" i="76" s="1"/>
  <c r="M248" i="76" s="1"/>
  <c r="N248" i="76" s="1"/>
  <c r="I249" i="76"/>
  <c r="M249" i="76" s="1"/>
  <c r="N249" i="76" s="1"/>
  <c r="M166" i="76"/>
  <c r="N166" i="76" s="1"/>
  <c r="M124" i="76"/>
  <c r="N124" i="76" s="1"/>
  <c r="M21" i="76"/>
  <c r="N21" i="76" s="1"/>
  <c r="L299" i="76"/>
  <c r="L165" i="76"/>
  <c r="M165" i="76" s="1"/>
  <c r="I357" i="76"/>
  <c r="M357" i="76" s="1"/>
  <c r="N357" i="76" s="1"/>
  <c r="G350" i="76"/>
  <c r="I350" i="76" s="1"/>
  <c r="I299" i="76"/>
  <c r="G298" i="76"/>
  <c r="I298" i="76" s="1"/>
  <c r="F47" i="76"/>
  <c r="G19" i="76"/>
  <c r="I20" i="76"/>
  <c r="I123" i="76"/>
  <c r="M123" i="76" s="1"/>
  <c r="N123" i="76" s="1"/>
  <c r="G122" i="76"/>
  <c r="I122" i="76" s="1"/>
  <c r="M122" i="76" s="1"/>
  <c r="F369" i="76"/>
  <c r="F298" i="76"/>
  <c r="H405" i="76"/>
  <c r="P21" i="76"/>
  <c r="F206" i="76"/>
  <c r="F165" i="76"/>
  <c r="G239" i="76"/>
  <c r="I239" i="76" s="1"/>
  <c r="I240" i="76"/>
  <c r="F239" i="76"/>
  <c r="F240" i="76"/>
  <c r="J19" i="76"/>
  <c r="L20" i="76"/>
  <c r="N113" i="76"/>
  <c r="N269" i="76"/>
  <c r="F247" i="76"/>
  <c r="J247" i="76"/>
  <c r="L247" i="76" s="1"/>
  <c r="M369" i="76"/>
  <c r="N256" i="76"/>
  <c r="M49" i="76"/>
  <c r="N49" i="76" s="1"/>
  <c r="N375" i="76"/>
  <c r="G139" i="76"/>
  <c r="M207" i="76"/>
  <c r="N207" i="76" s="1"/>
  <c r="N32" i="76"/>
  <c r="J206" i="76"/>
  <c r="L206" i="76" s="1"/>
  <c r="M174" i="76"/>
  <c r="N174" i="76" s="1"/>
  <c r="F184" i="76"/>
  <c r="I48" i="76"/>
  <c r="M48" i="76" s="1"/>
  <c r="N48" i="76" s="1"/>
  <c r="G47" i="76"/>
  <c r="I47" i="76" s="1"/>
  <c r="M47" i="76" s="1"/>
  <c r="J240" i="76"/>
  <c r="L241" i="76"/>
  <c r="M241" i="76" s="1"/>
  <c r="N241" i="76" s="1"/>
  <c r="M173" i="76"/>
  <c r="N173" i="76" s="1"/>
  <c r="F19" i="76"/>
  <c r="F18" i="76" s="1"/>
  <c r="F122" i="76"/>
  <c r="J298" i="76" l="1"/>
  <c r="L298" i="76" s="1"/>
  <c r="P386" i="82"/>
  <c r="M404" i="82"/>
  <c r="G247" i="76"/>
  <c r="M206" i="76"/>
  <c r="N206" i="76" s="1"/>
  <c r="M199" i="76"/>
  <c r="N199" i="76" s="1"/>
  <c r="N184" i="76"/>
  <c r="M198" i="76"/>
  <c r="N198" i="76" s="1"/>
  <c r="M350" i="76"/>
  <c r="M298" i="76"/>
  <c r="N298" i="76" s="1"/>
  <c r="J138" i="76"/>
  <c r="L138" i="76" s="1"/>
  <c r="N122" i="76"/>
  <c r="M20" i="76"/>
  <c r="N20" i="76" s="1"/>
  <c r="N165" i="76"/>
  <c r="F138" i="76"/>
  <c r="F17" i="76" s="1"/>
  <c r="I19" i="76"/>
  <c r="G18" i="76"/>
  <c r="N47" i="76"/>
  <c r="N369" i="76"/>
  <c r="M299" i="76"/>
  <c r="N299" i="76" s="1"/>
  <c r="L240" i="76"/>
  <c r="M240" i="76" s="1"/>
  <c r="N240" i="76" s="1"/>
  <c r="J239" i="76"/>
  <c r="L239" i="76" s="1"/>
  <c r="M239" i="76" s="1"/>
  <c r="N239" i="76" s="1"/>
  <c r="I139" i="76"/>
  <c r="M139" i="76" s="1"/>
  <c r="N139" i="76" s="1"/>
  <c r="G138" i="76"/>
  <c r="I138" i="76" s="1"/>
  <c r="L19" i="76"/>
  <c r="J18" i="76"/>
  <c r="F350" i="76"/>
  <c r="I247" i="76" l="1"/>
  <c r="M247" i="76" s="1"/>
  <c r="N247" i="76" s="1"/>
  <c r="G17" i="76"/>
  <c r="N350" i="76"/>
  <c r="M138" i="76"/>
  <c r="N138" i="76" s="1"/>
  <c r="M19" i="76"/>
  <c r="N19" i="76" s="1"/>
  <c r="P18" i="76" s="1"/>
  <c r="L18" i="76"/>
  <c r="J17" i="76"/>
  <c r="I18" i="76"/>
  <c r="M18" i="76" l="1"/>
  <c r="N18" i="76" s="1"/>
  <c r="G386" i="76"/>
  <c r="G405" i="76" s="1"/>
  <c r="I17" i="76"/>
  <c r="J386" i="76"/>
  <c r="L17" i="76"/>
  <c r="I386" i="76" l="1"/>
  <c r="M17" i="76"/>
  <c r="N17" i="76" s="1"/>
  <c r="L386" i="76"/>
  <c r="L405" i="76" s="1"/>
  <c r="J405" i="76"/>
  <c r="I405" i="76" l="1"/>
  <c r="M386" i="76"/>
  <c r="P387" i="76" s="1"/>
  <c r="M405" i="7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333" authorId="0" shapeId="0" xr:uid="{00000000-0006-0000-0D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ditanyakan</t>
        </r>
      </text>
    </comment>
  </commentList>
</comments>
</file>

<file path=xl/sharedStrings.xml><?xml version="1.0" encoding="utf-8"?>
<sst xmlns="http://schemas.openxmlformats.org/spreadsheetml/2006/main" count="11441" uniqueCount="495">
  <si>
    <t>PEMERINTAH KABUPATEN KARANGANYAR</t>
  </si>
  <si>
    <t>LAPORAN PERTANGGUNGJAWABAN BENDAHARA PENGELUARAN</t>
  </si>
  <si>
    <t>(SPJ BELANJA FUNGSIONAL)</t>
  </si>
  <si>
    <t>SKPD</t>
  </si>
  <si>
    <t>Pengguna Anggaran</t>
  </si>
  <si>
    <t>Bendahara Pengeluaran</t>
  </si>
  <si>
    <t>Tahun Anggaran</t>
  </si>
  <si>
    <t>Bulan</t>
  </si>
  <si>
    <t>Uraian</t>
  </si>
  <si>
    <t>Jumlah Anggaran</t>
  </si>
  <si>
    <t>Kode Rekening</t>
  </si>
  <si>
    <t>s.d Bulan Lalu</t>
  </si>
  <si>
    <t>Bulan ini</t>
  </si>
  <si>
    <t>s.d Bulan ini</t>
  </si>
  <si>
    <t>SPJ-LS Barang-Jasa *)</t>
  </si>
  <si>
    <t>SPJ UP/GU/TU</t>
  </si>
  <si>
    <t>Sisa Pagu Anggaran</t>
  </si>
  <si>
    <t>Jumlah SPJ (LS + UP/GU/TU) s.d Bulan ini</t>
  </si>
  <si>
    <t>9=(7+8)</t>
  </si>
  <si>
    <t>12=(10+11)</t>
  </si>
  <si>
    <t>JUMLAH</t>
  </si>
  <si>
    <t xml:space="preserve"> - SP2D</t>
  </si>
  <si>
    <t>b. PPh 21</t>
  </si>
  <si>
    <t xml:space="preserve"> - Lain-lain</t>
  </si>
  <si>
    <t>a. PPN</t>
  </si>
  <si>
    <t>c. PPh 22</t>
  </si>
  <si>
    <t>d. PPh 23</t>
  </si>
  <si>
    <t>Jumlah Penerimaan</t>
  </si>
  <si>
    <t>Saldo Kas</t>
  </si>
  <si>
    <t>Pembina Utama Muda</t>
  </si>
  <si>
    <t>Belanja Barang dan Jasa</t>
  </si>
  <si>
    <t>Belanja Jasa Kantor</t>
  </si>
  <si>
    <t>Belanja Pemeliharaan Aset Tetap Lainnya</t>
  </si>
  <si>
    <t>Belanja Makanan dan Minuman Rapat</t>
  </si>
  <si>
    <t>Penyediaan Jasa Surat Menyurat</t>
  </si>
  <si>
    <t>Belanja Pemeliharaan Gedung dan Bangunan</t>
  </si>
  <si>
    <t>14=(3-13)</t>
  </si>
  <si>
    <t>No</t>
  </si>
  <si>
    <t>Pejabat Pelaksana Teknis Kegiatan</t>
  </si>
  <si>
    <t xml:space="preserve">Bendahara Pengeluaran </t>
  </si>
  <si>
    <t>e. Pajak Catering</t>
  </si>
  <si>
    <t>Penerimaan :</t>
  </si>
  <si>
    <t xml:space="preserve"> - Potongan Pajak:</t>
  </si>
  <si>
    <t>Belanja Pemeliharaan Peralatan dan Mesin</t>
  </si>
  <si>
    <t>Belanja Jasa Tenaga Ahli</t>
  </si>
  <si>
    <t>: BADAN KEUANGAN DAERAH KABUPATEN KARANGANYAR</t>
  </si>
  <si>
    <t>Penyediaan Jasa Komunikasi, Sumber Daya Air dan Listrik</t>
  </si>
  <si>
    <t>NIP. 19840329 200604 2 008</t>
  </si>
  <si>
    <t>: JANUARI</t>
  </si>
  <si>
    <t>-</t>
  </si>
  <si>
    <t>: KUSUMASTUTI  INDRIAMAYA, A.Md</t>
  </si>
  <si>
    <t>KUSUMASTUTI INDRIAMAYA, A.Md</t>
  </si>
  <si>
    <t xml:space="preserve">Mengatahui </t>
  </si>
  <si>
    <t>Selaku Pengguna Anggaran</t>
  </si>
  <si>
    <t>Badan Keuangan Daerah</t>
  </si>
  <si>
    <t>: KURNIADI MAULATO, S.Sos., M.Si</t>
  </si>
  <si>
    <t>KURNIADI MAULATO, S.S.os., M.Si</t>
  </si>
  <si>
    <t>NIP. 19700510 199003 1 006</t>
  </si>
  <si>
    <t xml:space="preserve">Penata Muda Tk. I </t>
  </si>
  <si>
    <t>Kepala Badan Keuangan Daerah</t>
  </si>
  <si>
    <t>Kabupaten Karanganyar</t>
  </si>
  <si>
    <t>5.02.01.2.01.01</t>
  </si>
  <si>
    <t>Penyusunan Dokumen Perencanaan Perangkat Daerah</t>
  </si>
  <si>
    <t>5.1.02</t>
  </si>
  <si>
    <t>5.1.02.01.01</t>
  </si>
  <si>
    <t>Belanja Barang Pakai Habis</t>
  </si>
  <si>
    <t>5.1.02.01.01.0024</t>
  </si>
  <si>
    <t>Belanja Alat/Bahan untuk Kegiatan Kantor-Alat Tulis Kantor</t>
  </si>
  <si>
    <t>5.1.02.01.01.0026</t>
  </si>
  <si>
    <t>Belanja Alat/Bahan untuk Kegiatan Kantor-Bahan Cetak</t>
  </si>
  <si>
    <t>5.1.02.01.01.0052</t>
  </si>
  <si>
    <t>5.1.02.04.01</t>
  </si>
  <si>
    <t>Belanja Perjalanan Dinas Dalam Negeri</t>
  </si>
  <si>
    <t>5.1.02.04.01.0001</t>
  </si>
  <si>
    <t>Belanja Perjalanan Dinas Biasa</t>
  </si>
  <si>
    <t>Belanja Modal Peralatan dan Mesin</t>
  </si>
  <si>
    <t>5.2.02.05.01</t>
  </si>
  <si>
    <t>Belanja Modal Alat Kantor</t>
  </si>
  <si>
    <t>5.2.02</t>
  </si>
  <si>
    <t>5.02.01.2.01.06</t>
  </si>
  <si>
    <t>Koordinasi dan Penyusunan Laporan Capaian Kinerja dan Ikhtisar Realisasi Kinerja SKPD</t>
  </si>
  <si>
    <t>5.1.02.02.01</t>
  </si>
  <si>
    <t>5.1.02.02.01.0026</t>
  </si>
  <si>
    <t>Belanja Jasa Tenaga Administrasi</t>
  </si>
  <si>
    <t>5.02.01.2.02.05</t>
  </si>
  <si>
    <t>Koordinasi dan Penyusunan Laporan Keuangan Akhir Tahun SKPD</t>
  </si>
  <si>
    <t>5.02.01.2.05.09</t>
  </si>
  <si>
    <t>Pendidikan dan Pelatihan Pegawai Berdasarkan Tugas dan Fungsi</t>
  </si>
  <si>
    <t>5.1.02.04.01.0003</t>
  </si>
  <si>
    <t>Belanja Perjalanan Dinas Dalam Kota</t>
  </si>
  <si>
    <t>5.02.01.2.06.02</t>
  </si>
  <si>
    <t>Penyediaan Peralatan dan Perlengkapan Kantor</t>
  </si>
  <si>
    <t>5.2.02.05.02</t>
  </si>
  <si>
    <t>5.2.02.05.02.0004</t>
  </si>
  <si>
    <t>Belanja Modal Alat Rumah Tangga</t>
  </si>
  <si>
    <t>Belanja Modal Alat Pendingin</t>
  </si>
  <si>
    <t>5.2.02.10.01</t>
  </si>
  <si>
    <t>5.2.02.10.01.0002</t>
  </si>
  <si>
    <t>Belanja Modal Komputer Unit</t>
  </si>
  <si>
    <t>Belanja Modal Personal Computer</t>
  </si>
  <si>
    <t>5.1.02.02.01.0030</t>
  </si>
  <si>
    <t>Belanja Jasa Tenaga Kebersihan</t>
  </si>
  <si>
    <t>5.02.01.2.06.04</t>
  </si>
  <si>
    <t>Penyediaan Bahan Logistik Kantor</t>
  </si>
  <si>
    <t>5.1.02.01.01.0053</t>
  </si>
  <si>
    <t>5.02.01.2.06.09</t>
  </si>
  <si>
    <t>Penyelenggaraan Rapat Koordinasi dan Konsultasi SKPD</t>
  </si>
  <si>
    <t>5.1.02.04.01.0005</t>
  </si>
  <si>
    <t>Belanja Perjalanan Dinas Paket Meeting Luar Kota</t>
  </si>
  <si>
    <t>5.02.01.2.06.10</t>
  </si>
  <si>
    <t>Penatausahaan Arsip Dinamis pada SKPD</t>
  </si>
  <si>
    <t>5.1.02.02.01.0029</t>
  </si>
  <si>
    <t>5.02.01.2.06.11</t>
  </si>
  <si>
    <t>Dukungan Pelaksanaan Sistem Pemerintahan Berbasis Elektronik pada SKPD</t>
  </si>
  <si>
    <t>5.1.02.03.02</t>
  </si>
  <si>
    <t>5.1.02.03.02.0405</t>
  </si>
  <si>
    <t>Belanja Pemeliharaan Komputer-Komputer Unit-Personal Computer</t>
  </si>
  <si>
    <t>5.2.02.05.01.0005</t>
  </si>
  <si>
    <t>Belanja Modal Alat Kantor Lainnya</t>
  </si>
  <si>
    <t>5.02.01.2.07.02</t>
  </si>
  <si>
    <t>Pengadaan Kendaraan Dinas Operasional atau Lapangan</t>
  </si>
  <si>
    <t>5.2.02.02.01</t>
  </si>
  <si>
    <t>5.2.02.02.01.0001</t>
  </si>
  <si>
    <t>Belanja Modal Alat Angkutan Darat Bermotor</t>
  </si>
  <si>
    <t>Belanja Modal Kendaraan Dinas Bermotor Perorangan</t>
  </si>
  <si>
    <t>5.02.01.2.08.01</t>
  </si>
  <si>
    <t>5.1.02.01.01.0027</t>
  </si>
  <si>
    <t>Belanja Alat/Bahan untuk Kegiatan Kantor-Benda Pos</t>
  </si>
  <si>
    <t>5.02.01.2.08.02</t>
  </si>
  <si>
    <t>5.1.02.01.01.0004</t>
  </si>
  <si>
    <t>Belanja Bahan-Bahan Bakar dan Pelumas</t>
  </si>
  <si>
    <t>5.1.02.02.01.0059</t>
  </si>
  <si>
    <t>Belanja Tagihan Telepon</t>
  </si>
  <si>
    <t>5.1.02.02.01.0060</t>
  </si>
  <si>
    <t>Belanja Tagihan Air</t>
  </si>
  <si>
    <t>5.1.02.02.01.0061</t>
  </si>
  <si>
    <t>Belanja Tagihan Listrik</t>
  </si>
  <si>
    <t>5.1.02.02.01.0062</t>
  </si>
  <si>
    <t>Belanja Langganan Jurnal/Surat Kabar/Majalah</t>
  </si>
  <si>
    <t>5.1.02.02.01.0063</t>
  </si>
  <si>
    <t>Belanja Kawat/Faksimili/Internet/TV Berlangganan</t>
  </si>
  <si>
    <t>5.02.01.2.08.03</t>
  </si>
  <si>
    <t>Penyediaan Jasa Peralatan dan Perlengkapan Kantor</t>
  </si>
  <si>
    <t>5.02.01.2.09.06</t>
  </si>
  <si>
    <t>Pemeliharaan Peralatan dan Mesin Lainnya</t>
  </si>
  <si>
    <t>5.1.02.03.02.0121</t>
  </si>
  <si>
    <t>5.02.01.2.09.09</t>
  </si>
  <si>
    <t>5.1.02.03.03</t>
  </si>
  <si>
    <t>5.1.02.03.03.0001</t>
  </si>
  <si>
    <t>Belanja Pemeliharaan Bangunan Gedung-Bangunan Gedung Tempat Kerja-Bangunan Gedung Kantor</t>
  </si>
  <si>
    <t>5.1.02.03.05</t>
  </si>
  <si>
    <t>5.02.01.2.09.10</t>
  </si>
  <si>
    <t>Pemeliharaan/Rehabilitasi Sarana dan Prasarana Gedung Kantor atau Bangunan Lainnya</t>
  </si>
  <si>
    <t>5.02.01.2.09.11</t>
  </si>
  <si>
    <t>Pemeliharaan/Rehabilitasi Sarana dan Prasarana Pendukung Gedung Kantor atau Bangunan Lainnya</t>
  </si>
  <si>
    <t>13=(9+12)</t>
  </si>
  <si>
    <t>5.02.01.2.02.01</t>
  </si>
  <si>
    <t>Penyediaan Gaji dan Tunjangan ASN</t>
  </si>
  <si>
    <t>5.1.01</t>
  </si>
  <si>
    <t>Belanja Pegawai</t>
  </si>
  <si>
    <t>5.1.01.01.01</t>
  </si>
  <si>
    <t>5.1.01.01.01.0001</t>
  </si>
  <si>
    <t>Belanja Gaji Pokok ASN</t>
  </si>
  <si>
    <t>Belanja Gaji Pokok PNS</t>
  </si>
  <si>
    <t>5.1.01.01.02</t>
  </si>
  <si>
    <t>5.1.01.01.02.0001</t>
  </si>
  <si>
    <t>Belanja Tunjangan Keluarga ASN</t>
  </si>
  <si>
    <t>Belanja Tunjangan Keluarga PNS</t>
  </si>
  <si>
    <t>5.1.01.01.03</t>
  </si>
  <si>
    <t>5.1.01.01.03.0001</t>
  </si>
  <si>
    <t>Belanja Tunjangan Jabatan ASN</t>
  </si>
  <si>
    <t>Belanja Tunjangan Jabatan PNS</t>
  </si>
  <si>
    <t>5.1.01.01.04</t>
  </si>
  <si>
    <t>5.1.01.01.04.0001</t>
  </si>
  <si>
    <t>Belanja Tunjangan Fungsional ASN</t>
  </si>
  <si>
    <t>Belanja Tunjangan Fungsional PNS</t>
  </si>
  <si>
    <t>5.1.01.01.05</t>
  </si>
  <si>
    <t>5.1.01.01.05.0001</t>
  </si>
  <si>
    <t>Belanja Tunjangan Fungsional Umum ASN</t>
  </si>
  <si>
    <t>Belanja Tunjangan Fungsional Umum PNS</t>
  </si>
  <si>
    <t>5.1.01.01.06</t>
  </si>
  <si>
    <t>5.1.01.01.06.0001</t>
  </si>
  <si>
    <t>Belanja Tunjangan Beras ASN</t>
  </si>
  <si>
    <t>Belanja Tunjangan Beras PNS</t>
  </si>
  <si>
    <t>5.1.01.01.07</t>
  </si>
  <si>
    <t>5.1.01.01.07.0001</t>
  </si>
  <si>
    <t>Belanja Tunjangan PPh/Tunjangan Khusus ASN</t>
  </si>
  <si>
    <t>Belanja Tunjangan PPh/Tunjangan Khusus PNS</t>
  </si>
  <si>
    <t>5.1.01.01.08</t>
  </si>
  <si>
    <t>5.1.01.01.08.0001</t>
  </si>
  <si>
    <t>Belanja Pembulatan Gaji ASN</t>
  </si>
  <si>
    <t>5.1.01.01.09</t>
  </si>
  <si>
    <t>5.1.01.01.09.0001</t>
  </si>
  <si>
    <t>Belanja Iuran Jaminan Kesehatan ASN</t>
  </si>
  <si>
    <t>Belanja Iuran Jaminan Kesehatan PNS</t>
  </si>
  <si>
    <t>5.1.01.01.10</t>
  </si>
  <si>
    <t>5.1.01.01.10.0001</t>
  </si>
  <si>
    <t>Belanja Iuran Jaminan Kecelakaan Kerja ASN</t>
  </si>
  <si>
    <t>Belanja Iuran  Jaminan Kecelakaan Kerja PNS</t>
  </si>
  <si>
    <t>5.1.01.01.11</t>
  </si>
  <si>
    <t>5.1.01.01.11.0001</t>
  </si>
  <si>
    <t>Belanja Iuran Jaminan Kematian ASN</t>
  </si>
  <si>
    <t>Belanja Iuran  Jaminan Kematian PNS</t>
  </si>
  <si>
    <t>5.1.01.01.12</t>
  </si>
  <si>
    <t>5.1.01.01.12.0001</t>
  </si>
  <si>
    <t>Belanja Iuran Simpanan Peserta Tabungan Perumahan Rakyat ASN</t>
  </si>
  <si>
    <t>Belanja Iuran Simpanan Peserta Tabungan Perumahan Rakyat PNS</t>
  </si>
  <si>
    <t>5.1</t>
  </si>
  <si>
    <t>5.1.01.01</t>
  </si>
  <si>
    <t>Belanja Gaji dan Tunjangan ASN</t>
  </si>
  <si>
    <t>5.1.01.02</t>
  </si>
  <si>
    <t>Belanja Tambahan Penghasilan ASN</t>
  </si>
  <si>
    <t>5.1.01.02.01</t>
  </si>
  <si>
    <t>5.1.01.02.01.0001</t>
  </si>
  <si>
    <t>Belanja Tambahan Penghasilan berdasarkan Beban Kerja ASN</t>
  </si>
  <si>
    <t>Belanja Tambahan Penghasilan berdasarkan Beban Kerja PNS</t>
  </si>
  <si>
    <t>5.1.01.03</t>
  </si>
  <si>
    <t>5.1.01.03.01</t>
  </si>
  <si>
    <t>5.1.01.03.01.0006</t>
  </si>
  <si>
    <t>Tambahan Penghasilan berdasarkan Pertimbangan Objektif Lainnya ASN</t>
  </si>
  <si>
    <t>Belanja Insentif bagi ASN atas Pemungutan Pajak Daerah</t>
  </si>
  <si>
    <t>Belanja Insentif bagi ASN atas Pemungutan Pajak Hotel</t>
  </si>
  <si>
    <t>5.1.01.03.01.0007</t>
  </si>
  <si>
    <t>Belanja Insentif bagi ASN atas Pemungutan Pajak Restoran</t>
  </si>
  <si>
    <t>5.1.01.03.01.0008</t>
  </si>
  <si>
    <t>Belanja Insentif bagi ASN atas Pemungutan Pajak Hiburan</t>
  </si>
  <si>
    <t>5.1.01.03.01.0009</t>
  </si>
  <si>
    <t>Belanja Insentif bagi ASN atas Pemungutan Pajak Reklame</t>
  </si>
  <si>
    <t>5.1.01.03.01.0010</t>
  </si>
  <si>
    <t>Belanja Insentif bagi ASN atas Pemungutan Pajak Penerangan Jalan</t>
  </si>
  <si>
    <t>5.1.01.03.01.0011</t>
  </si>
  <si>
    <t>Belanja Insentif bagi ASN atas Pemungutan Pajak Parkir</t>
  </si>
  <si>
    <t>5.1.01.03.01.0012</t>
  </si>
  <si>
    <t>Belanja Insentif bagi ASN atas Pemungutan Pajak Air Tanah</t>
  </si>
  <si>
    <t>5.1.01.03.01.0014</t>
  </si>
  <si>
    <t>Belanja Insentif bagi ASN atas Pemungutan Pajak Mineral Bukan Logam dan Batuan</t>
  </si>
  <si>
    <t>5.1.01.03.01.0015</t>
  </si>
  <si>
    <t>Belanja Insentif bagi ASN atas Pemungutan Pajak Bumi dan Bangunan Pedesaan dan Perkotaan</t>
  </si>
  <si>
    <t>5.1.01.03.01.0016</t>
  </si>
  <si>
    <t>Belanja Insentif bagi ASN atas Pemungutan Bea Perolehan Hak atas Tanah dan Bangunan</t>
  </si>
  <si>
    <t>5.1.01.05</t>
  </si>
  <si>
    <t>Belanja Gaji dan Tunjangan KDH/WKDH</t>
  </si>
  <si>
    <t>5.1.01.05.10</t>
  </si>
  <si>
    <t>5.1.01.05.10.0006</t>
  </si>
  <si>
    <t>5.1.01.05.10.0007</t>
  </si>
  <si>
    <t>Belanja Insentif bagi KDH/WKDH atas Pemungutan Pajak Restoran</t>
  </si>
  <si>
    <t>5.1.01.05.10.0008</t>
  </si>
  <si>
    <t>Belanja Insentif bagi KDH/WKDH atas Pemungutan Pajak Hiburan</t>
  </si>
  <si>
    <t>5.1.01.05.10.0009</t>
  </si>
  <si>
    <t>Belanja Insentif bagi KDH/WKDH atas Pemungutan Pajak Reklame</t>
  </si>
  <si>
    <t>5.1.01.05.10.0010</t>
  </si>
  <si>
    <t>Belanja Insentif bagi KDH/WKDH atas Pemungutan Pajak Penerangan Jalan</t>
  </si>
  <si>
    <t>5.1.01.05.10.0011</t>
  </si>
  <si>
    <t>Belanja Insentif bagi KDH/WKDH atas Pemungutan Pajak Parkir</t>
  </si>
  <si>
    <t>5.1.01.05.10.0012</t>
  </si>
  <si>
    <t>Belanja Insentif bagi KDH/WKDH atas Pemungutan Pajak Air Tanah</t>
  </si>
  <si>
    <t>5.1.01.05.10.0014</t>
  </si>
  <si>
    <t>Belanja Insentif bagi KDH/WKDH atas Pemungutan Pajak Mineral Bukan Logam dan Batuan</t>
  </si>
  <si>
    <t>5.1.01.05.10.0015</t>
  </si>
  <si>
    <t>Belanja Insentif bagi KDH/WKDH atas Pemungutan Pajak Bumi dan Bangunan Perdesaan dan Perkotaan</t>
  </si>
  <si>
    <t>5.1.01.05.10.0016</t>
  </si>
  <si>
    <t>Belanja Insentif bagi KDH/WKDH atas Pemungutan Bea Perolehan Hak atas Tanah dan Bangunan</t>
  </si>
  <si>
    <t>Belanja Operasi</t>
  </si>
  <si>
    <t>5.1.02.01</t>
  </si>
  <si>
    <t>Belanja Barang</t>
  </si>
  <si>
    <t>5.1.02.04</t>
  </si>
  <si>
    <t>Belanja Perjalanan Dinas</t>
  </si>
  <si>
    <t>5.2</t>
  </si>
  <si>
    <t>Belanja Modal</t>
  </si>
  <si>
    <t>5.2.02.05</t>
  </si>
  <si>
    <t>Belanja Modal Alat Kantor dan Rumah Tangga</t>
  </si>
  <si>
    <t>5.1.02.02</t>
  </si>
  <si>
    <t>Belanja Jasa</t>
  </si>
  <si>
    <t>5.2.02.10</t>
  </si>
  <si>
    <t>Belanja Modal Komputer</t>
  </si>
  <si>
    <t>5.1.02.03</t>
  </si>
  <si>
    <t>Belanja Pemeliharaan</t>
  </si>
  <si>
    <t>5.2.02.02</t>
  </si>
  <si>
    <t>Belanja Modal Alat Angkutan</t>
  </si>
  <si>
    <t>Analisis Perencanaan dan Pelaksanaan Pembayaran Cicilan Pokok dan Bunga Pinjaman Pemerintah Daerah</t>
  </si>
  <si>
    <t>5.02.02.2.04.04</t>
  </si>
  <si>
    <t>5.1.03</t>
  </si>
  <si>
    <t>Belanja Bunga</t>
  </si>
  <si>
    <t>5.1.03.03</t>
  </si>
  <si>
    <t>Belanja Bunga Utang Pinjaman kepada Lembaga Keuangan Bank (LKB)</t>
  </si>
  <si>
    <t>5.02.02.2.04.08</t>
  </si>
  <si>
    <t>Analisis Perencanaan dan Penyaluran Bantuan Keuangan</t>
  </si>
  <si>
    <t>5.4</t>
  </si>
  <si>
    <t>Belanja Transfer</t>
  </si>
  <si>
    <t>5.4.02</t>
  </si>
  <si>
    <t>Belanja Bantuan Keuangan</t>
  </si>
  <si>
    <t>5.4.02.03</t>
  </si>
  <si>
    <t>Belanja Bantuan Keuangan Daerah Provinsi ke Kabupaten/Kota</t>
  </si>
  <si>
    <t>5.4.02.03.02</t>
  </si>
  <si>
    <t>5.4.02.03.02.0001</t>
  </si>
  <si>
    <t>Belanja Bantuan Keuangan Khusus Daerah Provinsi ke Kabupaten/Kota</t>
  </si>
  <si>
    <t>5.4.02.05</t>
  </si>
  <si>
    <t>5.4.02.05.01</t>
  </si>
  <si>
    <t>Belanja Bantuan Keuangan Daerah Provinsi atau Kabupaten/Kota kepada Desa</t>
  </si>
  <si>
    <t>5.4.02.05.01.0001</t>
  </si>
  <si>
    <t>Belanja Bantuan Keuangan Umum Daerah Provinsi atau Kabupaten/Kota kepada Desa</t>
  </si>
  <si>
    <t>5.4.02.05.02</t>
  </si>
  <si>
    <t>5.4.02.05.02.0001</t>
  </si>
  <si>
    <t>Belanja Bantuan Keuangan Khusus Daerah Provinsi atau Kabupaten/Kota kepada Desa</t>
  </si>
  <si>
    <t>5.02.02.2.04.09</t>
  </si>
  <si>
    <t>Pengelolaan Dana Darurat dan Mendesak</t>
  </si>
  <si>
    <t>5.3</t>
  </si>
  <si>
    <t>Belanja Tidak Terduga</t>
  </si>
  <si>
    <t>5.3.01</t>
  </si>
  <si>
    <t>5.3.01.01</t>
  </si>
  <si>
    <t>5.3.01.01.01</t>
  </si>
  <si>
    <t>5.3.01.01.01.0001</t>
  </si>
  <si>
    <t>Pengelolaan Dana Bagi Hasil Kabupaten/Kota</t>
  </si>
  <si>
    <t>5.4.01</t>
  </si>
  <si>
    <t>5.4.01.01</t>
  </si>
  <si>
    <t>5.4.01.01.03</t>
  </si>
  <si>
    <t>5.4.01.01.03.0001</t>
  </si>
  <si>
    <t>5.4.01.02</t>
  </si>
  <si>
    <t>5.4.01.02.01</t>
  </si>
  <si>
    <t>5.4.01.02.01.0001</t>
  </si>
  <si>
    <t>5.02.02.2.04.10</t>
  </si>
  <si>
    <t>f. Pajak PPh Ps 4 ayat 2</t>
  </si>
  <si>
    <t>g. Iuran Wajib Pegawai 1%</t>
  </si>
  <si>
    <t>h. Iuran Wajib Pemda 4%</t>
  </si>
  <si>
    <t>i. JKK</t>
  </si>
  <si>
    <t>j. JKM</t>
  </si>
  <si>
    <t>k. Iuran Wajib Pegawai 8%</t>
  </si>
  <si>
    <t>l. Pajak Daerah</t>
  </si>
  <si>
    <t>Pengeluaran :</t>
  </si>
  <si>
    <t>Belanja Pembulatan Gaji PNS</t>
  </si>
  <si>
    <t>Sekretariat BKD</t>
  </si>
  <si>
    <t>Belanja Insentif bagi KDH/WKDH atas Pemungutan Pajak Hotel</t>
  </si>
  <si>
    <t>TOTAL SEMUA</t>
  </si>
  <si>
    <t>TOTAL LS+GU</t>
  </si>
  <si>
    <t>TOTAL LS+GU+PAJAK</t>
  </si>
  <si>
    <t>Perencanaan, Penganggaran, dan Evaluasi Kinerja Perangkat Daerah</t>
  </si>
  <si>
    <t>5.02.01.2.01</t>
  </si>
  <si>
    <t>5.1.02.01.01.0025</t>
  </si>
  <si>
    <t>Belanja Alat/Bahan untuk Kegiatan Kantor-Kertas dan Cover</t>
  </si>
  <si>
    <t>5.1.02.01.01.0029</t>
  </si>
  <si>
    <t>Belanja Alat/Bahan untuk Kegiatan Kantor-Bahan Komputer</t>
  </si>
  <si>
    <t>Pemeliharaan Barang Milik Daerah Penunjang Urusan Pemerintahan Daerah</t>
  </si>
  <si>
    <t>5.02.01.2.09</t>
  </si>
  <si>
    <t>5.1.02.02.01.0067</t>
  </si>
  <si>
    <t>Belanja Pembayaran Pajak, Bea, dan Perizinan</t>
  </si>
  <si>
    <t>5.1.02.03.02.0035</t>
  </si>
  <si>
    <t>Belanja Pemeliharaan Alat Angkutan-Alat Angkutan Darat Bermotor-Kendaraan Dinas Bermotor Perorangan</t>
  </si>
  <si>
    <t>5.1.02.03.02.0115</t>
  </si>
  <si>
    <t>Belanja Pemeliharaan Alat Kantor dan Rumah Tangga-Alat Kantor-Alat Reproduksi (Penggandaan)</t>
  </si>
  <si>
    <t>5.1.02.03.02.0117</t>
  </si>
  <si>
    <t>Belanja Pemeliharaan Alat Kantor dan Rumah Tangga-Alat Kantor-Alat Kantor Lainnya</t>
  </si>
  <si>
    <t>Belanja Pemeliharaan Alat Kantor dan Rumah Tangga-Alat Rumah Tangga-Alat Pendingin</t>
  </si>
  <si>
    <t>5.1.02.03.02.0409</t>
  </si>
  <si>
    <t>Belanja Pemeliharaan Komputer-Peralatan Komputer-Peralatan Personal Computer</t>
  </si>
  <si>
    <t>5.1.02.03.02.0410</t>
  </si>
  <si>
    <t>Belanja Pemeliharaan Komputer-Peralatan Komputer-Peralatan Jaringan</t>
  </si>
  <si>
    <t>Pemeliharaan/Rehabilitasi Gedung Kantor dan Bangunan Lainnya</t>
  </si>
  <si>
    <t>5.02.01.2.07</t>
  </si>
  <si>
    <t>Pengadaan Barang Milik Daerah Penunjang Urusan Pemerintah Daerah</t>
  </si>
  <si>
    <t>5.02.01.2.08</t>
  </si>
  <si>
    <t>Penyediaan Jasa Penunjang Urusan Pemerintahan Daerah</t>
  </si>
  <si>
    <t>5.1.02.01.01.0031</t>
  </si>
  <si>
    <t>Belanja Alat/Bahan untuk Kegiatan Kantor-Alat Listrik</t>
  </si>
  <si>
    <t>5.02.01.2.08.04</t>
  </si>
  <si>
    <t>Penyediaan Jasa Pelayanan Umum Kantor</t>
  </si>
  <si>
    <t>5.1.02.01.01.0012</t>
  </si>
  <si>
    <t>Belanja Bahan-Bahan Lainnya</t>
  </si>
  <si>
    <t>5.1.02.01.01.0030</t>
  </si>
  <si>
    <t>Belanja Alat/Bahan untuk Kegiatan Kantor-Perabot Kantor</t>
  </si>
  <si>
    <t>5.1.02.01.01.0032</t>
  </si>
  <si>
    <t>Belanja Alat/Bahan untuk Kegiatan Kantor-Perlengkapan Dinas</t>
  </si>
  <si>
    <t>5.1.02.01.01.0036</t>
  </si>
  <si>
    <t>Belanja Alat/Bahan untuk Kegiatan Kantor-Alat/Bahan untuk Kegiatan Kantor Lainnya</t>
  </si>
  <si>
    <t>5.1.02.01.01.0038</t>
  </si>
  <si>
    <t>5.1.02.01.01.0063</t>
  </si>
  <si>
    <t>Belanja Pakaian Dinas Harian (PDH)</t>
  </si>
  <si>
    <t>5.1.02.02.01.0032</t>
  </si>
  <si>
    <t>Belanja Jasa Tenaga Caraka</t>
  </si>
  <si>
    <t>5.1.02.02.01.0051</t>
  </si>
  <si>
    <t>Belanja Jasa Pengolahan Sampah</t>
  </si>
  <si>
    <t>5.02.01.2.06</t>
  </si>
  <si>
    <t>Administrasi Umum Perangkat Daerah</t>
  </si>
  <si>
    <t>5.2.02.10.02</t>
  </si>
  <si>
    <t>Belanja Modal Peralatan Komputer</t>
  </si>
  <si>
    <t>5.2.02.10.02.0003</t>
  </si>
  <si>
    <t>Belanja Modal Peralatan Personal Computer</t>
  </si>
  <si>
    <t>5.2.02.10.02.0005</t>
  </si>
  <si>
    <t>Belanja Modal Peralatan Komputer Lainnya</t>
  </si>
  <si>
    <t>5.1.02.01.01.0043</t>
  </si>
  <si>
    <t>Belanja Natura dan Pakan-Natura</t>
  </si>
  <si>
    <t>Belanja Makanan dan Minuman Jamuan Tamu</t>
  </si>
  <si>
    <t>Belanja Perjalanan Dinas Dalam kota</t>
  </si>
  <si>
    <t>Belanja Obat-Obatan-Obat-Obatan Lainnya</t>
  </si>
  <si>
    <t>5.2.02.05.01.0004</t>
  </si>
  <si>
    <t>Belanja Modal Alat Penyimpan Perlengkapan Kantor</t>
  </si>
  <si>
    <t>5.1.02.03.02.0148</t>
  </si>
  <si>
    <t>Belanja Pemeliharaan Alat Studio, Komunikasi, dan Pemancar-Alat Komunikasi-Alat Komunikasi Lainnya</t>
  </si>
  <si>
    <t>5.2.02.05.02.0006</t>
  </si>
  <si>
    <t>Belanja Modal Alat Rumah Tangga Lainnya (Home Use)</t>
  </si>
  <si>
    <t>5.2.02.06</t>
  </si>
  <si>
    <t>Belanja Modal Alat Studio, Komunikasi, dan Pemancar</t>
  </si>
  <si>
    <t>5.2.02.06.01</t>
  </si>
  <si>
    <t>Belanja Modal Alat Studio</t>
  </si>
  <si>
    <t>5.2.02.06.01.0002</t>
  </si>
  <si>
    <t>Belanja Modal Peralatan Studio Video dan Film</t>
  </si>
  <si>
    <t>5.02.01.2.05</t>
  </si>
  <si>
    <t>Administrasi Kepegawaian Perangkat Daerah</t>
  </si>
  <si>
    <t>5.02.01.2.02</t>
  </si>
  <si>
    <t>Administrasi Keuangan Perangkat Daerah</t>
  </si>
  <si>
    <t>Belanja Insentif bagi KDH/WKDH atas Pemungutan Pajak Daerah</t>
  </si>
  <si>
    <t>5.02.02.2.04</t>
  </si>
  <si>
    <t>Penunjang Urusan Kewenangan Pengelolaan Keuangan Daerah</t>
  </si>
  <si>
    <t>5.1.03.03.02</t>
  </si>
  <si>
    <t>Belanja Bunga Utang Pinjaman kepada Lembaga Keuangan Bank (LKB)-BUMN-Jangka Menengah</t>
  </si>
  <si>
    <t>5.1.03.03.02.0001</t>
  </si>
  <si>
    <t>Belanja Bagi Hasil</t>
  </si>
  <si>
    <t>Belanja Bagi Hasil Pajak Daerah Kepada Pemerintahan Kabupaten/Kota dan Desa</t>
  </si>
  <si>
    <t>Belanja Bagi Hasil Pajak Daerah Kepada Pemerintahan Desa</t>
  </si>
  <si>
    <t>Belanja Bagi Hasil Retribusi Daerah Kabupaten/Kota Kepada Pemerintah Desa</t>
  </si>
  <si>
    <t>Penata Muda Tk.I</t>
  </si>
  <si>
    <t>NIP. 19901113 201507 1 001</t>
  </si>
  <si>
    <t>NOVAN DEKA SETYA GARAGUNA, S.STP., M.M</t>
  </si>
  <si>
    <t xml:space="preserve">Pembantu Bendahara Pengeluaran </t>
  </si>
  <si>
    <t>DWI PURWANTI, SE</t>
  </si>
  <si>
    <t>NIP. 19760525 199703 2 003</t>
  </si>
  <si>
    <t>Penata Tk. I</t>
  </si>
  <si>
    <t>m. BPJS Kesehatan PNS (4%)</t>
  </si>
  <si>
    <t>GU</t>
  </si>
  <si>
    <t>LS MANUAL</t>
  </si>
  <si>
    <t>5.1.01.02.03.0001</t>
  </si>
  <si>
    <t>Belanja Tambahan Penghasilan berdasarkan Kondisi Kerja PNS</t>
  </si>
  <si>
    <t>5.1.01.02.03</t>
  </si>
  <si>
    <t>Belanja Tambahan Penghasilan berdasarkan Kondisi Kerja ASN</t>
  </si>
  <si>
    <t>5.1.01.03.07</t>
  </si>
  <si>
    <t>Belanja Honorarium</t>
  </si>
  <si>
    <t>5.1.01.03.07.0001</t>
  </si>
  <si>
    <t>5.1.01.03.07.0002</t>
  </si>
  <si>
    <t>Belanja Honorarium Penanggungjawaban Pengelola Keuangan</t>
  </si>
  <si>
    <t>Belanja Honorarium Pengadaan Barang/Jasa</t>
  </si>
  <si>
    <t>5.1.01.03.08</t>
  </si>
  <si>
    <t>5.1.01.03.08.0002</t>
  </si>
  <si>
    <t>Belanja Jasa Pengelolaan BMD yang Tidak Menghasilkan Pendapatan</t>
  </si>
  <si>
    <t>Belanja Jasa Pengelolaan BMD</t>
  </si>
  <si>
    <t>5.1.02.01.01.0075</t>
  </si>
  <si>
    <t>Belanja Pakaian Batik Tradisional</t>
  </si>
  <si>
    <t>5.1.02.04.01.0004</t>
  </si>
  <si>
    <t>Belanja Perjalanan Dinas Paket Meeting Dalam Kota</t>
  </si>
  <si>
    <t>5.1.02.01.01.0076</t>
  </si>
  <si>
    <t>Belanja Pakaian Olahraga</t>
  </si>
  <si>
    <t>: 2023</t>
  </si>
  <si>
    <t>Karanganyar, 31 Januari 2023</t>
  </si>
  <si>
    <t>5.1.02.02.01.0003</t>
  </si>
  <si>
    <t>Honorarium Narasumber atau Pembahas, Moderator, Pembawa Acara, dan Panitia</t>
  </si>
  <si>
    <t>5.1.01.02.05</t>
  </si>
  <si>
    <t>5.1.01.02.05.0001</t>
  </si>
  <si>
    <t>Belanja Tambahan Penghasilan berdasarkan Prestasi Kerja PNS</t>
  </si>
  <si>
    <t>Belanja Tambahan Penghasilan berdasarkan Prestasi Kerja ASN</t>
  </si>
  <si>
    <t>5.1.01.03.07.0003</t>
  </si>
  <si>
    <t>Belanja Honorarium Perangkat Unit Kerja Pengadaan Barang dan Jasa (UKPBJ)</t>
  </si>
  <si>
    <t>5.2.02.06.01.0006</t>
  </si>
  <si>
    <t>Belanja Modal Alat Studio Lainnya</t>
  </si>
  <si>
    <t>Honorarium Narasumber atau Pembahas, moderator, Pembawa Acara, dan Panitia</t>
  </si>
  <si>
    <t>5.1.02.03.05.0012</t>
  </si>
  <si>
    <t>Belanja Pemeliharaan Bahan Perpustakaan-Bahan Perpustakaan Tercetak-Bahan Perpustakaan Tercetak Lainnya</t>
  </si>
  <si>
    <t>5.2.02.06.01.0001</t>
  </si>
  <si>
    <t>Belanja Modal Peralatan Studio Audio</t>
  </si>
  <si>
    <t>5.2.06</t>
  </si>
  <si>
    <t>Belanja Modal Aset Lainnya</t>
  </si>
  <si>
    <t>5.2.06.01</t>
  </si>
  <si>
    <t>Belanja Modal Aset Lainnya-Aset Tidak Berwujud</t>
  </si>
  <si>
    <t>5.2.06.01.01</t>
  </si>
  <si>
    <t>Belanja Modal Aset Tidak Berwujud</t>
  </si>
  <si>
    <t>5.2.06.01.01.0005</t>
  </si>
  <si>
    <t>Belanja Modal Aset Tidak Berwujud-Software</t>
  </si>
  <si>
    <t>5.1.02.02.01.0031</t>
  </si>
  <si>
    <t>Belanja Jasa Tenaga Keamanan</t>
  </si>
  <si>
    <t>5.02.01.2.09.02</t>
  </si>
  <si>
    <t>Penyediaan Jasa Pemeliharaan, Biaya Pemeliharaan, Pajak dan Perizinan Kendaraan Dinas Operasional atau Lapangan</t>
  </si>
  <si>
    <t>5.1.02.03.02.0022</t>
  </si>
  <si>
    <t>Belanja Pemeliharaan Alat Besar-Alat Bantu-Electric Generating Set</t>
  </si>
  <si>
    <t>5.4.02.05.02.0002</t>
  </si>
  <si>
    <t>Belanja Bantuan Keuangan Khusus Provinsi kepada Desa</t>
  </si>
  <si>
    <t>5.4.02.05.02.0003</t>
  </si>
  <si>
    <t>Belanja Bantuan Keuangan Khusus Kabupaten/Kota kepada Desa</t>
  </si>
  <si>
    <t>Belanja Modal Kantor</t>
  </si>
  <si>
    <t>: FEBRUARI</t>
  </si>
  <si>
    <t>Karanganyar, 28 Februari 2023</t>
  </si>
  <si>
    <t>: MARET</t>
  </si>
  <si>
    <t>Karanganyar, 31 Maret 2023</t>
  </si>
  <si>
    <t>: APRIL</t>
  </si>
  <si>
    <t>Karanganyar, 28 April 2023</t>
  </si>
  <si>
    <t>: MEI</t>
  </si>
  <si>
    <t>NAMA PROGRAM, KEGIATAN DAN SUB KEGIATAN</t>
  </si>
  <si>
    <t>TAHUN ANGGARAN 2023</t>
  </si>
  <si>
    <t>BADAN KEUANGAN DAERAH 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</si>
</sst>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sz val="16"/>
      <color rgb="FFFF0000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1" fontId="1" fillId="0" borderId="0" applyFont="0" applyFill="0" applyBorder="0" applyAlignment="0" applyProtection="0"/>
  </cellStyleXfs>
  <cellXfs count="543">
    <xf numFmtId="0" fontId="0" fillId="0" borderId="0" xfId="0"/>
    <xf numFmtId="0" fontId="2" fillId="3" borderId="0" xfId="0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41" fontId="2" fillId="3" borderId="0" xfId="0" applyNumberFormat="1" applyFont="1" applyFill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3" borderId="0" xfId="0" applyFont="1" applyFill="1" applyAlignment="1"/>
    <xf numFmtId="0" fontId="2" fillId="3" borderId="0" xfId="0" applyFont="1" applyFill="1" applyBorder="1" applyAlignment="1"/>
    <xf numFmtId="0" fontId="2" fillId="3" borderId="8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6" borderId="8" xfId="0" applyFont="1" applyFill="1" applyBorder="1" applyAlignment="1">
      <alignment vertical="top"/>
    </xf>
    <xf numFmtId="0" fontId="2" fillId="6" borderId="4" xfId="0" applyFont="1" applyFill="1" applyBorder="1" applyAlignment="1">
      <alignment vertical="top"/>
    </xf>
    <xf numFmtId="41" fontId="2" fillId="6" borderId="8" xfId="0" applyNumberFormat="1" applyFont="1" applyFill="1" applyBorder="1" applyAlignment="1">
      <alignment vertical="top"/>
    </xf>
    <xf numFmtId="41" fontId="2" fillId="6" borderId="8" xfId="0" quotePrefix="1" applyNumberFormat="1" applyFont="1" applyFill="1" applyBorder="1" applyAlignment="1">
      <alignment horizontal="right" vertical="top"/>
    </xf>
    <xf numFmtId="41" fontId="2" fillId="3" borderId="1" xfId="0" applyNumberFormat="1" applyFont="1" applyFill="1" applyBorder="1" applyAlignment="1">
      <alignment vertical="top"/>
    </xf>
    <xf numFmtId="41" fontId="2" fillId="3" borderId="1" xfId="0" applyNumberFormat="1" applyFont="1" applyFill="1" applyBorder="1" applyAlignment="1">
      <alignment horizontal="right" vertical="top"/>
    </xf>
    <xf numFmtId="41" fontId="2" fillId="6" borderId="8" xfId="0" applyNumberFormat="1" applyFont="1" applyFill="1" applyBorder="1" applyAlignment="1">
      <alignment horizontal="right" vertical="top"/>
    </xf>
    <xf numFmtId="41" fontId="2" fillId="6" borderId="8" xfId="0" quotePrefix="1" applyNumberFormat="1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6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41" fontId="2" fillId="3" borderId="8" xfId="0" applyNumberFormat="1" applyFont="1" applyFill="1" applyBorder="1" applyAlignment="1">
      <alignment horizontal="right" vertical="top"/>
    </xf>
    <xf numFmtId="41" fontId="2" fillId="3" borderId="8" xfId="0" applyNumberFormat="1" applyFont="1" applyFill="1" applyBorder="1" applyAlignment="1">
      <alignment vertical="top"/>
    </xf>
    <xf numFmtId="0" fontId="2" fillId="3" borderId="4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41" fontId="2" fillId="3" borderId="1" xfId="0" quotePrefix="1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0" fontId="5" fillId="3" borderId="0" xfId="0" applyFont="1" applyFill="1" applyAlignment="1">
      <alignment horizontal="center" vertical="top"/>
    </xf>
    <xf numFmtId="0" fontId="2" fillId="2" borderId="8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41" fontId="2" fillId="2" borderId="8" xfId="0" applyNumberFormat="1" applyFont="1" applyFill="1" applyBorder="1" applyAlignment="1">
      <alignment horizontal="right" vertical="top"/>
    </xf>
    <xf numFmtId="41" fontId="2" fillId="2" borderId="8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center"/>
    </xf>
    <xf numFmtId="41" fontId="5" fillId="2" borderId="8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right" vertical="top"/>
    </xf>
    <xf numFmtId="0" fontId="3" fillId="8" borderId="16" xfId="0" applyFont="1" applyFill="1" applyBorder="1" applyAlignment="1">
      <alignment horizontal="center" vertical="top"/>
    </xf>
    <xf numFmtId="0" fontId="3" fillId="8" borderId="15" xfId="0" applyFont="1" applyFill="1" applyBorder="1" applyAlignment="1">
      <alignment vertical="top"/>
    </xf>
    <xf numFmtId="0" fontId="2" fillId="8" borderId="15" xfId="0" applyFont="1" applyFill="1" applyBorder="1" applyAlignment="1">
      <alignment horizontal="left" vertical="top"/>
    </xf>
    <xf numFmtId="0" fontId="2" fillId="8" borderId="15" xfId="0" applyFont="1" applyFill="1" applyBorder="1" applyAlignment="1">
      <alignment vertical="top"/>
    </xf>
    <xf numFmtId="41" fontId="2" fillId="8" borderId="16" xfId="0" applyNumberFormat="1" applyFont="1" applyFill="1" applyBorder="1" applyAlignment="1">
      <alignment vertical="top"/>
    </xf>
    <xf numFmtId="41" fontId="2" fillId="8" borderId="16" xfId="0" applyNumberFormat="1" applyFont="1" applyFill="1" applyBorder="1" applyAlignment="1">
      <alignment horizontal="right" vertical="top"/>
    </xf>
    <xf numFmtId="0" fontId="3" fillId="8" borderId="17" xfId="0" applyFont="1" applyFill="1" applyBorder="1" applyAlignment="1">
      <alignment vertical="center"/>
    </xf>
    <xf numFmtId="41" fontId="3" fillId="8" borderId="17" xfId="0" applyNumberFormat="1" applyFont="1" applyFill="1" applyBorder="1" applyAlignment="1">
      <alignment vertical="center"/>
    </xf>
    <xf numFmtId="0" fontId="2" fillId="4" borderId="16" xfId="0" applyFont="1" applyFill="1" applyBorder="1" applyAlignment="1">
      <alignment vertical="top"/>
    </xf>
    <xf numFmtId="0" fontId="2" fillId="4" borderId="15" xfId="0" applyFont="1" applyFill="1" applyBorder="1" applyAlignment="1">
      <alignment vertical="top"/>
    </xf>
    <xf numFmtId="0" fontId="5" fillId="4" borderId="15" xfId="0" applyFont="1" applyFill="1" applyBorder="1" applyAlignment="1">
      <alignment vertical="top"/>
    </xf>
    <xf numFmtId="41" fontId="2" fillId="4" borderId="16" xfId="0" applyNumberFormat="1" applyFont="1" applyFill="1" applyBorder="1" applyAlignment="1">
      <alignment vertical="top"/>
    </xf>
    <xf numFmtId="41" fontId="2" fillId="4" borderId="16" xfId="0" quotePrefix="1" applyNumberFormat="1" applyFont="1" applyFill="1" applyBorder="1" applyAlignment="1">
      <alignment horizontal="right" vertical="top"/>
    </xf>
    <xf numFmtId="0" fontId="2" fillId="3" borderId="17" xfId="0" applyFont="1" applyFill="1" applyBorder="1" applyAlignment="1">
      <alignment vertical="center"/>
    </xf>
    <xf numFmtId="0" fontId="2" fillId="9" borderId="16" xfId="0" applyFont="1" applyFill="1" applyBorder="1" applyAlignment="1">
      <alignment vertical="top"/>
    </xf>
    <xf numFmtId="0" fontId="2" fillId="9" borderId="15" xfId="0" applyFont="1" applyFill="1" applyBorder="1" applyAlignment="1">
      <alignment vertical="top"/>
    </xf>
    <xf numFmtId="0" fontId="5" fillId="9" borderId="15" xfId="0" applyFont="1" applyFill="1" applyBorder="1" applyAlignment="1">
      <alignment vertical="top"/>
    </xf>
    <xf numFmtId="41" fontId="2" fillId="9" borderId="16" xfId="0" applyNumberFormat="1" applyFont="1" applyFill="1" applyBorder="1" applyAlignment="1">
      <alignment vertical="top"/>
    </xf>
    <xf numFmtId="41" fontId="2" fillId="9" borderId="16" xfId="0" quotePrefix="1" applyNumberFormat="1" applyFont="1" applyFill="1" applyBorder="1" applyAlignment="1">
      <alignment horizontal="right" vertical="top"/>
    </xf>
    <xf numFmtId="0" fontId="2" fillId="9" borderId="17" xfId="0" applyFont="1" applyFill="1" applyBorder="1" applyAlignment="1">
      <alignment vertical="center"/>
    </xf>
    <xf numFmtId="0" fontId="2" fillId="5" borderId="16" xfId="0" applyFont="1" applyFill="1" applyBorder="1" applyAlignment="1">
      <alignment vertical="top"/>
    </xf>
    <xf numFmtId="0" fontId="2" fillId="5" borderId="15" xfId="0" applyFont="1" applyFill="1" applyBorder="1" applyAlignment="1">
      <alignment vertical="top"/>
    </xf>
    <xf numFmtId="41" fontId="2" fillId="5" borderId="16" xfId="0" applyNumberFormat="1" applyFont="1" applyFill="1" applyBorder="1" applyAlignment="1">
      <alignment vertical="top"/>
    </xf>
    <xf numFmtId="41" fontId="2" fillId="5" borderId="16" xfId="0" applyNumberFormat="1" applyFont="1" applyFill="1" applyBorder="1" applyAlignment="1">
      <alignment horizontal="right" vertical="top"/>
    </xf>
    <xf numFmtId="41" fontId="2" fillId="5" borderId="16" xfId="0" quotePrefix="1" applyNumberFormat="1" applyFont="1" applyFill="1" applyBorder="1" applyAlignment="1">
      <alignment horizontal="right" vertical="top"/>
    </xf>
    <xf numFmtId="0" fontId="2" fillId="6" borderId="16" xfId="0" applyFont="1" applyFill="1" applyBorder="1" applyAlignment="1">
      <alignment vertical="top"/>
    </xf>
    <xf numFmtId="0" fontId="2" fillId="6" borderId="15" xfId="0" applyFont="1" applyFill="1" applyBorder="1" applyAlignment="1">
      <alignment vertical="top"/>
    </xf>
    <xf numFmtId="41" fontId="2" fillId="6" borderId="16" xfId="0" applyNumberFormat="1" applyFont="1" applyFill="1" applyBorder="1" applyAlignment="1">
      <alignment vertical="top"/>
    </xf>
    <xf numFmtId="41" fontId="2" fillId="6" borderId="16" xfId="0" quotePrefix="1" applyNumberFormat="1" applyFont="1" applyFill="1" applyBorder="1" applyAlignment="1">
      <alignment horizontal="right" vertical="top"/>
    </xf>
    <xf numFmtId="0" fontId="2" fillId="6" borderId="17" xfId="0" applyFont="1" applyFill="1" applyBorder="1" applyAlignment="1">
      <alignment vertical="center"/>
    </xf>
    <xf numFmtId="0" fontId="2" fillId="6" borderId="17" xfId="0" applyFont="1" applyFill="1" applyBorder="1" applyAlignment="1">
      <alignment vertical="top"/>
    </xf>
    <xf numFmtId="0" fontId="3" fillId="3" borderId="17" xfId="0" applyFont="1" applyFill="1" applyBorder="1" applyAlignment="1">
      <alignment vertical="center"/>
    </xf>
    <xf numFmtId="41" fontId="3" fillId="3" borderId="17" xfId="0" applyNumberFormat="1" applyFont="1" applyFill="1" applyBorder="1" applyAlignment="1">
      <alignment vertical="center"/>
    </xf>
    <xf numFmtId="0" fontId="2" fillId="4" borderId="15" xfId="0" applyFont="1" applyFill="1" applyBorder="1" applyAlignment="1">
      <alignment horizontal="left" vertical="top"/>
    </xf>
    <xf numFmtId="41" fontId="2" fillId="4" borderId="16" xfId="0" applyNumberFormat="1" applyFont="1" applyFill="1" applyBorder="1" applyAlignment="1">
      <alignment horizontal="right" vertical="top"/>
    </xf>
    <xf numFmtId="0" fontId="2" fillId="9" borderId="15" xfId="0" applyFont="1" applyFill="1" applyBorder="1" applyAlignment="1">
      <alignment horizontal="left" vertical="top"/>
    </xf>
    <xf numFmtId="41" fontId="2" fillId="9" borderId="16" xfId="0" applyNumberFormat="1" applyFont="1" applyFill="1" applyBorder="1" applyAlignment="1">
      <alignment horizontal="right" vertical="top"/>
    </xf>
    <xf numFmtId="0" fontId="2" fillId="5" borderId="15" xfId="0" applyFont="1" applyFill="1" applyBorder="1" applyAlignment="1">
      <alignment horizontal="left" vertical="top"/>
    </xf>
    <xf numFmtId="0" fontId="2" fillId="6" borderId="15" xfId="0" applyFont="1" applyFill="1" applyBorder="1" applyAlignment="1">
      <alignment horizontal="left" vertical="top"/>
    </xf>
    <xf numFmtId="41" fontId="2" fillId="6" borderId="16" xfId="0" applyNumberFormat="1" applyFont="1" applyFill="1" applyBorder="1" applyAlignment="1">
      <alignment horizontal="right" vertical="top"/>
    </xf>
    <xf numFmtId="0" fontId="2" fillId="6" borderId="15" xfId="0" applyFont="1" applyFill="1" applyBorder="1" applyAlignment="1">
      <alignment vertical="top" wrapText="1"/>
    </xf>
    <xf numFmtId="49" fontId="2" fillId="4" borderId="15" xfId="0" applyNumberFormat="1" applyFont="1" applyFill="1" applyBorder="1" applyAlignment="1">
      <alignment vertical="top"/>
    </xf>
    <xf numFmtId="49" fontId="2" fillId="5" borderId="15" xfId="0" applyNumberFormat="1" applyFont="1" applyFill="1" applyBorder="1" applyAlignment="1">
      <alignment vertical="top"/>
    </xf>
    <xf numFmtId="49" fontId="2" fillId="6" borderId="15" xfId="0" applyNumberFormat="1" applyFont="1" applyFill="1" applyBorder="1" applyAlignment="1">
      <alignment vertical="top"/>
    </xf>
    <xf numFmtId="0" fontId="3" fillId="8" borderId="16" xfId="0" applyFont="1" applyFill="1" applyBorder="1" applyAlignment="1">
      <alignment vertical="top"/>
    </xf>
    <xf numFmtId="0" fontId="3" fillId="4" borderId="16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vertical="top"/>
    </xf>
    <xf numFmtId="0" fontId="3" fillId="5" borderId="16" xfId="0" applyFont="1" applyFill="1" applyBorder="1" applyAlignment="1">
      <alignment horizontal="center" vertical="top"/>
    </xf>
    <xf numFmtId="0" fontId="2" fillId="5" borderId="17" xfId="0" applyFont="1" applyFill="1" applyBorder="1" applyAlignment="1">
      <alignment vertical="top"/>
    </xf>
    <xf numFmtId="0" fontId="3" fillId="6" borderId="16" xfId="0" applyFont="1" applyFill="1" applyBorder="1" applyAlignment="1">
      <alignment horizontal="center" vertical="top"/>
    </xf>
    <xf numFmtId="0" fontId="3" fillId="6" borderId="17" xfId="0" applyFont="1" applyFill="1" applyBorder="1" applyAlignment="1">
      <alignment vertical="center"/>
    </xf>
    <xf numFmtId="0" fontId="3" fillId="11" borderId="17" xfId="0" applyFont="1" applyFill="1" applyBorder="1" applyAlignment="1">
      <alignment vertical="center"/>
    </xf>
    <xf numFmtId="0" fontId="3" fillId="4" borderId="16" xfId="0" applyFont="1" applyFill="1" applyBorder="1" applyAlignment="1">
      <alignment vertical="top"/>
    </xf>
    <xf numFmtId="0" fontId="3" fillId="4" borderId="17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3" fillId="5" borderId="17" xfId="0" applyFont="1" applyFill="1" applyBorder="1" applyAlignment="1">
      <alignment vertical="top"/>
    </xf>
    <xf numFmtId="0" fontId="3" fillId="6" borderId="16" xfId="0" applyFont="1" applyFill="1" applyBorder="1" applyAlignment="1">
      <alignment vertical="top"/>
    </xf>
    <xf numFmtId="0" fontId="3" fillId="6" borderId="17" xfId="0" applyFont="1" applyFill="1" applyBorder="1" applyAlignment="1">
      <alignment vertical="top"/>
    </xf>
    <xf numFmtId="41" fontId="3" fillId="6" borderId="16" xfId="0" applyNumberFormat="1" applyFont="1" applyFill="1" applyBorder="1" applyAlignment="1">
      <alignment horizontal="right" vertical="top"/>
    </xf>
    <xf numFmtId="41" fontId="2" fillId="4" borderId="16" xfId="0" quotePrefix="1" applyNumberFormat="1" applyFont="1" applyFill="1" applyBorder="1" applyAlignment="1">
      <alignment vertical="top"/>
    </xf>
    <xf numFmtId="0" fontId="2" fillId="5" borderId="15" xfId="0" applyFont="1" applyFill="1" applyBorder="1" applyAlignment="1">
      <alignment vertical="top" wrapText="1"/>
    </xf>
    <xf numFmtId="41" fontId="2" fillId="6" borderId="16" xfId="0" quotePrefix="1" applyNumberFormat="1" applyFont="1" applyFill="1" applyBorder="1" applyAlignment="1">
      <alignment vertical="top"/>
    </xf>
    <xf numFmtId="0" fontId="5" fillId="9" borderId="15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/>
    </xf>
    <xf numFmtId="41" fontId="3" fillId="7" borderId="7" xfId="0" applyNumberFormat="1" applyFont="1" applyFill="1" applyBorder="1" applyAlignment="1">
      <alignment vertical="top"/>
    </xf>
    <xf numFmtId="0" fontId="3" fillId="8" borderId="18" xfId="0" applyFont="1" applyFill="1" applyBorder="1" applyAlignment="1">
      <alignment horizontal="center" vertical="top"/>
    </xf>
    <xf numFmtId="0" fontId="3" fillId="8" borderId="19" xfId="0" applyFont="1" applyFill="1" applyBorder="1" applyAlignment="1">
      <alignment vertical="top"/>
    </xf>
    <xf numFmtId="0" fontId="2" fillId="8" borderId="19" xfId="0" applyFont="1" applyFill="1" applyBorder="1" applyAlignment="1">
      <alignment horizontal="left" vertical="top"/>
    </xf>
    <xf numFmtId="0" fontId="2" fillId="8" borderId="19" xfId="0" applyFont="1" applyFill="1" applyBorder="1" applyAlignment="1">
      <alignment vertical="top"/>
    </xf>
    <xf numFmtId="41" fontId="2" fillId="8" borderId="18" xfId="0" applyNumberFormat="1" applyFont="1" applyFill="1" applyBorder="1" applyAlignment="1">
      <alignment vertical="top"/>
    </xf>
    <xf numFmtId="41" fontId="2" fillId="8" borderId="18" xfId="0" applyNumberFormat="1" applyFont="1" applyFill="1" applyBorder="1" applyAlignment="1">
      <alignment horizontal="right" vertical="top"/>
    </xf>
    <xf numFmtId="0" fontId="3" fillId="8" borderId="20" xfId="0" applyFont="1" applyFill="1" applyBorder="1" applyAlignment="1">
      <alignment vertical="center"/>
    </xf>
    <xf numFmtId="41" fontId="3" fillId="8" borderId="2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41" fontId="3" fillId="2" borderId="1" xfId="0" quotePrefix="1" applyNumberFormat="1" applyFont="1" applyFill="1" applyBorder="1" applyAlignment="1">
      <alignment vertical="top"/>
    </xf>
    <xf numFmtId="41" fontId="3" fillId="2" borderId="1" xfId="0" quotePrefix="1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vertical="center"/>
    </xf>
    <xf numFmtId="41" fontId="2" fillId="3" borderId="14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top"/>
    </xf>
    <xf numFmtId="0" fontId="3" fillId="10" borderId="10" xfId="0" applyFont="1" applyFill="1" applyBorder="1" applyAlignment="1">
      <alignment vertical="top"/>
    </xf>
    <xf numFmtId="0" fontId="3" fillId="10" borderId="10" xfId="0" applyFont="1" applyFill="1" applyBorder="1" applyAlignment="1">
      <alignment horizontal="left" vertical="top"/>
    </xf>
    <xf numFmtId="41" fontId="3" fillId="10" borderId="1" xfId="0" quotePrefix="1" applyNumberFormat="1" applyFont="1" applyFill="1" applyBorder="1" applyAlignment="1">
      <alignment vertical="top"/>
    </xf>
    <xf numFmtId="41" fontId="3" fillId="10" borderId="1" xfId="0" quotePrefix="1" applyNumberFormat="1" applyFont="1" applyFill="1" applyBorder="1" applyAlignment="1">
      <alignment horizontal="right" vertical="top"/>
    </xf>
    <xf numFmtId="0" fontId="3" fillId="10" borderId="14" xfId="0" applyFont="1" applyFill="1" applyBorder="1" applyAlignment="1">
      <alignment vertical="center"/>
    </xf>
    <xf numFmtId="41" fontId="3" fillId="10" borderId="14" xfId="0" applyNumberFormat="1" applyFont="1" applyFill="1" applyBorder="1" applyAlignment="1">
      <alignment vertical="center"/>
    </xf>
    <xf numFmtId="0" fontId="2" fillId="6" borderId="21" xfId="0" applyFont="1" applyFill="1" applyBorder="1" applyAlignment="1">
      <alignment vertical="top"/>
    </xf>
    <xf numFmtId="0" fontId="2" fillId="6" borderId="22" xfId="0" applyFont="1" applyFill="1" applyBorder="1" applyAlignment="1">
      <alignment vertical="top"/>
    </xf>
    <xf numFmtId="41" fontId="2" fillId="6" borderId="21" xfId="0" applyNumberFormat="1" applyFont="1" applyFill="1" applyBorder="1" applyAlignment="1">
      <alignment vertical="top"/>
    </xf>
    <xf numFmtId="41" fontId="2" fillId="6" borderId="21" xfId="0" quotePrefix="1" applyNumberFormat="1" applyFont="1" applyFill="1" applyBorder="1" applyAlignment="1">
      <alignment horizontal="right" vertical="top"/>
    </xf>
    <xf numFmtId="0" fontId="2" fillId="6" borderId="23" xfId="0" applyFont="1" applyFill="1" applyBorder="1" applyAlignment="1">
      <alignment vertical="center"/>
    </xf>
    <xf numFmtId="0" fontId="4" fillId="10" borderId="10" xfId="0" applyFont="1" applyFill="1" applyBorder="1" applyAlignment="1">
      <alignment vertical="top" wrapText="1"/>
    </xf>
    <xf numFmtId="0" fontId="2" fillId="3" borderId="21" xfId="0" applyFont="1" applyFill="1" applyBorder="1" applyAlignment="1">
      <alignment vertical="top"/>
    </xf>
    <xf numFmtId="49" fontId="2" fillId="3" borderId="22" xfId="0" applyNumberFormat="1" applyFont="1" applyFill="1" applyBorder="1" applyAlignment="1">
      <alignment vertical="top"/>
    </xf>
    <xf numFmtId="0" fontId="2" fillId="3" borderId="22" xfId="0" applyFont="1" applyFill="1" applyBorder="1" applyAlignment="1">
      <alignment vertical="top"/>
    </xf>
    <xf numFmtId="41" fontId="2" fillId="3" borderId="21" xfId="0" applyNumberFormat="1" applyFont="1" applyFill="1" applyBorder="1" applyAlignment="1">
      <alignment vertical="top"/>
    </xf>
    <xf numFmtId="41" fontId="2" fillId="3" borderId="21" xfId="0" applyNumberFormat="1" applyFont="1" applyFill="1" applyBorder="1" applyAlignment="1">
      <alignment horizontal="right" vertical="top"/>
    </xf>
    <xf numFmtId="0" fontId="2" fillId="3" borderId="23" xfId="0" applyFont="1" applyFill="1" applyBorder="1" applyAlignment="1">
      <alignment vertical="center"/>
    </xf>
    <xf numFmtId="41" fontId="3" fillId="2" borderId="1" xfId="0" applyNumberFormat="1" applyFont="1" applyFill="1" applyBorder="1" applyAlignment="1">
      <alignment vertical="top"/>
    </xf>
    <xf numFmtId="41" fontId="3" fillId="2" borderId="1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vertical="center"/>
    </xf>
    <xf numFmtId="41" fontId="3" fillId="3" borderId="14" xfId="0" applyNumberFormat="1" applyFont="1" applyFill="1" applyBorder="1" applyAlignment="1">
      <alignment vertical="center"/>
    </xf>
    <xf numFmtId="0" fontId="2" fillId="6" borderId="22" xfId="0" applyFont="1" applyFill="1" applyBorder="1" applyAlignment="1">
      <alignment vertical="top" wrapText="1"/>
    </xf>
    <xf numFmtId="41" fontId="2" fillId="6" borderId="21" xfId="0" applyNumberFormat="1" applyFont="1" applyFill="1" applyBorder="1" applyAlignment="1">
      <alignment horizontal="right" vertical="top"/>
    </xf>
    <xf numFmtId="0" fontId="3" fillId="8" borderId="18" xfId="0" applyFont="1" applyFill="1" applyBorder="1" applyAlignment="1">
      <alignment vertical="top"/>
    </xf>
    <xf numFmtId="0" fontId="3" fillId="6" borderId="21" xfId="0" applyFont="1" applyFill="1" applyBorder="1" applyAlignment="1">
      <alignment horizontal="center" vertical="top"/>
    </xf>
    <xf numFmtId="0" fontId="2" fillId="6" borderId="23" xfId="0" applyFont="1" applyFill="1" applyBorder="1" applyAlignment="1">
      <alignment vertical="top"/>
    </xf>
    <xf numFmtId="0" fontId="3" fillId="6" borderId="23" xfId="0" applyFont="1" applyFill="1" applyBorder="1" applyAlignment="1">
      <alignment vertical="center"/>
    </xf>
    <xf numFmtId="0" fontId="3" fillId="10" borderId="1" xfId="0" applyFont="1" applyFill="1" applyBorder="1" applyAlignment="1">
      <alignment vertical="top"/>
    </xf>
    <xf numFmtId="0" fontId="3" fillId="3" borderId="23" xfId="0" applyFont="1" applyFill="1" applyBorder="1" applyAlignment="1">
      <alignment vertical="center"/>
    </xf>
    <xf numFmtId="0" fontId="3" fillId="3" borderId="21" xfId="0" applyFont="1" applyFill="1" applyBorder="1" applyAlignment="1">
      <alignment vertical="top"/>
    </xf>
    <xf numFmtId="41" fontId="3" fillId="3" borderId="21" xfId="0" applyNumberFormat="1" applyFont="1" applyFill="1" applyBorder="1" applyAlignment="1">
      <alignment vertical="top"/>
    </xf>
    <xf numFmtId="41" fontId="3" fillId="3" borderId="21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vertical="top" wrapText="1"/>
    </xf>
    <xf numFmtId="0" fontId="3" fillId="6" borderId="21" xfId="0" applyFont="1" applyFill="1" applyBorder="1" applyAlignment="1">
      <alignment vertical="top"/>
    </xf>
    <xf numFmtId="0" fontId="3" fillId="6" borderId="23" xfId="0" applyFont="1" applyFill="1" applyBorder="1" applyAlignment="1">
      <alignment vertical="top"/>
    </xf>
    <xf numFmtId="0" fontId="2" fillId="0" borderId="23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vertical="center"/>
    </xf>
    <xf numFmtId="0" fontId="3" fillId="10" borderId="10" xfId="0" applyFont="1" applyFill="1" applyBorder="1" applyAlignment="1">
      <alignment horizontal="left" vertical="center"/>
    </xf>
    <xf numFmtId="0" fontId="4" fillId="10" borderId="10" xfId="0" applyFont="1" applyFill="1" applyBorder="1" applyAlignment="1">
      <alignment vertical="center"/>
    </xf>
    <xf numFmtId="41" fontId="3" fillId="10" borderId="1" xfId="0" quotePrefix="1" applyNumberFormat="1" applyFont="1" applyFill="1" applyBorder="1" applyAlignment="1">
      <alignment vertical="center"/>
    </xf>
    <xf numFmtId="41" fontId="3" fillId="10" borderId="1" xfId="0" quotePrefix="1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0" borderId="0" xfId="2" applyFont="1" applyFill="1" applyAlignment="1">
      <alignment vertical="top"/>
    </xf>
    <xf numFmtId="0" fontId="2" fillId="6" borderId="15" xfId="0" applyFont="1" applyFill="1" applyBorder="1" applyAlignment="1">
      <alignment vertical="center"/>
    </xf>
    <xf numFmtId="41" fontId="2" fillId="6" borderId="16" xfId="0" applyNumberFormat="1" applyFont="1" applyFill="1" applyBorder="1" applyAlignment="1">
      <alignment horizontal="right" vertical="center"/>
    </xf>
    <xf numFmtId="0" fontId="4" fillId="10" borderId="10" xfId="0" applyFont="1" applyFill="1" applyBorder="1" applyAlignment="1">
      <alignment vertical="center" wrapText="1"/>
    </xf>
    <xf numFmtId="0" fontId="2" fillId="6" borderId="21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 wrapText="1"/>
    </xf>
    <xf numFmtId="41" fontId="2" fillId="6" borderId="21" xfId="0" applyNumberFormat="1" applyFont="1" applyFill="1" applyBorder="1" applyAlignment="1">
      <alignment vertical="center"/>
    </xf>
    <xf numFmtId="41" fontId="2" fillId="6" borderId="21" xfId="0" applyNumberFormat="1" applyFont="1" applyFill="1" applyBorder="1" applyAlignment="1">
      <alignment horizontal="right" vertical="center"/>
    </xf>
    <xf numFmtId="0" fontId="3" fillId="6" borderId="16" xfId="0" applyFont="1" applyFill="1" applyBorder="1" applyAlignment="1">
      <alignment vertical="center"/>
    </xf>
    <xf numFmtId="0" fontId="2" fillId="6" borderId="16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 wrapText="1"/>
    </xf>
    <xf numFmtId="41" fontId="2" fillId="6" borderId="16" xfId="0" applyNumberFormat="1" applyFont="1" applyFill="1" applyBorder="1" applyAlignment="1">
      <alignment vertical="center"/>
    </xf>
    <xf numFmtId="41" fontId="3" fillId="6" borderId="16" xfId="0" applyNumberFormat="1" applyFont="1" applyFill="1" applyBorder="1" applyAlignment="1">
      <alignment horizontal="right" vertical="center"/>
    </xf>
    <xf numFmtId="0" fontId="3" fillId="6" borderId="16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vertical="center"/>
    </xf>
    <xf numFmtId="0" fontId="2" fillId="9" borderId="15" xfId="0" applyFont="1" applyFill="1" applyBorder="1" applyAlignment="1">
      <alignment vertical="center"/>
    </xf>
    <xf numFmtId="0" fontId="5" fillId="9" borderId="15" xfId="0" applyFont="1" applyFill="1" applyBorder="1" applyAlignment="1">
      <alignment vertical="center"/>
    </xf>
    <xf numFmtId="41" fontId="2" fillId="9" borderId="16" xfId="0" applyNumberFormat="1" applyFont="1" applyFill="1" applyBorder="1" applyAlignment="1">
      <alignment vertical="center"/>
    </xf>
    <xf numFmtId="41" fontId="2" fillId="9" borderId="16" xfId="0" quotePrefix="1" applyNumberFormat="1" applyFont="1" applyFill="1" applyBorder="1" applyAlignment="1">
      <alignment horizontal="right" vertical="center"/>
    </xf>
    <xf numFmtId="0" fontId="2" fillId="5" borderId="16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 wrapText="1"/>
    </xf>
    <xf numFmtId="41" fontId="2" fillId="5" borderId="16" xfId="0" applyNumberFormat="1" applyFont="1" applyFill="1" applyBorder="1" applyAlignment="1">
      <alignment vertical="center"/>
    </xf>
    <xf numFmtId="41" fontId="2" fillId="5" borderId="16" xfId="0" applyNumberFormat="1" applyFont="1" applyFill="1" applyBorder="1" applyAlignment="1">
      <alignment horizontal="right" vertical="center"/>
    </xf>
    <xf numFmtId="41" fontId="2" fillId="6" borderId="16" xfId="0" quotePrefix="1" applyNumberFormat="1" applyFont="1" applyFill="1" applyBorder="1" applyAlignment="1">
      <alignment horizontal="right" vertical="center"/>
    </xf>
    <xf numFmtId="41" fontId="2" fillId="6" borderId="16" xfId="0" quotePrefix="1" applyNumberFormat="1" applyFont="1" applyFill="1" applyBorder="1" applyAlignment="1">
      <alignment vertical="center"/>
    </xf>
    <xf numFmtId="41" fontId="2" fillId="3" borderId="0" xfId="3" applyFont="1" applyFill="1" applyAlignment="1">
      <alignment vertical="center"/>
    </xf>
    <xf numFmtId="41" fontId="7" fillId="3" borderId="14" xfId="3" applyFont="1" applyFill="1" applyBorder="1" applyAlignment="1">
      <alignment vertical="center"/>
    </xf>
    <xf numFmtId="41" fontId="8" fillId="10" borderId="14" xfId="3" applyFont="1" applyFill="1" applyBorder="1" applyAlignment="1">
      <alignment vertical="center"/>
    </xf>
    <xf numFmtId="41" fontId="2" fillId="8" borderId="20" xfId="3" applyFont="1" applyFill="1" applyBorder="1" applyAlignment="1">
      <alignment vertical="center"/>
    </xf>
    <xf numFmtId="41" fontId="2" fillId="3" borderId="17" xfId="3" applyFont="1" applyFill="1" applyBorder="1" applyAlignment="1">
      <alignment vertical="center"/>
    </xf>
    <xf numFmtId="41" fontId="5" fillId="4" borderId="17" xfId="3" applyFont="1" applyFill="1" applyBorder="1" applyAlignment="1">
      <alignment vertical="center"/>
    </xf>
    <xf numFmtId="41" fontId="2" fillId="6" borderId="17" xfId="3" applyFont="1" applyFill="1" applyBorder="1" applyAlignment="1">
      <alignment vertical="center"/>
    </xf>
    <xf numFmtId="41" fontId="2" fillId="9" borderId="17" xfId="3" applyFont="1" applyFill="1" applyBorder="1" applyAlignment="1">
      <alignment vertical="center"/>
    </xf>
    <xf numFmtId="41" fontId="2" fillId="6" borderId="23" xfId="3" applyFont="1" applyFill="1" applyBorder="1" applyAlignment="1">
      <alignment vertical="center"/>
    </xf>
    <xf numFmtId="41" fontId="2" fillId="3" borderId="23" xfId="3" applyFont="1" applyFill="1" applyBorder="1" applyAlignment="1">
      <alignment vertical="center"/>
    </xf>
    <xf numFmtId="41" fontId="2" fillId="3" borderId="14" xfId="3" applyFont="1" applyFill="1" applyBorder="1" applyAlignment="1">
      <alignment vertical="center"/>
    </xf>
    <xf numFmtId="41" fontId="2" fillId="8" borderId="17" xfId="3" applyFont="1" applyFill="1" applyBorder="1" applyAlignment="1">
      <alignment vertical="center"/>
    </xf>
    <xf numFmtId="41" fontId="2" fillId="0" borderId="23" xfId="3" applyFont="1" applyFill="1" applyBorder="1" applyAlignment="1">
      <alignment vertical="center"/>
    </xf>
    <xf numFmtId="41" fontId="2" fillId="6" borderId="0" xfId="3" applyFont="1" applyFill="1" applyAlignment="1">
      <alignment vertical="center"/>
    </xf>
    <xf numFmtId="41" fontId="2" fillId="2" borderId="0" xfId="3" applyFont="1" applyFill="1" applyAlignment="1">
      <alignment vertical="center"/>
    </xf>
    <xf numFmtId="41" fontId="5" fillId="3" borderId="17" xfId="3" applyFont="1" applyFill="1" applyBorder="1" applyAlignment="1">
      <alignment vertical="center"/>
    </xf>
    <xf numFmtId="41" fontId="5" fillId="9" borderId="17" xfId="3" applyFont="1" applyFill="1" applyBorder="1" applyAlignment="1">
      <alignment vertical="center"/>
    </xf>
    <xf numFmtId="41" fontId="9" fillId="3" borderId="17" xfId="3" applyFont="1" applyFill="1" applyBorder="1" applyAlignment="1">
      <alignment vertical="center"/>
    </xf>
    <xf numFmtId="41" fontId="9" fillId="9" borderId="17" xfId="3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4" xfId="0" applyFont="1" applyFill="1" applyBorder="1" applyAlignment="1">
      <alignment vertical="center"/>
    </xf>
    <xf numFmtId="164" fontId="10" fillId="10" borderId="14" xfId="0" applyNumberFormat="1" applyFont="1" applyFill="1" applyBorder="1" applyAlignment="1">
      <alignment vertical="center"/>
    </xf>
    <xf numFmtId="0" fontId="10" fillId="8" borderId="20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9" borderId="17" xfId="0" applyFont="1" applyFill="1" applyBorder="1" applyAlignment="1">
      <alignment vertical="center"/>
    </xf>
    <xf numFmtId="164" fontId="9" fillId="6" borderId="17" xfId="1" applyNumberFormat="1" applyFont="1" applyFill="1" applyBorder="1" applyAlignment="1">
      <alignment vertical="center"/>
    </xf>
    <xf numFmtId="41" fontId="9" fillId="6" borderId="17" xfId="3" applyFont="1" applyFill="1" applyBorder="1" applyAlignment="1">
      <alignment vertical="center"/>
    </xf>
    <xf numFmtId="41" fontId="9" fillId="6" borderId="23" xfId="3" applyFont="1" applyFill="1" applyBorder="1" applyAlignment="1">
      <alignment vertical="center"/>
    </xf>
    <xf numFmtId="41" fontId="10" fillId="10" borderId="14" xfId="3" applyFont="1" applyFill="1" applyBorder="1" applyAlignment="1">
      <alignment vertical="center"/>
    </xf>
    <xf numFmtId="41" fontId="9" fillId="8" borderId="20" xfId="3" applyFont="1" applyFill="1" applyBorder="1" applyAlignment="1">
      <alignment vertical="center"/>
    </xf>
    <xf numFmtId="41" fontId="9" fillId="3" borderId="23" xfId="3" applyFont="1" applyFill="1" applyBorder="1" applyAlignment="1">
      <alignment vertical="center"/>
    </xf>
    <xf numFmtId="41" fontId="9" fillId="3" borderId="14" xfId="3" applyFont="1" applyFill="1" applyBorder="1" applyAlignment="1">
      <alignment vertical="center"/>
    </xf>
    <xf numFmtId="41" fontId="9" fillId="8" borderId="17" xfId="3" applyFont="1" applyFill="1" applyBorder="1" applyAlignment="1">
      <alignment vertical="center"/>
    </xf>
    <xf numFmtId="41" fontId="9" fillId="0" borderId="23" xfId="3" applyFont="1" applyFill="1" applyBorder="1" applyAlignment="1">
      <alignment vertical="center"/>
    </xf>
    <xf numFmtId="164" fontId="9" fillId="3" borderId="17" xfId="1" applyNumberFormat="1" applyFont="1" applyFill="1" applyBorder="1" applyAlignment="1">
      <alignment vertical="center"/>
    </xf>
    <xf numFmtId="164" fontId="9" fillId="6" borderId="23" xfId="1" applyNumberFormat="1" applyFont="1" applyFill="1" applyBorder="1" applyAlignment="1">
      <alignment vertical="center"/>
    </xf>
    <xf numFmtId="0" fontId="10" fillId="10" borderId="14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164" fontId="9" fillId="6" borderId="0" xfId="1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1" fontId="11" fillId="3" borderId="17" xfId="3" applyFont="1" applyFill="1" applyBorder="1" applyAlignment="1">
      <alignment vertical="center"/>
    </xf>
    <xf numFmtId="41" fontId="11" fillId="3" borderId="23" xfId="3" applyFont="1" applyFill="1" applyBorder="1" applyAlignment="1">
      <alignment vertical="center"/>
    </xf>
    <xf numFmtId="41" fontId="11" fillId="6" borderId="17" xfId="3" applyFont="1" applyFill="1" applyBorder="1" applyAlignment="1">
      <alignment vertical="center"/>
    </xf>
    <xf numFmtId="41" fontId="11" fillId="9" borderId="17" xfId="3" applyFont="1" applyFill="1" applyBorder="1" applyAlignment="1">
      <alignment vertical="center"/>
    </xf>
    <xf numFmtId="0" fontId="3" fillId="10" borderId="10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41" fontId="2" fillId="3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3" borderId="8" xfId="0" applyNumberFormat="1" applyFont="1" applyFill="1" applyBorder="1" applyAlignment="1">
      <alignment vertical="center"/>
    </xf>
    <xf numFmtId="0" fontId="9" fillId="3" borderId="14" xfId="0" applyFont="1" applyFill="1" applyBorder="1" applyAlignment="1">
      <alignment horizontal="center" vertical="center"/>
    </xf>
    <xf numFmtId="41" fontId="11" fillId="6" borderId="23" xfId="3" applyFont="1" applyFill="1" applyBorder="1" applyAlignment="1">
      <alignment vertical="center"/>
    </xf>
    <xf numFmtId="41" fontId="11" fillId="4" borderId="17" xfId="3" applyFont="1" applyFill="1" applyBorder="1" applyAlignment="1">
      <alignment vertical="center"/>
    </xf>
    <xf numFmtId="0" fontId="4" fillId="8" borderId="20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9" borderId="17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4" fillId="10" borderId="14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8" borderId="17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164" fontId="9" fillId="4" borderId="17" xfId="1" applyNumberFormat="1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3" borderId="0" xfId="2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top"/>
    </xf>
    <xf numFmtId="0" fontId="3" fillId="6" borderId="21" xfId="0" applyFont="1" applyFill="1" applyBorder="1" applyAlignment="1">
      <alignment vertical="center"/>
    </xf>
    <xf numFmtId="41" fontId="3" fillId="6" borderId="21" xfId="0" applyNumberFormat="1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3" borderId="0" xfId="2" applyFont="1" applyFill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2" fillId="0" borderId="0" xfId="2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10" fillId="12" borderId="20" xfId="0" applyFont="1" applyFill="1" applyBorder="1" applyAlignment="1">
      <alignment vertical="center"/>
    </xf>
    <xf numFmtId="0" fontId="9" fillId="12" borderId="17" xfId="0" applyFont="1" applyFill="1" applyBorder="1" applyAlignment="1">
      <alignment vertical="center"/>
    </xf>
    <xf numFmtId="164" fontId="9" fillId="12" borderId="17" xfId="1" applyNumberFormat="1" applyFont="1" applyFill="1" applyBorder="1" applyAlignment="1">
      <alignment vertical="center"/>
    </xf>
    <xf numFmtId="41" fontId="11" fillId="12" borderId="17" xfId="3" applyFont="1" applyFill="1" applyBorder="1" applyAlignment="1">
      <alignment vertical="center"/>
    </xf>
    <xf numFmtId="41" fontId="9" fillId="12" borderId="17" xfId="3" applyFont="1" applyFill="1" applyBorder="1" applyAlignment="1">
      <alignment vertical="center"/>
    </xf>
    <xf numFmtId="41" fontId="10" fillId="12" borderId="14" xfId="3" applyFont="1" applyFill="1" applyBorder="1" applyAlignment="1">
      <alignment vertical="center"/>
    </xf>
    <xf numFmtId="41" fontId="9" fillId="12" borderId="20" xfId="3" applyFont="1" applyFill="1" applyBorder="1" applyAlignment="1">
      <alignment vertical="center"/>
    </xf>
    <xf numFmtId="41" fontId="11" fillId="12" borderId="23" xfId="3" applyFont="1" applyFill="1" applyBorder="1" applyAlignment="1">
      <alignment vertical="center"/>
    </xf>
    <xf numFmtId="41" fontId="9" fillId="12" borderId="23" xfId="3" applyFont="1" applyFill="1" applyBorder="1" applyAlignment="1">
      <alignment vertical="center"/>
    </xf>
    <xf numFmtId="41" fontId="9" fillId="12" borderId="14" xfId="3" applyFont="1" applyFill="1" applyBorder="1" applyAlignment="1">
      <alignment vertical="center"/>
    </xf>
    <xf numFmtId="164" fontId="9" fillId="12" borderId="23" xfId="1" applyNumberFormat="1" applyFont="1" applyFill="1" applyBorder="1" applyAlignment="1">
      <alignment vertical="center"/>
    </xf>
    <xf numFmtId="0" fontId="10" fillId="12" borderId="14" xfId="0" applyFont="1" applyFill="1" applyBorder="1" applyAlignment="1">
      <alignment vertical="center"/>
    </xf>
    <xf numFmtId="0" fontId="10" fillId="12" borderId="17" xfId="0" applyFont="1" applyFill="1" applyBorder="1" applyAlignment="1">
      <alignment vertical="center"/>
    </xf>
    <xf numFmtId="164" fontId="9" fillId="12" borderId="0" xfId="1" applyNumberFormat="1" applyFont="1" applyFill="1" applyAlignment="1">
      <alignment vertical="center"/>
    </xf>
    <xf numFmtId="0" fontId="9" fillId="1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1" fontId="2" fillId="0" borderId="0" xfId="3" applyFont="1" applyFill="1" applyAlignment="1">
      <alignment vertical="center"/>
    </xf>
    <xf numFmtId="0" fontId="9" fillId="0" borderId="0" xfId="0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1" fontId="2" fillId="0" borderId="0" xfId="0" applyNumberFormat="1" applyFont="1" applyFill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41" fontId="3" fillId="0" borderId="7" xfId="0" applyNumberFormat="1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/>
    </xf>
    <xf numFmtId="41" fontId="3" fillId="0" borderId="1" xfId="0" quotePrefix="1" applyNumberFormat="1" applyFont="1" applyFill="1" applyBorder="1" applyAlignment="1">
      <alignment vertical="top"/>
    </xf>
    <xf numFmtId="41" fontId="3" fillId="0" borderId="1" xfId="0" quotePrefix="1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vertical="center"/>
    </xf>
    <xf numFmtId="41" fontId="7" fillId="0" borderId="14" xfId="3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41" fontId="3" fillId="0" borderId="1" xfId="0" quotePrefix="1" applyNumberFormat="1" applyFont="1" applyFill="1" applyBorder="1" applyAlignment="1">
      <alignment vertical="center"/>
    </xf>
    <xf numFmtId="41" fontId="3" fillId="0" borderId="1" xfId="0" quotePrefix="1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vertical="center"/>
    </xf>
    <xf numFmtId="41" fontId="8" fillId="0" borderId="14" xfId="3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164" fontId="10" fillId="0" borderId="14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vertical="top"/>
    </xf>
    <xf numFmtId="0" fontId="2" fillId="0" borderId="19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vertical="top"/>
    </xf>
    <xf numFmtId="41" fontId="2" fillId="0" borderId="18" xfId="0" applyNumberFormat="1" applyFont="1" applyFill="1" applyBorder="1" applyAlignment="1">
      <alignment vertical="top"/>
    </xf>
    <xf numFmtId="41" fontId="2" fillId="0" borderId="18" xfId="0" applyNumberFormat="1" applyFont="1" applyFill="1" applyBorder="1" applyAlignment="1">
      <alignment horizontal="right" vertical="top"/>
    </xf>
    <xf numFmtId="0" fontId="3" fillId="0" borderId="20" xfId="0" applyFont="1" applyFill="1" applyBorder="1" applyAlignment="1">
      <alignment vertical="center"/>
    </xf>
    <xf numFmtId="41" fontId="2" fillId="0" borderId="20" xfId="3" applyFont="1" applyFill="1" applyBorder="1" applyAlignment="1">
      <alignment vertical="center"/>
    </xf>
    <xf numFmtId="41" fontId="3" fillId="0" borderId="20" xfId="0" applyNumberFormat="1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2" fillId="0" borderId="16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/>
    </xf>
    <xf numFmtId="0" fontId="5" fillId="0" borderId="15" xfId="0" applyFont="1" applyFill="1" applyBorder="1" applyAlignment="1">
      <alignment vertical="top"/>
    </xf>
    <xf numFmtId="41" fontId="2" fillId="0" borderId="16" xfId="0" applyNumberFormat="1" applyFont="1" applyFill="1" applyBorder="1" applyAlignment="1">
      <alignment vertical="top"/>
    </xf>
    <xf numFmtId="41" fontId="2" fillId="0" borderId="16" xfId="0" quotePrefix="1" applyNumberFormat="1" applyFont="1" applyFill="1" applyBorder="1" applyAlignment="1">
      <alignment horizontal="right" vertical="top"/>
    </xf>
    <xf numFmtId="0" fontId="2" fillId="0" borderId="17" xfId="0" applyFont="1" applyFill="1" applyBorder="1" applyAlignment="1">
      <alignment vertical="center"/>
    </xf>
    <xf numFmtId="41" fontId="2" fillId="0" borderId="17" xfId="3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41" fontId="5" fillId="0" borderId="17" xfId="3" applyFont="1" applyFill="1" applyBorder="1" applyAlignment="1">
      <alignment vertical="center"/>
    </xf>
    <xf numFmtId="41" fontId="2" fillId="0" borderId="16" xfId="0" applyNumberFormat="1" applyFont="1" applyFill="1" applyBorder="1" applyAlignment="1">
      <alignment horizontal="right" vertical="top"/>
    </xf>
    <xf numFmtId="164" fontId="9" fillId="0" borderId="17" xfId="1" applyNumberFormat="1" applyFont="1" applyFill="1" applyBorder="1" applyAlignment="1">
      <alignment vertical="center"/>
    </xf>
    <xf numFmtId="41" fontId="11" fillId="0" borderId="17" xfId="3" applyFont="1" applyFill="1" applyBorder="1" applyAlignment="1">
      <alignment vertical="center"/>
    </xf>
    <xf numFmtId="41" fontId="9" fillId="0" borderId="17" xfId="3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41" fontId="10" fillId="0" borderId="14" xfId="3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41" fontId="9" fillId="0" borderId="20" xfId="3" applyFont="1" applyFill="1" applyBorder="1" applyAlignment="1">
      <alignment vertical="center"/>
    </xf>
    <xf numFmtId="0" fontId="2" fillId="0" borderId="17" xfId="0" applyFont="1" applyFill="1" applyBorder="1" applyAlignment="1">
      <alignment vertical="top"/>
    </xf>
    <xf numFmtId="0" fontId="2" fillId="0" borderId="21" xfId="0" applyFont="1" applyFill="1" applyBorder="1" applyAlignment="1">
      <alignment vertical="top"/>
    </xf>
    <xf numFmtId="49" fontId="2" fillId="0" borderId="22" xfId="0" applyNumberFormat="1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41" fontId="2" fillId="0" borderId="21" xfId="0" applyNumberFormat="1" applyFont="1" applyFill="1" applyBorder="1" applyAlignment="1">
      <alignment vertical="top"/>
    </xf>
    <xf numFmtId="41" fontId="2" fillId="0" borderId="21" xfId="0" applyNumberFormat="1" applyFont="1" applyFill="1" applyBorder="1" applyAlignment="1">
      <alignment horizontal="right" vertical="top"/>
    </xf>
    <xf numFmtId="41" fontId="11" fillId="0" borderId="23" xfId="3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top"/>
    </xf>
    <xf numFmtId="41" fontId="3" fillId="0" borderId="1" xfId="0" applyNumberFormat="1" applyFont="1" applyFill="1" applyBorder="1" applyAlignment="1">
      <alignment horizontal="right" vertical="top"/>
    </xf>
    <xf numFmtId="41" fontId="2" fillId="0" borderId="14" xfId="3" applyFont="1" applyFill="1" applyBorder="1" applyAlignment="1">
      <alignment vertical="center"/>
    </xf>
    <xf numFmtId="41" fontId="9" fillId="0" borderId="14" xfId="3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 wrapText="1"/>
    </xf>
    <xf numFmtId="41" fontId="2" fillId="0" borderId="16" xfId="0" applyNumberFormat="1" applyFont="1" applyFill="1" applyBorder="1" applyAlignment="1">
      <alignment vertical="center"/>
    </xf>
    <xf numFmtId="41" fontId="2" fillId="0" borderId="16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vertical="center" wrapText="1"/>
    </xf>
    <xf numFmtId="41" fontId="2" fillId="0" borderId="21" xfId="0" applyNumberFormat="1" applyFont="1" applyFill="1" applyBorder="1" applyAlignment="1">
      <alignment vertical="center"/>
    </xf>
    <xf numFmtId="41" fontId="2" fillId="0" borderId="21" xfId="0" applyNumberFormat="1" applyFont="1" applyFill="1" applyBorder="1" applyAlignment="1">
      <alignment horizontal="right" vertical="center"/>
    </xf>
    <xf numFmtId="49" fontId="2" fillId="0" borderId="15" xfId="0" applyNumberFormat="1" applyFont="1" applyFill="1" applyBorder="1" applyAlignment="1">
      <alignment vertical="top"/>
    </xf>
    <xf numFmtId="0" fontId="3" fillId="0" borderId="18" xfId="0" applyFont="1" applyFill="1" applyBorder="1" applyAlignment="1">
      <alignment vertical="top"/>
    </xf>
    <xf numFmtId="0" fontId="3" fillId="0" borderId="1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3" fillId="0" borderId="15" xfId="0" applyFont="1" applyFill="1" applyBorder="1" applyAlignment="1">
      <alignment vertical="top"/>
    </xf>
    <xf numFmtId="0" fontId="3" fillId="0" borderId="16" xfId="0" applyFont="1" applyFill="1" applyBorder="1" applyAlignment="1">
      <alignment vertical="top"/>
    </xf>
    <xf numFmtId="41" fontId="3" fillId="0" borderId="17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vertical="top"/>
    </xf>
    <xf numFmtId="0" fontId="3" fillId="0" borderId="2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top"/>
    </xf>
    <xf numFmtId="41" fontId="3" fillId="0" borderId="21" xfId="0" applyNumberFormat="1" applyFont="1" applyFill="1" applyBorder="1" applyAlignment="1">
      <alignment vertical="top"/>
    </xf>
    <xf numFmtId="41" fontId="3" fillId="0" borderId="21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/>
    </xf>
    <xf numFmtId="41" fontId="3" fillId="0" borderId="16" xfId="0" applyNumberFormat="1" applyFont="1" applyFill="1" applyBorder="1" applyAlignment="1">
      <alignment horizontal="right" vertical="top"/>
    </xf>
    <xf numFmtId="0" fontId="3" fillId="0" borderId="16" xfId="0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 wrapText="1"/>
    </xf>
    <xf numFmtId="0" fontId="3" fillId="0" borderId="21" xfId="0" applyFont="1" applyFill="1" applyBorder="1" applyAlignment="1">
      <alignment vertical="center"/>
    </xf>
    <xf numFmtId="41" fontId="3" fillId="0" borderId="21" xfId="0" applyNumberFormat="1" applyFont="1" applyFill="1" applyBorder="1" applyAlignment="1">
      <alignment horizontal="right" vertical="center"/>
    </xf>
    <xf numFmtId="41" fontId="2" fillId="0" borderId="16" xfId="0" quotePrefix="1" applyNumberFormat="1" applyFont="1" applyFill="1" applyBorder="1" applyAlignment="1">
      <alignment vertical="top"/>
    </xf>
    <xf numFmtId="41" fontId="2" fillId="0" borderId="21" xfId="0" quotePrefix="1" applyNumberFormat="1" applyFont="1" applyFill="1" applyBorder="1" applyAlignment="1">
      <alignment horizontal="right" vertical="top"/>
    </xf>
    <xf numFmtId="0" fontId="5" fillId="0" borderId="15" xfId="0" applyFont="1" applyFill="1" applyBorder="1" applyAlignment="1">
      <alignment vertical="center"/>
    </xf>
    <xf numFmtId="41" fontId="2" fillId="0" borderId="16" xfId="0" quotePrefix="1" applyNumberFormat="1" applyFont="1" applyFill="1" applyBorder="1" applyAlignment="1">
      <alignment horizontal="right" vertical="center"/>
    </xf>
    <xf numFmtId="41" fontId="2" fillId="0" borderId="16" xfId="0" quotePrefix="1" applyNumberFormat="1" applyFont="1" applyFill="1" applyBorder="1" applyAlignment="1">
      <alignment vertical="center"/>
    </xf>
    <xf numFmtId="164" fontId="9" fillId="0" borderId="23" xfId="1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5" fillId="0" borderId="15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vertical="top" wrapText="1"/>
    </xf>
    <xf numFmtId="41" fontId="2" fillId="0" borderId="8" xfId="0" applyNumberFormat="1" applyFont="1" applyFill="1" applyBorder="1" applyAlignment="1">
      <alignment vertical="top"/>
    </xf>
    <xf numFmtId="41" fontId="2" fillId="0" borderId="8" xfId="0" quotePrefix="1" applyNumberFormat="1" applyFont="1" applyFill="1" applyBorder="1" applyAlignment="1">
      <alignment horizontal="right" vertical="top"/>
    </xf>
    <xf numFmtId="41" fontId="2" fillId="0" borderId="8" xfId="0" quotePrefix="1" applyNumberFormat="1" applyFont="1" applyFill="1" applyBorder="1" applyAlignment="1">
      <alignment vertical="top"/>
    </xf>
    <xf numFmtId="164" fontId="9" fillId="0" borderId="0" xfId="1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0" xfId="0" applyFont="1" applyFill="1" applyBorder="1" applyAlignment="1">
      <alignment vertical="top"/>
    </xf>
    <xf numFmtId="41" fontId="2" fillId="0" borderId="1" xfId="0" applyNumberFormat="1" applyFont="1" applyFill="1" applyBorder="1" applyAlignment="1">
      <alignment vertical="top"/>
    </xf>
    <xf numFmtId="41" fontId="2" fillId="0" borderId="1" xfId="0" applyNumberFormat="1" applyFont="1" applyFill="1" applyBorder="1" applyAlignment="1">
      <alignment horizontal="right" vertical="top"/>
    </xf>
    <xf numFmtId="41" fontId="5" fillId="0" borderId="8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41" fontId="2" fillId="0" borderId="8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/>
    </xf>
    <xf numFmtId="41" fontId="2" fillId="0" borderId="1" xfId="0" quotePrefix="1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top"/>
    </xf>
    <xf numFmtId="0" fontId="2" fillId="0" borderId="0" xfId="2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 applyAlignment="1">
      <alignment horizontal="center" vertical="top"/>
    </xf>
    <xf numFmtId="0" fontId="2" fillId="3" borderId="0" xfId="2" applyFont="1" applyFill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top"/>
    </xf>
    <xf numFmtId="164" fontId="11" fillId="12" borderId="17" xfId="1" applyNumberFormat="1" applyFont="1" applyFill="1" applyBorder="1" applyAlignment="1">
      <alignment vertical="center"/>
    </xf>
    <xf numFmtId="0" fontId="11" fillId="12" borderId="17" xfId="0" applyFont="1" applyFill="1" applyBorder="1" applyAlignment="1">
      <alignment vertical="center"/>
    </xf>
    <xf numFmtId="0" fontId="2" fillId="0" borderId="0" xfId="2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164" fontId="11" fillId="0" borderId="17" xfId="1" applyNumberFormat="1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41" fontId="5" fillId="0" borderId="8" xfId="0" applyNumberFormat="1" applyFont="1" applyFill="1" applyBorder="1" applyAlignment="1">
      <alignment horizontal="right" vertical="center"/>
    </xf>
    <xf numFmtId="0" fontId="2" fillId="0" borderId="0" xfId="2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top"/>
    </xf>
    <xf numFmtId="41" fontId="11" fillId="4" borderId="23" xfId="3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2" fillId="0" borderId="0" xfId="2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1" fontId="2" fillId="6" borderId="21" xfId="0" quotePrefix="1" applyNumberFormat="1" applyFont="1" applyFill="1" applyBorder="1" applyAlignment="1">
      <alignment horizontal="right" vertical="center"/>
    </xf>
    <xf numFmtId="41" fontId="2" fillId="0" borderId="21" xfId="0" quotePrefix="1" applyNumberFormat="1" applyFont="1" applyFill="1" applyBorder="1" applyAlignment="1">
      <alignment horizontal="right" vertical="center"/>
    </xf>
    <xf numFmtId="41" fontId="9" fillId="4" borderId="17" xfId="3" applyFont="1" applyFill="1" applyBorder="1" applyAlignment="1">
      <alignment vertical="center"/>
    </xf>
    <xf numFmtId="0" fontId="2" fillId="0" borderId="0" xfId="2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2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">
    <cellStyle name="Comma" xfId="1" builtinId="3"/>
    <cellStyle name="Comma [0]" xfId="3" builtinId="6"/>
    <cellStyle name="Normal" xfId="0" builtinId="0"/>
    <cellStyle name="Normal_BKU JANUARI" xfId="2" xr:uid="{00000000-0005-0000-0000-000003000000}"/>
  </cellStyles>
  <dxfs count="0"/>
  <tableStyles count="0" defaultTableStyle="TableStyleMedium9" defaultPivotStyle="PivotStyleLight16"/>
  <colors>
    <mruColors>
      <color rgb="FFFF99CC"/>
      <color rgb="FFFF99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434"/>
  <sheetViews>
    <sheetView showGridLines="0" view="pageBreakPreview" zoomScale="90" zoomScaleNormal="85" zoomScaleSheetLayoutView="90" workbookViewId="0">
      <pane xSplit="4" ySplit="16" topLeftCell="E350" activePane="bottomRight" state="frozen"/>
      <selection activeCell="H365" sqref="H365"/>
      <selection pane="topRight" activeCell="H365" sqref="H365"/>
      <selection pane="bottomLeft" activeCell="H365" sqref="H365"/>
      <selection pane="bottomRight" activeCell="H365" sqref="H365"/>
    </sheetView>
  </sheetViews>
  <sheetFormatPr defaultRowHeight="15" customHeight="1" x14ac:dyDescent="0.25"/>
  <cols>
    <col min="1" max="1" width="6" style="1" customWidth="1"/>
    <col min="2" max="2" width="11.5703125" style="1" customWidth="1"/>
    <col min="3" max="3" width="13.7109375" style="1" customWidth="1"/>
    <col min="4" max="4" width="15.85546875" style="1" customWidth="1"/>
    <col min="5" max="5" width="68.5703125" style="1" customWidth="1"/>
    <col min="6" max="6" width="18.140625" style="1" customWidth="1"/>
    <col min="7" max="7" width="16.85546875" style="1" customWidth="1"/>
    <col min="8" max="8" width="15.85546875" style="1" customWidth="1"/>
    <col min="9" max="9" width="18.7109375" style="1" customWidth="1"/>
    <col min="10" max="10" width="15" style="1" customWidth="1"/>
    <col min="11" max="11" width="14" style="1" customWidth="1"/>
    <col min="12" max="12" width="15.140625" style="1" customWidth="1"/>
    <col min="13" max="13" width="16.7109375" style="1" customWidth="1"/>
    <col min="14" max="14" width="19.28515625" style="1" customWidth="1"/>
    <col min="15" max="15" width="4.28515625" style="1" customWidth="1"/>
    <col min="16" max="16" width="18.42578125" style="188" customWidth="1"/>
    <col min="17" max="17" width="14.85546875" style="1" customWidth="1"/>
    <col min="18" max="18" width="15.42578125" style="1" customWidth="1"/>
    <col min="19" max="19" width="20.140625" style="207" customWidth="1"/>
    <col min="20" max="20" width="25.7109375" style="207" customWidth="1"/>
    <col min="21" max="21" width="26.140625" style="1" customWidth="1"/>
    <col min="22" max="16384" width="9.140625" style="1"/>
  </cols>
  <sheetData>
    <row r="1" spans="1:18" ht="1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</row>
    <row r="2" spans="1:18" ht="15" hidden="1" customHeight="1" x14ac:dyDescent="0.25">
      <c r="A2" s="503" t="s">
        <v>1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</row>
    <row r="3" spans="1:18" ht="15" hidden="1" customHeight="1" x14ac:dyDescent="0.25">
      <c r="A3" s="503" t="s">
        <v>2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1:18" ht="15" hidden="1" customHeight="1" x14ac:dyDescent="0.25"/>
    <row r="5" spans="1:18" ht="15" hidden="1" customHeight="1" x14ac:dyDescent="0.25"/>
    <row r="6" spans="1:18" ht="15" hidden="1" customHeight="1" x14ac:dyDescent="0.25">
      <c r="A6" s="1" t="s">
        <v>3</v>
      </c>
      <c r="D6" s="1" t="s">
        <v>45</v>
      </c>
    </row>
    <row r="7" spans="1:18" ht="15" hidden="1" customHeight="1" x14ac:dyDescent="0.25">
      <c r="A7" s="1" t="s">
        <v>4</v>
      </c>
      <c r="D7" s="1" t="s">
        <v>55</v>
      </c>
    </row>
    <row r="8" spans="1:18" ht="15" hidden="1" customHeight="1" x14ac:dyDescent="0.25">
      <c r="A8" s="1" t="s">
        <v>5</v>
      </c>
      <c r="D8" s="504" t="s">
        <v>50</v>
      </c>
      <c r="E8" s="504"/>
      <c r="F8" s="504"/>
    </row>
    <row r="9" spans="1:18" ht="15" hidden="1" customHeight="1" x14ac:dyDescent="0.25">
      <c r="A9" s="1" t="s">
        <v>6</v>
      </c>
      <c r="D9" s="1" t="s">
        <v>449</v>
      </c>
      <c r="R9" s="2"/>
    </row>
    <row r="10" spans="1:18" ht="15" hidden="1" customHeight="1" x14ac:dyDescent="0.25">
      <c r="A10" s="1" t="s">
        <v>7</v>
      </c>
      <c r="D10" s="1" t="s">
        <v>48</v>
      </c>
      <c r="R10" s="2"/>
    </row>
    <row r="11" spans="1:18" ht="15" hidden="1" customHeight="1" x14ac:dyDescent="0.25">
      <c r="R11" s="2"/>
    </row>
    <row r="12" spans="1:18" ht="15" hidden="1" customHeight="1" x14ac:dyDescent="0.25">
      <c r="R12" s="2"/>
    </row>
    <row r="13" spans="1:18" ht="15" customHeight="1" x14ac:dyDescent="0.25">
      <c r="A13" s="505" t="s">
        <v>37</v>
      </c>
      <c r="B13" s="507" t="s">
        <v>10</v>
      </c>
      <c r="C13" s="508"/>
      <c r="D13" s="509"/>
      <c r="E13" s="513" t="s">
        <v>8</v>
      </c>
      <c r="F13" s="513" t="s">
        <v>9</v>
      </c>
      <c r="G13" s="515" t="s">
        <v>14</v>
      </c>
      <c r="H13" s="515"/>
      <c r="I13" s="515"/>
      <c r="J13" s="515" t="s">
        <v>15</v>
      </c>
      <c r="K13" s="515"/>
      <c r="L13" s="515"/>
      <c r="M13" s="513" t="s">
        <v>17</v>
      </c>
      <c r="N13" s="513" t="s">
        <v>16</v>
      </c>
      <c r="R13" s="2"/>
    </row>
    <row r="14" spans="1:18" ht="15" customHeight="1" x14ac:dyDescent="0.25">
      <c r="A14" s="506"/>
      <c r="B14" s="510"/>
      <c r="C14" s="511"/>
      <c r="D14" s="512"/>
      <c r="E14" s="513"/>
      <c r="F14" s="514"/>
      <c r="G14" s="262" t="s">
        <v>11</v>
      </c>
      <c r="H14" s="262" t="s">
        <v>12</v>
      </c>
      <c r="I14" s="262" t="s">
        <v>13</v>
      </c>
      <c r="J14" s="262" t="s">
        <v>11</v>
      </c>
      <c r="K14" s="262" t="s">
        <v>12</v>
      </c>
      <c r="L14" s="262" t="s">
        <v>13</v>
      </c>
      <c r="M14" s="513"/>
      <c r="N14" s="513"/>
      <c r="R14" s="3"/>
    </row>
    <row r="15" spans="1:18" ht="15" customHeight="1" x14ac:dyDescent="0.25">
      <c r="A15" s="4"/>
      <c r="B15" s="497">
        <v>1</v>
      </c>
      <c r="C15" s="498"/>
      <c r="D15" s="499"/>
      <c r="E15" s="263">
        <v>2</v>
      </c>
      <c r="F15" s="263">
        <v>3</v>
      </c>
      <c r="G15" s="263">
        <v>7</v>
      </c>
      <c r="H15" s="263">
        <v>8</v>
      </c>
      <c r="I15" s="263" t="s">
        <v>18</v>
      </c>
      <c r="J15" s="263">
        <v>10</v>
      </c>
      <c r="K15" s="263">
        <v>11</v>
      </c>
      <c r="L15" s="263" t="s">
        <v>19</v>
      </c>
      <c r="M15" s="263" t="s">
        <v>155</v>
      </c>
      <c r="N15" s="263" t="s">
        <v>36</v>
      </c>
    </row>
    <row r="16" spans="1:18" ht="15" customHeight="1" x14ac:dyDescent="0.25">
      <c r="A16" s="8"/>
      <c r="B16" s="500"/>
      <c r="C16" s="501"/>
      <c r="D16" s="502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21" ht="17.100000000000001" customHeight="1" x14ac:dyDescent="0.25">
      <c r="A17" s="99"/>
      <c r="B17" s="494" t="s">
        <v>20</v>
      </c>
      <c r="C17" s="495"/>
      <c r="D17" s="496"/>
      <c r="E17" s="99"/>
      <c r="F17" s="100">
        <f>+F18+F47+F122+F138+F239+F247+F298+F350</f>
        <v>428263811167</v>
      </c>
      <c r="G17" s="100">
        <f>+G18+G47+G122+G138+G239+G247+G298+G350</f>
        <v>0</v>
      </c>
      <c r="H17" s="100">
        <f>+H18+H47+H122+H138+H239+H247+H298+H350</f>
        <v>9805797967</v>
      </c>
      <c r="I17" s="100">
        <f>+G17+H17</f>
        <v>9805797967</v>
      </c>
      <c r="J17" s="100">
        <f>+J18+J47+J122+J138+J239+J247+J298+J350</f>
        <v>0</v>
      </c>
      <c r="K17" s="100">
        <f>+K18+K47+K122+K138+K239+K247+K298+K350</f>
        <v>114284700</v>
      </c>
      <c r="L17" s="100">
        <f>+J17+K17</f>
        <v>114284700</v>
      </c>
      <c r="M17" s="100">
        <f>+I17+L17</f>
        <v>9920082667</v>
      </c>
      <c r="N17" s="100">
        <f>+F17-M17</f>
        <v>418343728500</v>
      </c>
      <c r="R17" s="3"/>
      <c r="U17" s="188">
        <f>178000000+33460000+79728000+22342995000+29162378+3014333670+6242819000+179060000+4822000000+316799545+177216575</f>
        <v>37415574168</v>
      </c>
    </row>
    <row r="18" spans="1:21" s="114" customFormat="1" ht="18" customHeight="1" x14ac:dyDescent="0.25">
      <c r="A18" s="109"/>
      <c r="B18" s="110" t="s">
        <v>336</v>
      </c>
      <c r="C18" s="110"/>
      <c r="D18" s="110"/>
      <c r="E18" s="111" t="s">
        <v>335</v>
      </c>
      <c r="F18" s="112">
        <f>+F19+F32</f>
        <v>276269500</v>
      </c>
      <c r="G18" s="113">
        <f>+G19+G32</f>
        <v>0</v>
      </c>
      <c r="H18" s="113">
        <f>+H19+H32</f>
        <v>0</v>
      </c>
      <c r="I18" s="113">
        <f>+G18+H18</f>
        <v>0</v>
      </c>
      <c r="J18" s="113">
        <f>+J19+J32</f>
        <v>0</v>
      </c>
      <c r="K18" s="113">
        <f>+K19+K32</f>
        <v>8490000</v>
      </c>
      <c r="L18" s="113">
        <f>+J18+K18</f>
        <v>8490000</v>
      </c>
      <c r="M18" s="113">
        <f>+I18+L18</f>
        <v>8490000</v>
      </c>
      <c r="N18" s="112">
        <f>+F18-M18</f>
        <v>267779500</v>
      </c>
      <c r="P18" s="189">
        <f>+N19+N32+N48+N113+N123+N139+N165+N173+N184+N206+N240+N248+N256+N269+N278+N299+N312+N331+N337+N343+N351+N357+N369+N375</f>
        <v>418343728500</v>
      </c>
      <c r="Q18" s="114" t="s">
        <v>332</v>
      </c>
      <c r="R18" s="115"/>
      <c r="S18" s="238" t="s">
        <v>427</v>
      </c>
      <c r="T18" s="208"/>
    </row>
    <row r="19" spans="1:21" s="121" customFormat="1" ht="18" customHeight="1" x14ac:dyDescent="0.25">
      <c r="A19" s="154">
        <v>1</v>
      </c>
      <c r="B19" s="155"/>
      <c r="C19" s="155" t="s">
        <v>61</v>
      </c>
      <c r="D19" s="156"/>
      <c r="E19" s="157" t="s">
        <v>62</v>
      </c>
      <c r="F19" s="158">
        <f t="shared" ref="F19:H20" si="0">+F20</f>
        <v>117975500</v>
      </c>
      <c r="G19" s="159">
        <f t="shared" si="0"/>
        <v>0</v>
      </c>
      <c r="H19" s="159">
        <f t="shared" si="0"/>
        <v>0</v>
      </c>
      <c r="I19" s="159">
        <f>+G19+H19</f>
        <v>0</v>
      </c>
      <c r="J19" s="159">
        <f>+J20</f>
        <v>0</v>
      </c>
      <c r="K19" s="159">
        <f>+K20</f>
        <v>4190000</v>
      </c>
      <c r="L19" s="159">
        <f>+J19+K19</f>
        <v>4190000</v>
      </c>
      <c r="M19" s="159">
        <f>+I19+L19</f>
        <v>4190000</v>
      </c>
      <c r="N19" s="158">
        <f>+F19-M19</f>
        <v>113785500</v>
      </c>
      <c r="P19" s="190"/>
      <c r="R19" s="122"/>
      <c r="S19" s="209">
        <f>SUM(S24:S361)</f>
        <v>0</v>
      </c>
      <c r="T19" s="209">
        <f>SUM(T24:T434)</f>
        <v>0</v>
      </c>
    </row>
    <row r="20" spans="1:21" s="107" customFormat="1" ht="18" customHeight="1" x14ac:dyDescent="0.25">
      <c r="A20" s="101"/>
      <c r="B20" s="102"/>
      <c r="C20" s="102"/>
      <c r="D20" s="103" t="s">
        <v>207</v>
      </c>
      <c r="E20" s="104" t="s">
        <v>262</v>
      </c>
      <c r="F20" s="105">
        <f t="shared" si="0"/>
        <v>117975500</v>
      </c>
      <c r="G20" s="106">
        <f t="shared" si="0"/>
        <v>0</v>
      </c>
      <c r="H20" s="106">
        <f t="shared" si="0"/>
        <v>0</v>
      </c>
      <c r="I20" s="106">
        <f>+G20+H20</f>
        <v>0</v>
      </c>
      <c r="J20" s="106">
        <f>+J21</f>
        <v>0</v>
      </c>
      <c r="K20" s="106">
        <f>+K21</f>
        <v>4190000</v>
      </c>
      <c r="L20" s="106">
        <f t="shared" ref="L20:L28" si="1">+J20+K20</f>
        <v>4190000</v>
      </c>
      <c r="M20" s="106">
        <f>+I20+L20</f>
        <v>4190000</v>
      </c>
      <c r="N20" s="105">
        <f>+F20-M20</f>
        <v>113785500</v>
      </c>
      <c r="P20" s="191"/>
      <c r="R20" s="108"/>
      <c r="S20" s="278"/>
      <c r="T20" s="278"/>
      <c r="U20" s="241"/>
    </row>
    <row r="21" spans="1:21" s="49" customFormat="1" ht="18" customHeight="1" x14ac:dyDescent="0.25">
      <c r="A21" s="44"/>
      <c r="B21" s="45"/>
      <c r="C21" s="45"/>
      <c r="D21" s="45" t="s">
        <v>63</v>
      </c>
      <c r="E21" s="46" t="s">
        <v>30</v>
      </c>
      <c r="F21" s="47">
        <f>+F22+F29</f>
        <v>117975500</v>
      </c>
      <c r="G21" s="48">
        <f>+G22+G29</f>
        <v>0</v>
      </c>
      <c r="H21" s="48">
        <f>+H22+H29</f>
        <v>0</v>
      </c>
      <c r="I21" s="48">
        <f>+G21+H21</f>
        <v>0</v>
      </c>
      <c r="J21" s="48">
        <f>+J22+J29</f>
        <v>0</v>
      </c>
      <c r="K21" s="48">
        <f>+K22+K29</f>
        <v>4190000</v>
      </c>
      <c r="L21" s="48">
        <f>+J21+K21</f>
        <v>4190000</v>
      </c>
      <c r="M21" s="48">
        <f>+I21+L21</f>
        <v>4190000</v>
      </c>
      <c r="N21" s="47">
        <f>+F21-M21</f>
        <v>113785500</v>
      </c>
      <c r="P21" s="192">
        <f>H386+H387+K386+K387</f>
        <v>9992018735</v>
      </c>
      <c r="Q21" s="49" t="s">
        <v>334</v>
      </c>
      <c r="S21" s="279"/>
      <c r="T21" s="279"/>
      <c r="U21" s="242"/>
    </row>
    <row r="22" spans="1:21" s="55" customFormat="1" ht="18" customHeight="1" x14ac:dyDescent="0.25">
      <c r="A22" s="50"/>
      <c r="B22" s="51"/>
      <c r="C22" s="51"/>
      <c r="D22" s="51" t="s">
        <v>263</v>
      </c>
      <c r="E22" s="52" t="s">
        <v>264</v>
      </c>
      <c r="F22" s="53">
        <f>+F23</f>
        <v>65295500</v>
      </c>
      <c r="G22" s="54">
        <f>+G23</f>
        <v>0</v>
      </c>
      <c r="H22" s="54">
        <f>+H23</f>
        <v>0</v>
      </c>
      <c r="I22" s="54">
        <f t="shared" ref="I22:I31" si="2">+G22+H22</f>
        <v>0</v>
      </c>
      <c r="J22" s="54">
        <f>+J23</f>
        <v>0</v>
      </c>
      <c r="K22" s="54">
        <f>+K23</f>
        <v>0</v>
      </c>
      <c r="L22" s="54">
        <f t="shared" si="1"/>
        <v>0</v>
      </c>
      <c r="M22" s="54">
        <f t="shared" ref="M22:M31" si="3">+I22+L22</f>
        <v>0</v>
      </c>
      <c r="N22" s="53">
        <f t="shared" ref="N22:N31" si="4">+F22-M22</f>
        <v>65295500</v>
      </c>
      <c r="P22" s="193">
        <f>+H17+K17</f>
        <v>9920082667</v>
      </c>
      <c r="Q22" s="49" t="s">
        <v>333</v>
      </c>
      <c r="S22" s="279"/>
      <c r="T22" s="279"/>
      <c r="U22" s="243"/>
    </row>
    <row r="23" spans="1:21" s="49" customFormat="1" ht="18" customHeight="1" x14ac:dyDescent="0.25">
      <c r="A23" s="56"/>
      <c r="B23" s="57"/>
      <c r="C23" s="57"/>
      <c r="D23" s="57" t="s">
        <v>64</v>
      </c>
      <c r="E23" s="57" t="s">
        <v>65</v>
      </c>
      <c r="F23" s="58">
        <f>SUM(F24:F28)</f>
        <v>65295500</v>
      </c>
      <c r="G23" s="59">
        <f>SUM(G24:G28)</f>
        <v>0</v>
      </c>
      <c r="H23" s="59">
        <f>SUM(H24:H28)</f>
        <v>0</v>
      </c>
      <c r="I23" s="60">
        <f>+G23+H23</f>
        <v>0</v>
      </c>
      <c r="J23" s="60">
        <f>+SUM(J24:J28)</f>
        <v>0</v>
      </c>
      <c r="K23" s="60">
        <f>+SUM(K24:K28)</f>
        <v>0</v>
      </c>
      <c r="L23" s="60">
        <f>+J23+K23</f>
        <v>0</v>
      </c>
      <c r="M23" s="60">
        <f>+I23+L23</f>
        <v>0</v>
      </c>
      <c r="N23" s="58">
        <f>+F23-M23</f>
        <v>65295500</v>
      </c>
      <c r="P23" s="192"/>
      <c r="S23" s="279"/>
      <c r="T23" s="279"/>
      <c r="U23" s="242"/>
    </row>
    <row r="24" spans="1:21" s="65" customFormat="1" ht="18" customHeight="1" x14ac:dyDescent="0.25">
      <c r="A24" s="61"/>
      <c r="B24" s="62"/>
      <c r="C24" s="62"/>
      <c r="D24" s="62" t="s">
        <v>66</v>
      </c>
      <c r="E24" s="62" t="s">
        <v>67</v>
      </c>
      <c r="F24" s="63">
        <v>7554500</v>
      </c>
      <c r="G24" s="64"/>
      <c r="H24" s="64"/>
      <c r="I24" s="64">
        <f t="shared" si="2"/>
        <v>0</v>
      </c>
      <c r="J24" s="64"/>
      <c r="K24" s="64"/>
      <c r="L24" s="64">
        <f t="shared" si="1"/>
        <v>0</v>
      </c>
      <c r="M24" s="64">
        <f>+I24+L24</f>
        <v>0</v>
      </c>
      <c r="N24" s="63">
        <f t="shared" si="4"/>
        <v>7554500</v>
      </c>
      <c r="P24" s="194"/>
      <c r="S24" s="280"/>
      <c r="T24" s="280"/>
      <c r="U24" s="244"/>
    </row>
    <row r="25" spans="1:21" s="65" customFormat="1" ht="18" customHeight="1" x14ac:dyDescent="0.25">
      <c r="A25" s="61"/>
      <c r="B25" s="62"/>
      <c r="C25" s="62"/>
      <c r="D25" s="62" t="s">
        <v>337</v>
      </c>
      <c r="E25" s="62" t="s">
        <v>338</v>
      </c>
      <c r="F25" s="63">
        <v>6408000</v>
      </c>
      <c r="G25" s="64"/>
      <c r="H25" s="64"/>
      <c r="I25" s="64">
        <f>+G25+H25</f>
        <v>0</v>
      </c>
      <c r="J25" s="64"/>
      <c r="K25" s="64"/>
      <c r="L25" s="64">
        <f t="shared" si="1"/>
        <v>0</v>
      </c>
      <c r="M25" s="64">
        <f t="shared" si="3"/>
        <v>0</v>
      </c>
      <c r="N25" s="63">
        <f t="shared" si="4"/>
        <v>6408000</v>
      </c>
      <c r="P25" s="194"/>
      <c r="S25" s="280"/>
      <c r="T25" s="280"/>
      <c r="U25" s="244"/>
    </row>
    <row r="26" spans="1:21" s="65" customFormat="1" ht="18" customHeight="1" x14ac:dyDescent="0.25">
      <c r="A26" s="61"/>
      <c r="B26" s="62"/>
      <c r="C26" s="62"/>
      <c r="D26" s="62" t="s">
        <v>68</v>
      </c>
      <c r="E26" s="62" t="s">
        <v>69</v>
      </c>
      <c r="F26" s="63">
        <v>44208000</v>
      </c>
      <c r="G26" s="64"/>
      <c r="H26" s="64"/>
      <c r="I26" s="64">
        <f t="shared" si="2"/>
        <v>0</v>
      </c>
      <c r="J26" s="64"/>
      <c r="K26" s="64"/>
      <c r="L26" s="64">
        <f t="shared" si="1"/>
        <v>0</v>
      </c>
      <c r="M26" s="64">
        <f t="shared" si="3"/>
        <v>0</v>
      </c>
      <c r="N26" s="63">
        <f t="shared" si="4"/>
        <v>44208000</v>
      </c>
      <c r="P26" s="194">
        <f>5440000000+63000000+730000000+7470000000+6242819000+3024665072+31328939+4570000000+12239500000+3046850000+197720000+310724118</f>
        <v>43366607129</v>
      </c>
      <c r="Q26" s="65" t="s">
        <v>428</v>
      </c>
      <c r="S26" s="280"/>
      <c r="T26" s="280"/>
      <c r="U26" s="244"/>
    </row>
    <row r="27" spans="1:21" s="65" customFormat="1" ht="18" customHeight="1" x14ac:dyDescent="0.25">
      <c r="A27" s="61"/>
      <c r="B27" s="62"/>
      <c r="C27" s="62"/>
      <c r="D27" s="62" t="s">
        <v>339</v>
      </c>
      <c r="E27" s="62" t="s">
        <v>340</v>
      </c>
      <c r="F27" s="63">
        <v>2125000</v>
      </c>
      <c r="G27" s="64"/>
      <c r="H27" s="64"/>
      <c r="I27" s="64"/>
      <c r="J27" s="64"/>
      <c r="K27" s="64"/>
      <c r="L27" s="64">
        <f t="shared" si="1"/>
        <v>0</v>
      </c>
      <c r="M27" s="64">
        <f t="shared" si="3"/>
        <v>0</v>
      </c>
      <c r="N27" s="63">
        <f t="shared" si="4"/>
        <v>2125000</v>
      </c>
      <c r="P27" s="194"/>
      <c r="S27" s="280"/>
      <c r="T27" s="280"/>
      <c r="U27" s="244"/>
    </row>
    <row r="28" spans="1:21" s="65" customFormat="1" ht="18" customHeight="1" x14ac:dyDescent="0.25">
      <c r="A28" s="61"/>
      <c r="B28" s="62"/>
      <c r="C28" s="62"/>
      <c r="D28" s="62" t="s">
        <v>70</v>
      </c>
      <c r="E28" s="62" t="s">
        <v>33</v>
      </c>
      <c r="F28" s="63">
        <v>5000000</v>
      </c>
      <c r="G28" s="64"/>
      <c r="H28" s="64"/>
      <c r="I28" s="64"/>
      <c r="J28" s="64"/>
      <c r="K28" s="64"/>
      <c r="L28" s="64">
        <f t="shared" si="1"/>
        <v>0</v>
      </c>
      <c r="M28" s="64">
        <f t="shared" si="3"/>
        <v>0</v>
      </c>
      <c r="N28" s="63">
        <f t="shared" si="4"/>
        <v>5000000</v>
      </c>
      <c r="P28" s="194"/>
      <c r="S28" s="280"/>
      <c r="T28" s="280"/>
      <c r="U28" s="244"/>
    </row>
    <row r="29" spans="1:21" s="55" customFormat="1" ht="18" customHeight="1" x14ac:dyDescent="0.25">
      <c r="A29" s="50"/>
      <c r="B29" s="51"/>
      <c r="C29" s="51"/>
      <c r="D29" s="51" t="s">
        <v>271</v>
      </c>
      <c r="E29" s="52" t="s">
        <v>272</v>
      </c>
      <c r="F29" s="53">
        <f>+F30</f>
        <v>52680000</v>
      </c>
      <c r="G29" s="54">
        <f>+G30</f>
        <v>0</v>
      </c>
      <c r="H29" s="54">
        <f>+H30</f>
        <v>0</v>
      </c>
      <c r="I29" s="54">
        <f>+G29+H29</f>
        <v>0</v>
      </c>
      <c r="J29" s="54">
        <f>+J30</f>
        <v>0</v>
      </c>
      <c r="K29" s="54">
        <f>+K30</f>
        <v>4190000</v>
      </c>
      <c r="L29" s="54">
        <f>+J29+K29</f>
        <v>4190000</v>
      </c>
      <c r="M29" s="54">
        <f>+I29+L29</f>
        <v>4190000</v>
      </c>
      <c r="N29" s="53">
        <f t="shared" si="4"/>
        <v>48490000</v>
      </c>
      <c r="P29" s="195"/>
      <c r="S29" s="279"/>
      <c r="T29" s="279"/>
      <c r="U29" s="243"/>
    </row>
    <row r="30" spans="1:21" s="49" customFormat="1" ht="18" customHeight="1" x14ac:dyDescent="0.25">
      <c r="A30" s="56"/>
      <c r="B30" s="57"/>
      <c r="C30" s="57"/>
      <c r="D30" s="57" t="s">
        <v>81</v>
      </c>
      <c r="E30" s="57" t="s">
        <v>31</v>
      </c>
      <c r="F30" s="58">
        <f>SUM(F31:F31)</f>
        <v>52680000</v>
      </c>
      <c r="G30" s="59">
        <f>+G31</f>
        <v>0</v>
      </c>
      <c r="H30" s="60">
        <f>+SUM(H31:H31)</f>
        <v>0</v>
      </c>
      <c r="I30" s="60">
        <f t="shared" si="2"/>
        <v>0</v>
      </c>
      <c r="J30" s="60">
        <f>+SUM(J31:J31)</f>
        <v>0</v>
      </c>
      <c r="K30" s="60">
        <f>+SUM(K31:K31)</f>
        <v>4190000</v>
      </c>
      <c r="L30" s="60">
        <f>+J30+K30</f>
        <v>4190000</v>
      </c>
      <c r="M30" s="60">
        <f t="shared" si="3"/>
        <v>4190000</v>
      </c>
      <c r="N30" s="58">
        <f t="shared" si="4"/>
        <v>48490000</v>
      </c>
      <c r="P30" s="192"/>
      <c r="S30" s="279"/>
      <c r="T30" s="279"/>
      <c r="U30" s="242"/>
    </row>
    <row r="31" spans="1:21" s="65" customFormat="1" ht="18" customHeight="1" x14ac:dyDescent="0.25">
      <c r="A31" s="61"/>
      <c r="B31" s="62"/>
      <c r="C31" s="62"/>
      <c r="D31" s="62" t="s">
        <v>82</v>
      </c>
      <c r="E31" s="62" t="s">
        <v>83</v>
      </c>
      <c r="F31" s="63">
        <v>52680000</v>
      </c>
      <c r="G31" s="64"/>
      <c r="H31" s="64"/>
      <c r="I31" s="64">
        <f t="shared" si="2"/>
        <v>0</v>
      </c>
      <c r="J31" s="64"/>
      <c r="K31" s="64">
        <v>4190000</v>
      </c>
      <c r="L31" s="64">
        <f t="shared" ref="L31" si="5">+J31+K31</f>
        <v>4190000</v>
      </c>
      <c r="M31" s="64">
        <f t="shared" si="3"/>
        <v>4190000</v>
      </c>
      <c r="N31" s="63">
        <f t="shared" si="4"/>
        <v>48490000</v>
      </c>
      <c r="P31" s="194"/>
      <c r="S31" s="281"/>
      <c r="T31" s="282"/>
      <c r="U31" s="244"/>
    </row>
    <row r="32" spans="1:21" s="121" customFormat="1" ht="32.25" customHeight="1" x14ac:dyDescent="0.25">
      <c r="A32" s="154">
        <v>2</v>
      </c>
      <c r="B32" s="155"/>
      <c r="C32" s="155" t="s">
        <v>79</v>
      </c>
      <c r="D32" s="156"/>
      <c r="E32" s="164" t="s">
        <v>80</v>
      </c>
      <c r="F32" s="158">
        <f t="shared" ref="F32:H33" si="6">+F33</f>
        <v>158294000</v>
      </c>
      <c r="G32" s="159">
        <f t="shared" si="6"/>
        <v>0</v>
      </c>
      <c r="H32" s="159">
        <f t="shared" si="6"/>
        <v>0</v>
      </c>
      <c r="I32" s="159">
        <f>+G32+H32</f>
        <v>0</v>
      </c>
      <c r="J32" s="159">
        <f>+J33</f>
        <v>0</v>
      </c>
      <c r="K32" s="159">
        <f>+K33</f>
        <v>4300000</v>
      </c>
      <c r="L32" s="159">
        <f>+J32+K32</f>
        <v>4300000</v>
      </c>
      <c r="M32" s="159">
        <f>+I32+L32</f>
        <v>4300000</v>
      </c>
      <c r="N32" s="158">
        <f>+F32-M32</f>
        <v>153994000</v>
      </c>
      <c r="P32" s="190"/>
      <c r="R32" s="122"/>
      <c r="S32" s="283"/>
      <c r="T32" s="283"/>
      <c r="U32" s="246"/>
    </row>
    <row r="33" spans="1:21" s="107" customFormat="1" ht="18" customHeight="1" x14ac:dyDescent="0.25">
      <c r="A33" s="101"/>
      <c r="B33" s="102"/>
      <c r="C33" s="102"/>
      <c r="D33" s="103" t="s">
        <v>207</v>
      </c>
      <c r="E33" s="104" t="s">
        <v>262</v>
      </c>
      <c r="F33" s="105">
        <f t="shared" si="6"/>
        <v>158294000</v>
      </c>
      <c r="G33" s="106">
        <f t="shared" si="6"/>
        <v>0</v>
      </c>
      <c r="H33" s="106">
        <f t="shared" si="6"/>
        <v>0</v>
      </c>
      <c r="I33" s="106">
        <f t="shared" ref="I33:I37" si="7">+G33+H33</f>
        <v>0</v>
      </c>
      <c r="J33" s="106">
        <f>+J34</f>
        <v>0</v>
      </c>
      <c r="K33" s="106">
        <f>+K34</f>
        <v>4300000</v>
      </c>
      <c r="L33" s="106">
        <f t="shared" ref="L33:L35" si="8">+J33+K33</f>
        <v>4300000</v>
      </c>
      <c r="M33" s="106">
        <f>+I33+L33</f>
        <v>4300000</v>
      </c>
      <c r="N33" s="105">
        <f t="shared" ref="N33:N36" si="9">+F33-M33</f>
        <v>153994000</v>
      </c>
      <c r="P33" s="191"/>
      <c r="R33" s="108"/>
      <c r="S33" s="284"/>
      <c r="T33" s="284"/>
      <c r="U33" s="241"/>
    </row>
    <row r="34" spans="1:21" s="49" customFormat="1" ht="18" customHeight="1" x14ac:dyDescent="0.25">
      <c r="A34" s="44"/>
      <c r="B34" s="45"/>
      <c r="C34" s="45"/>
      <c r="D34" s="45" t="s">
        <v>63</v>
      </c>
      <c r="E34" s="46" t="s">
        <v>30</v>
      </c>
      <c r="F34" s="47">
        <f>+F35+F42</f>
        <v>158294000</v>
      </c>
      <c r="G34" s="48">
        <f>+G35+G42</f>
        <v>0</v>
      </c>
      <c r="H34" s="48">
        <f>+H35+H42</f>
        <v>0</v>
      </c>
      <c r="I34" s="48">
        <f t="shared" si="7"/>
        <v>0</v>
      </c>
      <c r="J34" s="48">
        <f>+J35+J42</f>
        <v>0</v>
      </c>
      <c r="K34" s="48">
        <f>+K35+K42</f>
        <v>4300000</v>
      </c>
      <c r="L34" s="48">
        <f t="shared" si="8"/>
        <v>4300000</v>
      </c>
      <c r="M34" s="48">
        <f t="shared" ref="M34:M35" si="10">+I34+L34</f>
        <v>4300000</v>
      </c>
      <c r="N34" s="47">
        <f t="shared" si="9"/>
        <v>153994000</v>
      </c>
      <c r="P34" s="192"/>
      <c r="S34" s="282"/>
      <c r="T34" s="282"/>
      <c r="U34" s="242"/>
    </row>
    <row r="35" spans="1:21" s="55" customFormat="1" ht="18" customHeight="1" x14ac:dyDescent="0.25">
      <c r="A35" s="50"/>
      <c r="B35" s="51"/>
      <c r="C35" s="51"/>
      <c r="D35" s="51" t="s">
        <v>263</v>
      </c>
      <c r="E35" s="52" t="s">
        <v>264</v>
      </c>
      <c r="F35" s="53">
        <f t="shared" ref="F35" si="11">+F36</f>
        <v>76694000</v>
      </c>
      <c r="G35" s="54">
        <f>+G36</f>
        <v>0</v>
      </c>
      <c r="H35" s="54">
        <f>+H36</f>
        <v>0</v>
      </c>
      <c r="I35" s="54">
        <f t="shared" si="7"/>
        <v>0</v>
      </c>
      <c r="J35" s="54">
        <f>+J36</f>
        <v>0</v>
      </c>
      <c r="K35" s="54">
        <f>+K36</f>
        <v>0</v>
      </c>
      <c r="L35" s="54">
        <f t="shared" si="8"/>
        <v>0</v>
      </c>
      <c r="M35" s="54">
        <f t="shared" si="10"/>
        <v>0</v>
      </c>
      <c r="N35" s="53">
        <f t="shared" si="9"/>
        <v>76694000</v>
      </c>
      <c r="P35" s="195"/>
      <c r="S35" s="282"/>
      <c r="T35" s="282"/>
      <c r="U35" s="243"/>
    </row>
    <row r="36" spans="1:21" s="49" customFormat="1" ht="18" customHeight="1" x14ac:dyDescent="0.25">
      <c r="A36" s="56"/>
      <c r="B36" s="57"/>
      <c r="C36" s="57"/>
      <c r="D36" s="57" t="s">
        <v>64</v>
      </c>
      <c r="E36" s="57" t="s">
        <v>65</v>
      </c>
      <c r="F36" s="58">
        <f>SUM(F37:F41)</f>
        <v>76694000</v>
      </c>
      <c r="G36" s="59">
        <f>SUM(G37:G41)</f>
        <v>0</v>
      </c>
      <c r="H36" s="59">
        <f>SUM(H37:H41)</f>
        <v>0</v>
      </c>
      <c r="I36" s="60">
        <f t="shared" si="7"/>
        <v>0</v>
      </c>
      <c r="J36" s="60">
        <f>SUM(J37:J41)</f>
        <v>0</v>
      </c>
      <c r="K36" s="60">
        <f>SUM(K37:K41)</f>
        <v>0</v>
      </c>
      <c r="L36" s="60">
        <f>+J36+K36</f>
        <v>0</v>
      </c>
      <c r="M36" s="60">
        <f>+I36+L36</f>
        <v>0</v>
      </c>
      <c r="N36" s="58">
        <f t="shared" si="9"/>
        <v>76694000</v>
      </c>
      <c r="P36" s="192"/>
      <c r="S36" s="282"/>
      <c r="T36" s="282"/>
      <c r="U36" s="242"/>
    </row>
    <row r="37" spans="1:21" s="65" customFormat="1" ht="18" customHeight="1" x14ac:dyDescent="0.25">
      <c r="A37" s="61"/>
      <c r="B37" s="66"/>
      <c r="C37" s="62"/>
      <c r="D37" s="62" t="s">
        <v>66</v>
      </c>
      <c r="E37" s="62" t="s">
        <v>67</v>
      </c>
      <c r="F37" s="63">
        <v>8160000</v>
      </c>
      <c r="G37" s="64"/>
      <c r="H37" s="64"/>
      <c r="I37" s="64">
        <f t="shared" si="7"/>
        <v>0</v>
      </c>
      <c r="J37" s="64"/>
      <c r="K37" s="64"/>
      <c r="L37" s="64">
        <f t="shared" ref="L37" si="12">+J37+K37</f>
        <v>0</v>
      </c>
      <c r="M37" s="64">
        <f t="shared" ref="M37" si="13">+I37+L37</f>
        <v>0</v>
      </c>
      <c r="N37" s="63">
        <f>+F37-M37</f>
        <v>8160000</v>
      </c>
      <c r="P37" s="194"/>
      <c r="S37" s="281"/>
      <c r="T37" s="282"/>
      <c r="U37" s="244"/>
    </row>
    <row r="38" spans="1:21" s="65" customFormat="1" ht="18" customHeight="1" x14ac:dyDescent="0.25">
      <c r="A38" s="61"/>
      <c r="B38" s="66"/>
      <c r="C38" s="62"/>
      <c r="D38" s="62" t="s">
        <v>337</v>
      </c>
      <c r="E38" s="62" t="s">
        <v>338</v>
      </c>
      <c r="F38" s="63">
        <v>5112000</v>
      </c>
      <c r="G38" s="64"/>
      <c r="H38" s="64"/>
      <c r="I38" s="64"/>
      <c r="J38" s="64"/>
      <c r="K38" s="64"/>
      <c r="L38" s="64">
        <f>+J38+K38</f>
        <v>0</v>
      </c>
      <c r="M38" s="64">
        <f>+I38+L38</f>
        <v>0</v>
      </c>
      <c r="N38" s="63">
        <f>+F38-M38</f>
        <v>5112000</v>
      </c>
      <c r="P38" s="194"/>
      <c r="S38" s="281"/>
      <c r="T38" s="282"/>
      <c r="U38" s="244"/>
    </row>
    <row r="39" spans="1:21" s="65" customFormat="1" ht="18" customHeight="1" x14ac:dyDescent="0.25">
      <c r="A39" s="61"/>
      <c r="B39" s="66"/>
      <c r="C39" s="62"/>
      <c r="D39" s="62" t="s">
        <v>68</v>
      </c>
      <c r="E39" s="62" t="s">
        <v>69</v>
      </c>
      <c r="F39" s="63">
        <v>36414000</v>
      </c>
      <c r="G39" s="64"/>
      <c r="H39" s="64"/>
      <c r="I39" s="64"/>
      <c r="J39" s="64"/>
      <c r="K39" s="64"/>
      <c r="L39" s="64">
        <f t="shared" ref="L39:L41" si="14">+J39+K39</f>
        <v>0</v>
      </c>
      <c r="M39" s="64">
        <f t="shared" ref="M39:M41" si="15">+I39+L39</f>
        <v>0</v>
      </c>
      <c r="N39" s="63">
        <f t="shared" ref="N39:N45" si="16">+F39-M39</f>
        <v>36414000</v>
      </c>
      <c r="P39" s="194"/>
      <c r="S39" s="281"/>
      <c r="T39" s="282"/>
      <c r="U39" s="244"/>
    </row>
    <row r="40" spans="1:21" s="65" customFormat="1" ht="18" customHeight="1" x14ac:dyDescent="0.25">
      <c r="A40" s="61"/>
      <c r="B40" s="66"/>
      <c r="C40" s="62"/>
      <c r="D40" s="62" t="s">
        <v>339</v>
      </c>
      <c r="E40" s="62" t="s">
        <v>340</v>
      </c>
      <c r="F40" s="63">
        <v>12008000</v>
      </c>
      <c r="G40" s="64"/>
      <c r="H40" s="64"/>
      <c r="I40" s="64"/>
      <c r="J40" s="64"/>
      <c r="K40" s="64"/>
      <c r="L40" s="64">
        <f t="shared" si="14"/>
        <v>0</v>
      </c>
      <c r="M40" s="64">
        <f t="shared" si="15"/>
        <v>0</v>
      </c>
      <c r="N40" s="63">
        <f t="shared" si="16"/>
        <v>12008000</v>
      </c>
      <c r="P40" s="194"/>
      <c r="S40" s="281"/>
      <c r="T40" s="282"/>
      <c r="U40" s="244"/>
    </row>
    <row r="41" spans="1:21" s="65" customFormat="1" ht="18" customHeight="1" x14ac:dyDescent="0.25">
      <c r="A41" s="61"/>
      <c r="B41" s="66"/>
      <c r="C41" s="62"/>
      <c r="D41" s="62" t="s">
        <v>70</v>
      </c>
      <c r="E41" s="62" t="s">
        <v>33</v>
      </c>
      <c r="F41" s="63">
        <v>15000000</v>
      </c>
      <c r="G41" s="64"/>
      <c r="H41" s="64"/>
      <c r="I41" s="64">
        <f>+G41+H41</f>
        <v>0</v>
      </c>
      <c r="J41" s="64"/>
      <c r="K41" s="64"/>
      <c r="L41" s="64">
        <f t="shared" si="14"/>
        <v>0</v>
      </c>
      <c r="M41" s="64">
        <f t="shared" si="15"/>
        <v>0</v>
      </c>
      <c r="N41" s="63">
        <f t="shared" si="16"/>
        <v>15000000</v>
      </c>
      <c r="P41" s="194"/>
      <c r="S41" s="281"/>
      <c r="T41" s="282"/>
      <c r="U41" s="244"/>
    </row>
    <row r="42" spans="1:21" s="55" customFormat="1" ht="18" customHeight="1" x14ac:dyDescent="0.25">
      <c r="A42" s="50"/>
      <c r="B42" s="51"/>
      <c r="C42" s="51"/>
      <c r="D42" s="51" t="s">
        <v>271</v>
      </c>
      <c r="E42" s="52" t="s">
        <v>272</v>
      </c>
      <c r="F42" s="53">
        <f>+F43</f>
        <v>81600000</v>
      </c>
      <c r="G42" s="54">
        <f>+G43</f>
        <v>0</v>
      </c>
      <c r="H42" s="54">
        <f>+H43</f>
        <v>0</v>
      </c>
      <c r="I42" s="54">
        <f t="shared" ref="I42:I45" si="17">+G42+H42</f>
        <v>0</v>
      </c>
      <c r="J42" s="54">
        <f>+J43</f>
        <v>0</v>
      </c>
      <c r="K42" s="54">
        <f>+K43</f>
        <v>4300000</v>
      </c>
      <c r="L42" s="54">
        <f>+J42+K42</f>
        <v>4300000</v>
      </c>
      <c r="M42" s="54">
        <f>+I42+L42</f>
        <v>4300000</v>
      </c>
      <c r="N42" s="53">
        <f t="shared" si="16"/>
        <v>77300000</v>
      </c>
      <c r="P42" s="195"/>
      <c r="S42" s="281"/>
      <c r="T42" s="282"/>
      <c r="U42" s="243"/>
    </row>
    <row r="43" spans="1:21" s="49" customFormat="1" ht="18" customHeight="1" x14ac:dyDescent="0.25">
      <c r="A43" s="56"/>
      <c r="B43" s="57"/>
      <c r="C43" s="57"/>
      <c r="D43" s="57" t="s">
        <v>81</v>
      </c>
      <c r="E43" s="57" t="s">
        <v>31</v>
      </c>
      <c r="F43" s="58">
        <f>SUM(F44:F45)</f>
        <v>81600000</v>
      </c>
      <c r="G43" s="59">
        <f>+G45</f>
        <v>0</v>
      </c>
      <c r="H43" s="60">
        <f>+SUM(H45:H45)</f>
        <v>0</v>
      </c>
      <c r="I43" s="60">
        <f t="shared" si="17"/>
        <v>0</v>
      </c>
      <c r="J43" s="60">
        <f>+SUM(J45:J45)</f>
        <v>0</v>
      </c>
      <c r="K43" s="60">
        <f>+SUM(K45:K45)</f>
        <v>4300000</v>
      </c>
      <c r="L43" s="60">
        <f t="shared" ref="L43:L45" si="18">+J43+K43</f>
        <v>4300000</v>
      </c>
      <c r="M43" s="60">
        <f t="shared" ref="M43:M45" si="19">+I43+L43</f>
        <v>4300000</v>
      </c>
      <c r="N43" s="58">
        <f t="shared" si="16"/>
        <v>77300000</v>
      </c>
      <c r="P43" s="192"/>
      <c r="S43" s="281"/>
      <c r="T43" s="282"/>
      <c r="U43" s="242"/>
    </row>
    <row r="44" spans="1:21" s="65" customFormat="1" ht="18" customHeight="1" x14ac:dyDescent="0.25">
      <c r="A44" s="61"/>
      <c r="B44" s="62"/>
      <c r="C44" s="62"/>
      <c r="D44" s="62" t="s">
        <v>451</v>
      </c>
      <c r="E44" s="62" t="s">
        <v>452</v>
      </c>
      <c r="F44" s="63">
        <v>30000000</v>
      </c>
      <c r="G44" s="64"/>
      <c r="H44" s="64"/>
      <c r="I44" s="64">
        <f t="shared" ref="I44" si="20">+G44+H44</f>
        <v>0</v>
      </c>
      <c r="J44" s="64"/>
      <c r="K44" s="64"/>
      <c r="L44" s="64">
        <f t="shared" ref="L44" si="21">+J44+K44</f>
        <v>0</v>
      </c>
      <c r="M44" s="64">
        <f t="shared" ref="M44" si="22">+I44+L44</f>
        <v>0</v>
      </c>
      <c r="N44" s="63">
        <f t="shared" ref="N44" si="23">+F44-M44</f>
        <v>30000000</v>
      </c>
      <c r="P44" s="194"/>
      <c r="S44" s="281"/>
      <c r="T44" s="282"/>
      <c r="U44" s="244"/>
    </row>
    <row r="45" spans="1:21" s="65" customFormat="1" ht="18" customHeight="1" x14ac:dyDescent="0.25">
      <c r="A45" s="61"/>
      <c r="B45" s="62"/>
      <c r="C45" s="62"/>
      <c r="D45" s="62" t="s">
        <v>82</v>
      </c>
      <c r="E45" s="62" t="s">
        <v>83</v>
      </c>
      <c r="F45" s="63">
        <v>51600000</v>
      </c>
      <c r="G45" s="64"/>
      <c r="H45" s="64"/>
      <c r="I45" s="64">
        <f t="shared" si="17"/>
        <v>0</v>
      </c>
      <c r="J45" s="64"/>
      <c r="K45" s="64">
        <v>4300000</v>
      </c>
      <c r="L45" s="64">
        <f t="shared" si="18"/>
        <v>4300000</v>
      </c>
      <c r="M45" s="64">
        <f t="shared" si="19"/>
        <v>4300000</v>
      </c>
      <c r="N45" s="63">
        <f t="shared" si="16"/>
        <v>47300000</v>
      </c>
      <c r="P45" s="194"/>
      <c r="S45" s="281"/>
      <c r="T45" s="282"/>
      <c r="U45" s="244"/>
    </row>
    <row r="46" spans="1:21" s="134" customFormat="1" ht="18" customHeight="1" x14ac:dyDescent="0.25">
      <c r="A46" s="129"/>
      <c r="B46" s="130"/>
      <c r="C46" s="130"/>
      <c r="D46" s="131"/>
      <c r="E46" s="131"/>
      <c r="F46" s="132"/>
      <c r="G46" s="133"/>
      <c r="H46" s="133"/>
      <c r="I46" s="133"/>
      <c r="J46" s="133"/>
      <c r="K46" s="133"/>
      <c r="L46" s="133"/>
      <c r="M46" s="133"/>
      <c r="N46" s="132"/>
      <c r="P46" s="197"/>
      <c r="S46" s="285"/>
      <c r="T46" s="286"/>
      <c r="U46" s="247"/>
    </row>
    <row r="47" spans="1:21" s="137" customFormat="1" ht="18" customHeight="1" x14ac:dyDescent="0.25">
      <c r="A47" s="109"/>
      <c r="B47" s="110" t="s">
        <v>407</v>
      </c>
      <c r="C47" s="110"/>
      <c r="D47" s="110"/>
      <c r="E47" s="110" t="s">
        <v>408</v>
      </c>
      <c r="F47" s="135">
        <f>+F48+F113</f>
        <v>27970445142</v>
      </c>
      <c r="G47" s="136">
        <f>+G48</f>
        <v>0</v>
      </c>
      <c r="H47" s="136">
        <f>+H48+H113</f>
        <v>592026147</v>
      </c>
      <c r="I47" s="136">
        <f>+G47+H47</f>
        <v>592026147</v>
      </c>
      <c r="J47" s="136">
        <f>+J114</f>
        <v>0</v>
      </c>
      <c r="K47" s="136">
        <f>+K114</f>
        <v>0</v>
      </c>
      <c r="L47" s="136">
        <f>+J47+K47</f>
        <v>0</v>
      </c>
      <c r="M47" s="136">
        <f>+I47+L47</f>
        <v>592026147</v>
      </c>
      <c r="N47" s="135">
        <f>+F47-M47</f>
        <v>27378418995</v>
      </c>
      <c r="P47" s="198"/>
      <c r="R47" s="138"/>
      <c r="S47" s="287"/>
      <c r="T47" s="287"/>
      <c r="U47" s="248"/>
    </row>
    <row r="48" spans="1:21" s="121" customFormat="1" ht="18" customHeight="1" x14ac:dyDescent="0.25">
      <c r="A48" s="116">
        <v>3</v>
      </c>
      <c r="B48" s="117"/>
      <c r="C48" s="117" t="s">
        <v>156</v>
      </c>
      <c r="D48" s="118"/>
      <c r="E48" s="128" t="s">
        <v>157</v>
      </c>
      <c r="F48" s="119">
        <f>+F49</f>
        <v>27939292142</v>
      </c>
      <c r="G48" s="120">
        <f>+G49</f>
        <v>0</v>
      </c>
      <c r="H48" s="120">
        <f>+H49</f>
        <v>592026147</v>
      </c>
      <c r="I48" s="120">
        <f>+G48+H48</f>
        <v>592026147</v>
      </c>
      <c r="J48" s="120">
        <f>+J49</f>
        <v>0</v>
      </c>
      <c r="K48" s="120">
        <f>+K49</f>
        <v>0</v>
      </c>
      <c r="L48" s="120">
        <f>+J48+K48</f>
        <v>0</v>
      </c>
      <c r="M48" s="120">
        <f>+I48+L48</f>
        <v>592026147</v>
      </c>
      <c r="N48" s="119">
        <f>+F48-M48</f>
        <v>27347265995</v>
      </c>
      <c r="P48" s="190"/>
      <c r="R48" s="122"/>
      <c r="S48" s="283"/>
      <c r="T48" s="283"/>
      <c r="U48" s="246"/>
    </row>
    <row r="49" spans="1:21" s="107" customFormat="1" ht="18" customHeight="1" x14ac:dyDescent="0.25">
      <c r="A49" s="101"/>
      <c r="B49" s="102"/>
      <c r="C49" s="102"/>
      <c r="D49" s="103" t="s">
        <v>207</v>
      </c>
      <c r="E49" s="104" t="s">
        <v>262</v>
      </c>
      <c r="F49" s="105">
        <f t="shared" ref="F49" si="24">+F50</f>
        <v>27939292142</v>
      </c>
      <c r="G49" s="106">
        <f>+G50</f>
        <v>0</v>
      </c>
      <c r="H49" s="106">
        <f>+H50</f>
        <v>592026147</v>
      </c>
      <c r="I49" s="106">
        <f t="shared" ref="I49:I50" si="25">+G49+H49</f>
        <v>592026147</v>
      </c>
      <c r="J49" s="106"/>
      <c r="K49" s="106">
        <f>+K50</f>
        <v>0</v>
      </c>
      <c r="L49" s="106">
        <f t="shared" ref="L49:L112" si="26">+J49+K49</f>
        <v>0</v>
      </c>
      <c r="M49" s="106">
        <f t="shared" ref="M49:M72" si="27">+I49+L49</f>
        <v>592026147</v>
      </c>
      <c r="N49" s="105">
        <f t="shared" ref="N49:N54" si="28">+F49-M49</f>
        <v>27347265995</v>
      </c>
      <c r="P49" s="191"/>
      <c r="R49" s="108"/>
      <c r="S49" s="284"/>
      <c r="T49" s="284"/>
      <c r="U49" s="241"/>
    </row>
    <row r="50" spans="1:21" s="49" customFormat="1" ht="18" customHeight="1" x14ac:dyDescent="0.25">
      <c r="A50" s="44"/>
      <c r="B50" s="45"/>
      <c r="C50" s="45"/>
      <c r="D50" s="69" t="s">
        <v>158</v>
      </c>
      <c r="E50" s="45" t="s">
        <v>159</v>
      </c>
      <c r="F50" s="47">
        <f>F51+F76+F83+F101</f>
        <v>27939292142</v>
      </c>
      <c r="G50" s="70">
        <f>+G51+G83+G101+G76</f>
        <v>0</v>
      </c>
      <c r="H50" s="70">
        <f>+H51+H83+H101+H76</f>
        <v>592026147</v>
      </c>
      <c r="I50" s="70">
        <f t="shared" si="25"/>
        <v>592026147</v>
      </c>
      <c r="J50" s="70"/>
      <c r="K50" s="70">
        <f>+K51+K76+K83+K101</f>
        <v>0</v>
      </c>
      <c r="L50" s="70">
        <f t="shared" si="26"/>
        <v>0</v>
      </c>
      <c r="M50" s="70">
        <f t="shared" si="27"/>
        <v>592026147</v>
      </c>
      <c r="N50" s="47">
        <f t="shared" si="28"/>
        <v>27347265995</v>
      </c>
      <c r="P50" s="192"/>
      <c r="S50" s="282"/>
      <c r="T50" s="282"/>
      <c r="U50" s="242"/>
    </row>
    <row r="51" spans="1:21" s="55" customFormat="1" ht="18" customHeight="1" x14ac:dyDescent="0.25">
      <c r="A51" s="50"/>
      <c r="B51" s="51"/>
      <c r="C51" s="51"/>
      <c r="D51" s="71" t="s">
        <v>208</v>
      </c>
      <c r="E51" s="51" t="s">
        <v>209</v>
      </c>
      <c r="F51" s="53">
        <f>F52+F54+F56+F58+F60+F62+F64+F66+F68+F70+F72+F74</f>
        <v>15098272502</v>
      </c>
      <c r="G51" s="72">
        <f>+G52+G54+G56+G58+G60+G62+G64+G66+G68+G70+G72+G74</f>
        <v>0</v>
      </c>
      <c r="H51" s="72">
        <f>+H52+H54+H56+H58+H60+H62+H64+H66+H68+H70+H72+H74</f>
        <v>321607359</v>
      </c>
      <c r="I51" s="72">
        <f>+G51+H51</f>
        <v>321607359</v>
      </c>
      <c r="J51" s="72"/>
      <c r="K51" s="72">
        <f>+K52+K54+K56+K58+K60+K62+K64+K66+K68+K70+K72+K74</f>
        <v>0</v>
      </c>
      <c r="L51" s="72">
        <f t="shared" si="26"/>
        <v>0</v>
      </c>
      <c r="M51" s="72">
        <f t="shared" si="27"/>
        <v>321607359</v>
      </c>
      <c r="N51" s="53">
        <f t="shared" si="28"/>
        <v>14776665143</v>
      </c>
      <c r="P51" s="195"/>
      <c r="S51" s="282"/>
      <c r="T51" s="282"/>
      <c r="U51" s="243"/>
    </row>
    <row r="52" spans="1:21" s="49" customFormat="1" ht="18" customHeight="1" x14ac:dyDescent="0.25">
      <c r="A52" s="56"/>
      <c r="B52" s="57"/>
      <c r="C52" s="57"/>
      <c r="D52" s="73" t="s">
        <v>160</v>
      </c>
      <c r="E52" s="57" t="s">
        <v>162</v>
      </c>
      <c r="F52" s="58">
        <f>+F53</f>
        <v>13525507924</v>
      </c>
      <c r="G52" s="59">
        <f>+G53</f>
        <v>0</v>
      </c>
      <c r="H52" s="59">
        <f>+H53</f>
        <v>241934700</v>
      </c>
      <c r="I52" s="59">
        <f t="shared" ref="I52" si="29">+G52+H52</f>
        <v>241934700</v>
      </c>
      <c r="J52" s="59"/>
      <c r="K52" s="59">
        <f>+K53</f>
        <v>0</v>
      </c>
      <c r="L52" s="59">
        <f>+J52+K52</f>
        <v>0</v>
      </c>
      <c r="M52" s="59">
        <f t="shared" si="27"/>
        <v>241934700</v>
      </c>
      <c r="N52" s="58">
        <f t="shared" si="28"/>
        <v>13283573224</v>
      </c>
      <c r="P52" s="192"/>
      <c r="S52" s="282"/>
      <c r="T52" s="281"/>
      <c r="U52" s="242"/>
    </row>
    <row r="53" spans="1:21" s="49" customFormat="1" ht="18" customHeight="1" x14ac:dyDescent="0.25">
      <c r="A53" s="61"/>
      <c r="B53" s="62"/>
      <c r="C53" s="62"/>
      <c r="D53" s="74" t="s">
        <v>161</v>
      </c>
      <c r="E53" s="62" t="s">
        <v>163</v>
      </c>
      <c r="F53" s="63">
        <v>13525507924</v>
      </c>
      <c r="G53" s="75"/>
      <c r="H53" s="75">
        <v>241934700</v>
      </c>
      <c r="I53" s="75">
        <f>+G53+H53</f>
        <v>241934700</v>
      </c>
      <c r="J53" s="75"/>
      <c r="K53" s="75"/>
      <c r="L53" s="75">
        <f t="shared" si="26"/>
        <v>0</v>
      </c>
      <c r="M53" s="75">
        <f t="shared" si="27"/>
        <v>241934700</v>
      </c>
      <c r="N53" s="63">
        <f t="shared" si="28"/>
        <v>13283573224</v>
      </c>
      <c r="P53" s="192"/>
      <c r="S53" s="282"/>
      <c r="T53" s="281"/>
      <c r="U53" s="242"/>
    </row>
    <row r="54" spans="1:21" s="49" customFormat="1" ht="18" customHeight="1" x14ac:dyDescent="0.25">
      <c r="A54" s="56"/>
      <c r="B54" s="57"/>
      <c r="C54" s="57"/>
      <c r="D54" s="73" t="s">
        <v>164</v>
      </c>
      <c r="E54" s="57" t="s">
        <v>166</v>
      </c>
      <c r="F54" s="58">
        <f>+F55</f>
        <v>401878814</v>
      </c>
      <c r="G54" s="59">
        <f>+G55</f>
        <v>0</v>
      </c>
      <c r="H54" s="59">
        <f>+H55</f>
        <v>24447544</v>
      </c>
      <c r="I54" s="59">
        <f t="shared" ref="I54:I73" si="30">+G54+H54</f>
        <v>24447544</v>
      </c>
      <c r="J54" s="59"/>
      <c r="K54" s="59">
        <f>+K55</f>
        <v>0</v>
      </c>
      <c r="L54" s="59">
        <f>+J54+K54</f>
        <v>0</v>
      </c>
      <c r="M54" s="59">
        <f t="shared" si="27"/>
        <v>24447544</v>
      </c>
      <c r="N54" s="58">
        <f t="shared" si="28"/>
        <v>377431270</v>
      </c>
      <c r="P54" s="192"/>
      <c r="S54" s="282"/>
      <c r="T54" s="281"/>
      <c r="U54" s="242"/>
    </row>
    <row r="55" spans="1:21" s="49" customFormat="1" ht="18" customHeight="1" x14ac:dyDescent="0.25">
      <c r="A55" s="61"/>
      <c r="B55" s="62"/>
      <c r="C55" s="62"/>
      <c r="D55" s="74" t="s">
        <v>165</v>
      </c>
      <c r="E55" s="62" t="s">
        <v>167</v>
      </c>
      <c r="F55" s="63">
        <v>401878814</v>
      </c>
      <c r="G55" s="75"/>
      <c r="H55" s="75">
        <v>24447544</v>
      </c>
      <c r="I55" s="75">
        <f t="shared" si="30"/>
        <v>24447544</v>
      </c>
      <c r="J55" s="75"/>
      <c r="K55" s="75"/>
      <c r="L55" s="75">
        <f t="shared" si="26"/>
        <v>0</v>
      </c>
      <c r="M55" s="75">
        <f t="shared" si="27"/>
        <v>24447544</v>
      </c>
      <c r="N55" s="63">
        <f>+F55-M55</f>
        <v>377431270</v>
      </c>
      <c r="P55" s="192"/>
      <c r="S55" s="282"/>
      <c r="T55" s="281"/>
      <c r="U55" s="242"/>
    </row>
    <row r="56" spans="1:21" s="49" customFormat="1" ht="18" customHeight="1" x14ac:dyDescent="0.25">
      <c r="A56" s="56"/>
      <c r="B56" s="57"/>
      <c r="C56" s="57"/>
      <c r="D56" s="73" t="s">
        <v>168</v>
      </c>
      <c r="E56" s="57" t="s">
        <v>170</v>
      </c>
      <c r="F56" s="58">
        <f>+F57</f>
        <v>290052000</v>
      </c>
      <c r="G56" s="59">
        <f>+G57</f>
        <v>0</v>
      </c>
      <c r="H56" s="59">
        <f>+H57</f>
        <v>17805000</v>
      </c>
      <c r="I56" s="59">
        <f t="shared" si="30"/>
        <v>17805000</v>
      </c>
      <c r="J56" s="59"/>
      <c r="K56" s="59">
        <f>+K57</f>
        <v>0</v>
      </c>
      <c r="L56" s="59">
        <f t="shared" si="26"/>
        <v>0</v>
      </c>
      <c r="M56" s="59">
        <f t="shared" si="27"/>
        <v>17805000</v>
      </c>
      <c r="N56" s="58">
        <f t="shared" ref="N56:N58" si="31">+F56-M56</f>
        <v>272247000</v>
      </c>
      <c r="P56" s="192"/>
      <c r="S56" s="282"/>
      <c r="T56" s="281"/>
      <c r="U56" s="242"/>
    </row>
    <row r="57" spans="1:21" s="49" customFormat="1" ht="18" customHeight="1" x14ac:dyDescent="0.25">
      <c r="A57" s="61"/>
      <c r="B57" s="62"/>
      <c r="C57" s="62"/>
      <c r="D57" s="74" t="s">
        <v>169</v>
      </c>
      <c r="E57" s="62" t="s">
        <v>171</v>
      </c>
      <c r="F57" s="63">
        <v>290052000</v>
      </c>
      <c r="G57" s="75"/>
      <c r="H57" s="75">
        <v>17805000</v>
      </c>
      <c r="I57" s="75">
        <f t="shared" si="30"/>
        <v>17805000</v>
      </c>
      <c r="J57" s="75"/>
      <c r="K57" s="75"/>
      <c r="L57" s="75">
        <f t="shared" si="26"/>
        <v>0</v>
      </c>
      <c r="M57" s="75">
        <f t="shared" si="27"/>
        <v>17805000</v>
      </c>
      <c r="N57" s="63">
        <f t="shared" si="31"/>
        <v>272247000</v>
      </c>
      <c r="P57" s="192"/>
      <c r="S57" s="282"/>
      <c r="T57" s="281"/>
      <c r="U57" s="242"/>
    </row>
    <row r="58" spans="1:21" s="49" customFormat="1" ht="18" customHeight="1" x14ac:dyDescent="0.25">
      <c r="A58" s="56"/>
      <c r="B58" s="57"/>
      <c r="C58" s="57"/>
      <c r="D58" s="73" t="s">
        <v>172</v>
      </c>
      <c r="E58" s="57" t="s">
        <v>174</v>
      </c>
      <c r="F58" s="58">
        <f>+F59</f>
        <v>62496000</v>
      </c>
      <c r="G58" s="59">
        <f>+G59</f>
        <v>0</v>
      </c>
      <c r="H58" s="59">
        <f>+H59</f>
        <v>960000</v>
      </c>
      <c r="I58" s="59">
        <f t="shared" si="30"/>
        <v>960000</v>
      </c>
      <c r="J58" s="59"/>
      <c r="K58" s="59">
        <f>+K59</f>
        <v>0</v>
      </c>
      <c r="L58" s="59">
        <f t="shared" si="26"/>
        <v>0</v>
      </c>
      <c r="M58" s="59">
        <f t="shared" si="27"/>
        <v>960000</v>
      </c>
      <c r="N58" s="58">
        <f t="shared" si="31"/>
        <v>61536000</v>
      </c>
      <c r="P58" s="192"/>
      <c r="S58" s="282"/>
      <c r="T58" s="281"/>
      <c r="U58" s="242"/>
    </row>
    <row r="59" spans="1:21" s="49" customFormat="1" ht="18" customHeight="1" x14ac:dyDescent="0.25">
      <c r="A59" s="61"/>
      <c r="B59" s="62"/>
      <c r="C59" s="62"/>
      <c r="D59" s="74" t="s">
        <v>173</v>
      </c>
      <c r="E59" s="62" t="s">
        <v>175</v>
      </c>
      <c r="F59" s="63">
        <v>62496000</v>
      </c>
      <c r="G59" s="75"/>
      <c r="H59" s="75">
        <v>960000</v>
      </c>
      <c r="I59" s="75">
        <f t="shared" si="30"/>
        <v>960000</v>
      </c>
      <c r="J59" s="75"/>
      <c r="K59" s="75"/>
      <c r="L59" s="75">
        <f t="shared" si="26"/>
        <v>0</v>
      </c>
      <c r="M59" s="75">
        <f t="shared" si="27"/>
        <v>960000</v>
      </c>
      <c r="N59" s="63">
        <f>+F59-M59</f>
        <v>61536000</v>
      </c>
      <c r="P59" s="192"/>
      <c r="S59" s="282"/>
      <c r="T59" s="281"/>
      <c r="U59" s="242"/>
    </row>
    <row r="60" spans="1:21" s="49" customFormat="1" ht="18" customHeight="1" x14ac:dyDescent="0.25">
      <c r="A60" s="56"/>
      <c r="B60" s="57"/>
      <c r="C60" s="57"/>
      <c r="D60" s="73" t="s">
        <v>176</v>
      </c>
      <c r="E60" s="57" t="s">
        <v>178</v>
      </c>
      <c r="F60" s="58">
        <f>+F61</f>
        <v>126672000</v>
      </c>
      <c r="G60" s="59">
        <f>+G61</f>
        <v>0</v>
      </c>
      <c r="H60" s="59">
        <f>+H61</f>
        <v>7730000</v>
      </c>
      <c r="I60" s="59">
        <f t="shared" si="30"/>
        <v>7730000</v>
      </c>
      <c r="J60" s="59"/>
      <c r="K60" s="59">
        <f>+K61</f>
        <v>0</v>
      </c>
      <c r="L60" s="59">
        <f t="shared" si="26"/>
        <v>0</v>
      </c>
      <c r="M60" s="59">
        <f t="shared" si="27"/>
        <v>7730000</v>
      </c>
      <c r="N60" s="58">
        <f t="shared" ref="N60:N72" si="32">+F60-M60</f>
        <v>118942000</v>
      </c>
      <c r="P60" s="192"/>
      <c r="S60" s="282"/>
      <c r="T60" s="281"/>
      <c r="U60" s="242"/>
    </row>
    <row r="61" spans="1:21" s="49" customFormat="1" ht="18" customHeight="1" x14ac:dyDescent="0.25">
      <c r="A61" s="61"/>
      <c r="B61" s="62"/>
      <c r="C61" s="62"/>
      <c r="D61" s="74" t="s">
        <v>177</v>
      </c>
      <c r="E61" s="62" t="s">
        <v>179</v>
      </c>
      <c r="F61" s="63">
        <v>126672000</v>
      </c>
      <c r="G61" s="75"/>
      <c r="H61" s="75">
        <v>7730000</v>
      </c>
      <c r="I61" s="75">
        <f t="shared" si="30"/>
        <v>7730000</v>
      </c>
      <c r="J61" s="75"/>
      <c r="K61" s="75"/>
      <c r="L61" s="75">
        <f t="shared" si="26"/>
        <v>0</v>
      </c>
      <c r="M61" s="75">
        <f t="shared" si="27"/>
        <v>7730000</v>
      </c>
      <c r="N61" s="63">
        <f t="shared" si="32"/>
        <v>118942000</v>
      </c>
      <c r="P61" s="192"/>
      <c r="S61" s="282"/>
      <c r="T61" s="281"/>
      <c r="U61" s="242"/>
    </row>
    <row r="62" spans="1:21" s="49" customFormat="1" ht="18" customHeight="1" x14ac:dyDescent="0.25">
      <c r="A62" s="56"/>
      <c r="B62" s="57"/>
      <c r="C62" s="57"/>
      <c r="D62" s="73" t="s">
        <v>180</v>
      </c>
      <c r="E62" s="57" t="s">
        <v>182</v>
      </c>
      <c r="F62" s="58">
        <f>+F63</f>
        <v>237247920</v>
      </c>
      <c r="G62" s="59">
        <f>+G63</f>
        <v>0</v>
      </c>
      <c r="H62" s="59">
        <f>+H63</f>
        <v>14411580</v>
      </c>
      <c r="I62" s="59">
        <f t="shared" si="30"/>
        <v>14411580</v>
      </c>
      <c r="J62" s="59"/>
      <c r="K62" s="59">
        <f>+K63</f>
        <v>0</v>
      </c>
      <c r="L62" s="59">
        <f t="shared" si="26"/>
        <v>0</v>
      </c>
      <c r="M62" s="59">
        <f t="shared" si="27"/>
        <v>14411580</v>
      </c>
      <c r="N62" s="58">
        <f t="shared" si="32"/>
        <v>222836340</v>
      </c>
      <c r="P62" s="192"/>
      <c r="S62" s="282"/>
      <c r="T62" s="281"/>
      <c r="U62" s="242"/>
    </row>
    <row r="63" spans="1:21" s="49" customFormat="1" ht="18" customHeight="1" x14ac:dyDescent="0.25">
      <c r="A63" s="61"/>
      <c r="B63" s="62"/>
      <c r="C63" s="62"/>
      <c r="D63" s="74" t="s">
        <v>181</v>
      </c>
      <c r="E63" s="62" t="s">
        <v>183</v>
      </c>
      <c r="F63" s="63">
        <v>237247920</v>
      </c>
      <c r="G63" s="75"/>
      <c r="H63" s="75">
        <v>14411580</v>
      </c>
      <c r="I63" s="75">
        <f t="shared" si="30"/>
        <v>14411580</v>
      </c>
      <c r="J63" s="75"/>
      <c r="K63" s="75"/>
      <c r="L63" s="75">
        <f t="shared" si="26"/>
        <v>0</v>
      </c>
      <c r="M63" s="75">
        <f t="shared" si="27"/>
        <v>14411580</v>
      </c>
      <c r="N63" s="63">
        <f t="shared" si="32"/>
        <v>222836340</v>
      </c>
      <c r="P63" s="192"/>
      <c r="S63" s="282"/>
      <c r="T63" s="281"/>
      <c r="U63" s="242"/>
    </row>
    <row r="64" spans="1:21" s="49" customFormat="1" ht="18" customHeight="1" x14ac:dyDescent="0.25">
      <c r="A64" s="56"/>
      <c r="B64" s="57"/>
      <c r="C64" s="57"/>
      <c r="D64" s="73" t="s">
        <v>184</v>
      </c>
      <c r="E64" s="57" t="s">
        <v>186</v>
      </c>
      <c r="F64" s="58">
        <f>+F65</f>
        <v>202631050</v>
      </c>
      <c r="G64" s="59">
        <f>+G65</f>
        <v>0</v>
      </c>
      <c r="H64" s="59">
        <f>+H65</f>
        <v>277647</v>
      </c>
      <c r="I64" s="59">
        <f t="shared" si="30"/>
        <v>277647</v>
      </c>
      <c r="J64" s="59"/>
      <c r="K64" s="59">
        <f>+K65</f>
        <v>0</v>
      </c>
      <c r="L64" s="59">
        <f t="shared" si="26"/>
        <v>0</v>
      </c>
      <c r="M64" s="59">
        <f t="shared" si="27"/>
        <v>277647</v>
      </c>
      <c r="N64" s="58">
        <f t="shared" si="32"/>
        <v>202353403</v>
      </c>
      <c r="P64" s="192"/>
      <c r="S64" s="282"/>
      <c r="T64" s="281"/>
      <c r="U64" s="242"/>
    </row>
    <row r="65" spans="1:21" s="49" customFormat="1" ht="18" customHeight="1" x14ac:dyDescent="0.25">
      <c r="A65" s="61"/>
      <c r="B65" s="62"/>
      <c r="C65" s="62"/>
      <c r="D65" s="74" t="s">
        <v>185</v>
      </c>
      <c r="E65" s="62" t="s">
        <v>187</v>
      </c>
      <c r="F65" s="63">
        <v>202631050</v>
      </c>
      <c r="G65" s="75"/>
      <c r="H65" s="75">
        <v>277647</v>
      </c>
      <c r="I65" s="75">
        <f t="shared" si="30"/>
        <v>277647</v>
      </c>
      <c r="J65" s="75"/>
      <c r="K65" s="75"/>
      <c r="L65" s="75">
        <f t="shared" si="26"/>
        <v>0</v>
      </c>
      <c r="M65" s="75">
        <f t="shared" si="27"/>
        <v>277647</v>
      </c>
      <c r="N65" s="63">
        <f t="shared" si="32"/>
        <v>202353403</v>
      </c>
      <c r="P65" s="192"/>
      <c r="S65" s="282"/>
      <c r="T65" s="281"/>
      <c r="U65" s="242"/>
    </row>
    <row r="66" spans="1:21" s="49" customFormat="1" ht="18" customHeight="1" x14ac:dyDescent="0.25">
      <c r="A66" s="56"/>
      <c r="B66" s="57"/>
      <c r="C66" s="57"/>
      <c r="D66" s="73" t="s">
        <v>188</v>
      </c>
      <c r="E66" s="57" t="s">
        <v>190</v>
      </c>
      <c r="F66" s="58">
        <f t="shared" ref="F66" si="33">+F67</f>
        <v>51845</v>
      </c>
      <c r="G66" s="59">
        <f>+G67</f>
        <v>0</v>
      </c>
      <c r="H66" s="59">
        <f>+H67</f>
        <v>3223</v>
      </c>
      <c r="I66" s="59">
        <f t="shared" si="30"/>
        <v>3223</v>
      </c>
      <c r="J66" s="59"/>
      <c r="K66" s="59">
        <f>+K67</f>
        <v>0</v>
      </c>
      <c r="L66" s="59">
        <f t="shared" si="26"/>
        <v>0</v>
      </c>
      <c r="M66" s="59">
        <f t="shared" si="27"/>
        <v>3223</v>
      </c>
      <c r="N66" s="58">
        <f t="shared" si="32"/>
        <v>48622</v>
      </c>
      <c r="P66" s="192"/>
      <c r="S66" s="282"/>
      <c r="T66" s="281"/>
      <c r="U66" s="242"/>
    </row>
    <row r="67" spans="1:21" s="49" customFormat="1" ht="18" customHeight="1" x14ac:dyDescent="0.25">
      <c r="A67" s="61"/>
      <c r="B67" s="62"/>
      <c r="C67" s="62"/>
      <c r="D67" s="74" t="s">
        <v>189</v>
      </c>
      <c r="E67" s="62" t="s">
        <v>329</v>
      </c>
      <c r="F67" s="63">
        <v>51845</v>
      </c>
      <c r="G67" s="75"/>
      <c r="H67" s="75">
        <v>3223</v>
      </c>
      <c r="I67" s="75">
        <f t="shared" si="30"/>
        <v>3223</v>
      </c>
      <c r="J67" s="75"/>
      <c r="K67" s="75"/>
      <c r="L67" s="75">
        <f t="shared" si="26"/>
        <v>0</v>
      </c>
      <c r="M67" s="75">
        <f t="shared" si="27"/>
        <v>3223</v>
      </c>
      <c r="N67" s="63">
        <f t="shared" si="32"/>
        <v>48622</v>
      </c>
      <c r="P67" s="192"/>
      <c r="S67" s="282"/>
      <c r="T67" s="281"/>
      <c r="U67" s="242"/>
    </row>
    <row r="68" spans="1:21" s="49" customFormat="1" ht="18" customHeight="1" x14ac:dyDescent="0.25">
      <c r="A68" s="56"/>
      <c r="B68" s="57"/>
      <c r="C68" s="57"/>
      <c r="D68" s="73" t="s">
        <v>191</v>
      </c>
      <c r="E68" s="57" t="s">
        <v>193</v>
      </c>
      <c r="F68" s="58">
        <f t="shared" ref="F68" si="34">+F69</f>
        <v>190139023</v>
      </c>
      <c r="G68" s="59">
        <f>+G69</f>
        <v>0</v>
      </c>
      <c r="H68" s="59">
        <f>+H69</f>
        <v>11715091</v>
      </c>
      <c r="I68" s="59">
        <f t="shared" si="30"/>
        <v>11715091</v>
      </c>
      <c r="J68" s="59"/>
      <c r="K68" s="59">
        <f>+K69</f>
        <v>0</v>
      </c>
      <c r="L68" s="59">
        <f t="shared" si="26"/>
        <v>0</v>
      </c>
      <c r="M68" s="59">
        <f t="shared" si="27"/>
        <v>11715091</v>
      </c>
      <c r="N68" s="58">
        <f t="shared" si="32"/>
        <v>178423932</v>
      </c>
      <c r="P68" s="192"/>
      <c r="S68" s="282"/>
      <c r="T68" s="281"/>
      <c r="U68" s="242"/>
    </row>
    <row r="69" spans="1:21" s="49" customFormat="1" ht="18" customHeight="1" x14ac:dyDescent="0.25">
      <c r="A69" s="61"/>
      <c r="B69" s="62"/>
      <c r="C69" s="62"/>
      <c r="D69" s="74" t="s">
        <v>192</v>
      </c>
      <c r="E69" s="62" t="s">
        <v>194</v>
      </c>
      <c r="F69" s="63">
        <v>190139023</v>
      </c>
      <c r="G69" s="75"/>
      <c r="H69" s="75">
        <v>11715091</v>
      </c>
      <c r="I69" s="75">
        <f t="shared" si="30"/>
        <v>11715091</v>
      </c>
      <c r="J69" s="75"/>
      <c r="K69" s="75"/>
      <c r="L69" s="75">
        <f t="shared" si="26"/>
        <v>0</v>
      </c>
      <c r="M69" s="75">
        <f t="shared" si="27"/>
        <v>11715091</v>
      </c>
      <c r="N69" s="63">
        <f t="shared" si="32"/>
        <v>178423932</v>
      </c>
      <c r="P69" s="192"/>
      <c r="S69" s="282"/>
      <c r="T69" s="281"/>
      <c r="U69" s="242"/>
    </row>
    <row r="70" spans="1:21" s="49" customFormat="1" ht="18" customHeight="1" x14ac:dyDescent="0.25">
      <c r="A70" s="56"/>
      <c r="B70" s="57"/>
      <c r="C70" s="57"/>
      <c r="D70" s="73" t="s">
        <v>195</v>
      </c>
      <c r="E70" s="57" t="s">
        <v>197</v>
      </c>
      <c r="F70" s="58">
        <f t="shared" ref="F70" si="35">+F71</f>
        <v>9404942</v>
      </c>
      <c r="G70" s="59">
        <f>+G71</f>
        <v>0</v>
      </c>
      <c r="H70" s="59">
        <f>+H71</f>
        <v>580644</v>
      </c>
      <c r="I70" s="59">
        <f t="shared" si="30"/>
        <v>580644</v>
      </c>
      <c r="J70" s="59"/>
      <c r="K70" s="59">
        <f>+K71</f>
        <v>0</v>
      </c>
      <c r="L70" s="59">
        <f t="shared" si="26"/>
        <v>0</v>
      </c>
      <c r="M70" s="59">
        <f t="shared" si="27"/>
        <v>580644</v>
      </c>
      <c r="N70" s="58">
        <f t="shared" si="32"/>
        <v>8824298</v>
      </c>
      <c r="P70" s="192"/>
      <c r="S70" s="282"/>
      <c r="T70" s="281"/>
      <c r="U70" s="242"/>
    </row>
    <row r="71" spans="1:21" s="49" customFormat="1" ht="18" customHeight="1" x14ac:dyDescent="0.25">
      <c r="A71" s="61"/>
      <c r="B71" s="62"/>
      <c r="C71" s="62"/>
      <c r="D71" s="74" t="s">
        <v>196</v>
      </c>
      <c r="E71" s="62" t="s">
        <v>198</v>
      </c>
      <c r="F71" s="63">
        <v>9404942</v>
      </c>
      <c r="G71" s="75"/>
      <c r="H71" s="75">
        <v>580644</v>
      </c>
      <c r="I71" s="75">
        <f t="shared" si="30"/>
        <v>580644</v>
      </c>
      <c r="J71" s="75"/>
      <c r="K71" s="75"/>
      <c r="L71" s="75">
        <f t="shared" si="26"/>
        <v>0</v>
      </c>
      <c r="M71" s="75">
        <f t="shared" si="27"/>
        <v>580644</v>
      </c>
      <c r="N71" s="63">
        <f t="shared" si="32"/>
        <v>8824298</v>
      </c>
      <c r="P71" s="192"/>
      <c r="S71" s="282"/>
      <c r="T71" s="281"/>
      <c r="U71" s="242"/>
    </row>
    <row r="72" spans="1:21" s="49" customFormat="1" ht="18" customHeight="1" x14ac:dyDescent="0.25">
      <c r="A72" s="56"/>
      <c r="B72" s="57"/>
      <c r="C72" s="57"/>
      <c r="D72" s="73" t="s">
        <v>199</v>
      </c>
      <c r="E72" s="57" t="s">
        <v>201</v>
      </c>
      <c r="F72" s="58">
        <f>+F73</f>
        <v>28215046</v>
      </c>
      <c r="G72" s="59">
        <f>+G73</f>
        <v>0</v>
      </c>
      <c r="H72" s="59">
        <f>+H73</f>
        <v>1741930</v>
      </c>
      <c r="I72" s="59">
        <f t="shared" si="30"/>
        <v>1741930</v>
      </c>
      <c r="J72" s="59"/>
      <c r="K72" s="59">
        <f>+K73</f>
        <v>0</v>
      </c>
      <c r="L72" s="59">
        <f t="shared" si="26"/>
        <v>0</v>
      </c>
      <c r="M72" s="59">
        <f t="shared" si="27"/>
        <v>1741930</v>
      </c>
      <c r="N72" s="58">
        <f t="shared" si="32"/>
        <v>26473116</v>
      </c>
      <c r="P72" s="192"/>
      <c r="S72" s="282"/>
      <c r="T72" s="281"/>
      <c r="U72" s="242"/>
    </row>
    <row r="73" spans="1:21" s="49" customFormat="1" ht="18" customHeight="1" x14ac:dyDescent="0.25">
      <c r="A73" s="61"/>
      <c r="B73" s="62"/>
      <c r="C73" s="62"/>
      <c r="D73" s="74" t="s">
        <v>200</v>
      </c>
      <c r="E73" s="62" t="s">
        <v>202</v>
      </c>
      <c r="F73" s="63">
        <v>28215046</v>
      </c>
      <c r="G73" s="75"/>
      <c r="H73" s="75">
        <v>1741930</v>
      </c>
      <c r="I73" s="75">
        <f t="shared" si="30"/>
        <v>1741930</v>
      </c>
      <c r="J73" s="75"/>
      <c r="K73" s="75"/>
      <c r="L73" s="75">
        <f t="shared" si="26"/>
        <v>0</v>
      </c>
      <c r="M73" s="75">
        <f>+I73+L73</f>
        <v>1741930</v>
      </c>
      <c r="N73" s="63">
        <f>+F73-M73</f>
        <v>26473116</v>
      </c>
      <c r="P73" s="192"/>
      <c r="S73" s="282"/>
      <c r="T73" s="281"/>
      <c r="U73" s="242"/>
    </row>
    <row r="74" spans="1:21" s="49" customFormat="1" ht="18" customHeight="1" x14ac:dyDescent="0.25">
      <c r="A74" s="56"/>
      <c r="B74" s="57"/>
      <c r="C74" s="57"/>
      <c r="D74" s="73" t="s">
        <v>203</v>
      </c>
      <c r="E74" s="57" t="s">
        <v>205</v>
      </c>
      <c r="F74" s="58">
        <f>+F75</f>
        <v>23975938</v>
      </c>
      <c r="G74" s="59">
        <f>G75</f>
        <v>0</v>
      </c>
      <c r="H74" s="59">
        <f>+H75</f>
        <v>0</v>
      </c>
      <c r="I74" s="59">
        <f>+I75</f>
        <v>0</v>
      </c>
      <c r="J74" s="59"/>
      <c r="K74" s="59">
        <f>+K75</f>
        <v>0</v>
      </c>
      <c r="L74" s="59">
        <f t="shared" si="26"/>
        <v>0</v>
      </c>
      <c r="M74" s="59">
        <f t="shared" ref="M74:M101" si="36">+I74+L74</f>
        <v>0</v>
      </c>
      <c r="N74" s="58">
        <f t="shared" ref="N74:N84" si="37">+F74-M74</f>
        <v>23975938</v>
      </c>
      <c r="P74" s="192"/>
      <c r="S74" s="282"/>
      <c r="T74" s="282"/>
      <c r="U74" s="242"/>
    </row>
    <row r="75" spans="1:21" s="49" customFormat="1" ht="18" customHeight="1" x14ac:dyDescent="0.25">
      <c r="A75" s="61"/>
      <c r="B75" s="62"/>
      <c r="C75" s="62"/>
      <c r="D75" s="74" t="s">
        <v>204</v>
      </c>
      <c r="E75" s="62" t="s">
        <v>206</v>
      </c>
      <c r="F75" s="63">
        <v>23975938</v>
      </c>
      <c r="G75" s="75"/>
      <c r="H75" s="75"/>
      <c r="I75" s="75">
        <f t="shared" ref="I75:I100" si="38">+G75+H75</f>
        <v>0</v>
      </c>
      <c r="J75" s="75"/>
      <c r="K75" s="75"/>
      <c r="L75" s="75">
        <f t="shared" si="26"/>
        <v>0</v>
      </c>
      <c r="M75" s="75">
        <f t="shared" si="36"/>
        <v>0</v>
      </c>
      <c r="N75" s="63">
        <f t="shared" si="37"/>
        <v>23975938</v>
      </c>
      <c r="P75" s="192"/>
      <c r="S75" s="282"/>
      <c r="T75" s="282"/>
      <c r="U75" s="242"/>
    </row>
    <row r="76" spans="1:21" s="55" customFormat="1" ht="18" customHeight="1" x14ac:dyDescent="0.25">
      <c r="A76" s="50"/>
      <c r="B76" s="51"/>
      <c r="C76" s="51"/>
      <c r="D76" s="71" t="s">
        <v>210</v>
      </c>
      <c r="E76" s="51" t="s">
        <v>211</v>
      </c>
      <c r="F76" s="53">
        <f>+F77+F79+F81</f>
        <v>2044369640</v>
      </c>
      <c r="G76" s="72">
        <f>+G77+G79</f>
        <v>0</v>
      </c>
      <c r="H76" s="72">
        <f>+H77+H79+H81</f>
        <v>194118788</v>
      </c>
      <c r="I76" s="72">
        <f>+G76+H76</f>
        <v>194118788</v>
      </c>
      <c r="J76" s="72"/>
      <c r="K76" s="72">
        <f>+K77</f>
        <v>0</v>
      </c>
      <c r="L76" s="72">
        <f t="shared" si="26"/>
        <v>0</v>
      </c>
      <c r="M76" s="72">
        <f t="shared" si="36"/>
        <v>194118788</v>
      </c>
      <c r="N76" s="53">
        <f t="shared" si="37"/>
        <v>1850250852</v>
      </c>
      <c r="P76" s="195"/>
      <c r="S76" s="282"/>
      <c r="T76" s="282"/>
      <c r="U76" s="243"/>
    </row>
    <row r="77" spans="1:21" s="49" customFormat="1" ht="18" customHeight="1" x14ac:dyDescent="0.25">
      <c r="A77" s="56"/>
      <c r="B77" s="57"/>
      <c r="C77" s="57"/>
      <c r="D77" s="73" t="s">
        <v>212</v>
      </c>
      <c r="E77" s="57" t="s">
        <v>214</v>
      </c>
      <c r="F77" s="58">
        <f>+F78</f>
        <v>180000000</v>
      </c>
      <c r="G77" s="59">
        <f>+G78</f>
        <v>0</v>
      </c>
      <c r="H77" s="59">
        <f t="shared" ref="G77:H81" si="39">+H78</f>
        <v>179148911</v>
      </c>
      <c r="I77" s="59">
        <f t="shared" si="38"/>
        <v>179148911</v>
      </c>
      <c r="J77" s="59"/>
      <c r="K77" s="59">
        <f>+K78</f>
        <v>0</v>
      </c>
      <c r="L77" s="59">
        <f t="shared" si="26"/>
        <v>0</v>
      </c>
      <c r="M77" s="59">
        <f t="shared" si="36"/>
        <v>179148911</v>
      </c>
      <c r="N77" s="58">
        <f t="shared" si="37"/>
        <v>851089</v>
      </c>
      <c r="P77" s="192"/>
      <c r="S77" s="282"/>
      <c r="T77" s="282"/>
      <c r="U77" s="242"/>
    </row>
    <row r="78" spans="1:21" s="49" customFormat="1" ht="18" customHeight="1" x14ac:dyDescent="0.25">
      <c r="A78" s="61"/>
      <c r="B78" s="62"/>
      <c r="C78" s="62"/>
      <c r="D78" s="74" t="s">
        <v>213</v>
      </c>
      <c r="E78" s="62" t="s">
        <v>215</v>
      </c>
      <c r="F78" s="63">
        <v>180000000</v>
      </c>
      <c r="G78" s="75"/>
      <c r="H78" s="75">
        <v>179148911</v>
      </c>
      <c r="I78" s="75">
        <f t="shared" si="38"/>
        <v>179148911</v>
      </c>
      <c r="J78" s="75"/>
      <c r="K78" s="75"/>
      <c r="L78" s="75">
        <f t="shared" si="26"/>
        <v>0</v>
      </c>
      <c r="M78" s="75">
        <f t="shared" si="36"/>
        <v>179148911</v>
      </c>
      <c r="N78" s="63">
        <f t="shared" si="37"/>
        <v>851089</v>
      </c>
      <c r="P78" s="192"/>
      <c r="S78" s="282"/>
      <c r="T78" s="281"/>
      <c r="U78" s="242"/>
    </row>
    <row r="79" spans="1:21" s="49" customFormat="1" ht="18" customHeight="1" x14ac:dyDescent="0.25">
      <c r="A79" s="56"/>
      <c r="B79" s="57"/>
      <c r="C79" s="57"/>
      <c r="D79" s="73" t="s">
        <v>431</v>
      </c>
      <c r="E79" s="57" t="s">
        <v>432</v>
      </c>
      <c r="F79" s="58">
        <f>+F80</f>
        <v>123544200</v>
      </c>
      <c r="G79" s="59">
        <f t="shared" si="39"/>
        <v>0</v>
      </c>
      <c r="H79" s="59">
        <f t="shared" si="39"/>
        <v>9969877</v>
      </c>
      <c r="I79" s="59">
        <f>+G79+H79</f>
        <v>9969877</v>
      </c>
      <c r="J79" s="59"/>
      <c r="K79" s="59">
        <f>+K80</f>
        <v>0</v>
      </c>
      <c r="L79" s="59">
        <f t="shared" si="26"/>
        <v>0</v>
      </c>
      <c r="M79" s="59">
        <f t="shared" si="36"/>
        <v>9969877</v>
      </c>
      <c r="N79" s="58">
        <f t="shared" si="37"/>
        <v>113574323</v>
      </c>
      <c r="P79" s="192"/>
      <c r="S79" s="282"/>
      <c r="T79" s="281"/>
      <c r="U79" s="242"/>
    </row>
    <row r="80" spans="1:21" s="49" customFormat="1" ht="18" customHeight="1" x14ac:dyDescent="0.25">
      <c r="A80" s="61"/>
      <c r="B80" s="62"/>
      <c r="C80" s="62"/>
      <c r="D80" s="74" t="s">
        <v>429</v>
      </c>
      <c r="E80" s="62" t="s">
        <v>430</v>
      </c>
      <c r="F80" s="63">
        <v>123544200</v>
      </c>
      <c r="G80" s="75"/>
      <c r="H80" s="75">
        <v>9969877</v>
      </c>
      <c r="I80" s="75">
        <f>+G80+H80</f>
        <v>9969877</v>
      </c>
      <c r="J80" s="75"/>
      <c r="K80" s="75"/>
      <c r="L80" s="75"/>
      <c r="M80" s="75">
        <f t="shared" si="36"/>
        <v>9969877</v>
      </c>
      <c r="N80" s="63">
        <f>+F80-M80</f>
        <v>113574323</v>
      </c>
      <c r="P80" s="192"/>
      <c r="S80" s="282"/>
      <c r="T80" s="281"/>
      <c r="U80" s="242"/>
    </row>
    <row r="81" spans="1:21" s="49" customFormat="1" ht="18" customHeight="1" x14ac:dyDescent="0.25">
      <c r="A81" s="56"/>
      <c r="B81" s="57"/>
      <c r="C81" s="57"/>
      <c r="D81" s="73" t="s">
        <v>453</v>
      </c>
      <c r="E81" s="57" t="s">
        <v>456</v>
      </c>
      <c r="F81" s="58">
        <f>+F82</f>
        <v>1740825440</v>
      </c>
      <c r="G81" s="59">
        <f t="shared" si="39"/>
        <v>0</v>
      </c>
      <c r="H81" s="59">
        <f t="shared" si="39"/>
        <v>5000000</v>
      </c>
      <c r="I81" s="59">
        <f>+G81+H81</f>
        <v>5000000</v>
      </c>
      <c r="J81" s="59"/>
      <c r="K81" s="59">
        <f>+K82</f>
        <v>0</v>
      </c>
      <c r="L81" s="59">
        <f t="shared" ref="L81" si="40">+J81+K81</f>
        <v>0</v>
      </c>
      <c r="M81" s="59">
        <f t="shared" ref="M81:M82" si="41">+I81+L81</f>
        <v>5000000</v>
      </c>
      <c r="N81" s="58">
        <f t="shared" ref="N81" si="42">+F81-M81</f>
        <v>1735825440</v>
      </c>
      <c r="P81" s="192"/>
      <c r="S81" s="282"/>
      <c r="T81" s="281"/>
      <c r="U81" s="242"/>
    </row>
    <row r="82" spans="1:21" s="49" customFormat="1" ht="18" customHeight="1" x14ac:dyDescent="0.25">
      <c r="A82" s="61"/>
      <c r="B82" s="62"/>
      <c r="C82" s="62"/>
      <c r="D82" s="74" t="s">
        <v>454</v>
      </c>
      <c r="E82" s="62" t="s">
        <v>455</v>
      </c>
      <c r="F82" s="63">
        <v>1740825440</v>
      </c>
      <c r="G82" s="75"/>
      <c r="H82" s="75">
        <v>5000000</v>
      </c>
      <c r="I82" s="75">
        <f>+G82+H82</f>
        <v>5000000</v>
      </c>
      <c r="J82" s="75"/>
      <c r="K82" s="75"/>
      <c r="L82" s="75"/>
      <c r="M82" s="75">
        <f t="shared" si="41"/>
        <v>5000000</v>
      </c>
      <c r="N82" s="63">
        <f>+F82-M82</f>
        <v>1735825440</v>
      </c>
      <c r="P82" s="192"/>
      <c r="S82" s="282"/>
      <c r="T82" s="281"/>
      <c r="U82" s="242"/>
    </row>
    <row r="83" spans="1:21" s="55" customFormat="1" ht="18" customHeight="1" x14ac:dyDescent="0.25">
      <c r="A83" s="50"/>
      <c r="B83" s="51"/>
      <c r="C83" s="51"/>
      <c r="D83" s="71" t="s">
        <v>216</v>
      </c>
      <c r="E83" s="51" t="s">
        <v>219</v>
      </c>
      <c r="F83" s="53">
        <f>+F84+F95+F99</f>
        <v>10039198750</v>
      </c>
      <c r="G83" s="72">
        <f>+G84+G95+G99</f>
        <v>0</v>
      </c>
      <c r="H83" s="72">
        <f>+H84+H95+H99</f>
        <v>76300000</v>
      </c>
      <c r="I83" s="72">
        <f>+G83+H83</f>
        <v>76300000</v>
      </c>
      <c r="J83" s="72"/>
      <c r="K83" s="72">
        <f>+K84</f>
        <v>0</v>
      </c>
      <c r="L83" s="72">
        <f t="shared" si="26"/>
        <v>0</v>
      </c>
      <c r="M83" s="72">
        <f t="shared" si="36"/>
        <v>76300000</v>
      </c>
      <c r="N83" s="53">
        <f t="shared" si="37"/>
        <v>9962898750</v>
      </c>
      <c r="P83" s="195"/>
      <c r="S83" s="282"/>
      <c r="T83" s="282"/>
      <c r="U83" s="243"/>
    </row>
    <row r="84" spans="1:21" s="49" customFormat="1" ht="18" customHeight="1" x14ac:dyDescent="0.25">
      <c r="A84" s="56"/>
      <c r="B84" s="57"/>
      <c r="C84" s="57"/>
      <c r="D84" s="73" t="s">
        <v>217</v>
      </c>
      <c r="E84" s="57" t="s">
        <v>220</v>
      </c>
      <c r="F84" s="58">
        <f>SUM(F85:F94)</f>
        <v>8593798750</v>
      </c>
      <c r="G84" s="59">
        <f>SUM(G85:G94)</f>
        <v>0</v>
      </c>
      <c r="H84" s="59">
        <f>SUM(H85:H94)</f>
        <v>0</v>
      </c>
      <c r="I84" s="59">
        <f t="shared" si="38"/>
        <v>0</v>
      </c>
      <c r="J84" s="59"/>
      <c r="K84" s="59">
        <f>+SUM(K85:K94)</f>
        <v>0</v>
      </c>
      <c r="L84" s="59">
        <f t="shared" si="26"/>
        <v>0</v>
      </c>
      <c r="M84" s="59">
        <f t="shared" si="36"/>
        <v>0</v>
      </c>
      <c r="N84" s="58">
        <f t="shared" si="37"/>
        <v>8593798750</v>
      </c>
      <c r="P84" s="192"/>
      <c r="S84" s="282"/>
      <c r="T84" s="282"/>
      <c r="U84" s="242"/>
    </row>
    <row r="85" spans="1:21" s="49" customFormat="1" ht="18" customHeight="1" x14ac:dyDescent="0.25">
      <c r="A85" s="61"/>
      <c r="B85" s="62"/>
      <c r="C85" s="62"/>
      <c r="D85" s="74" t="s">
        <v>218</v>
      </c>
      <c r="E85" s="62" t="s">
        <v>221</v>
      </c>
      <c r="F85" s="63">
        <v>356112500</v>
      </c>
      <c r="G85" s="75"/>
      <c r="H85" s="75"/>
      <c r="I85" s="75">
        <f t="shared" si="38"/>
        <v>0</v>
      </c>
      <c r="J85" s="75"/>
      <c r="K85" s="75"/>
      <c r="L85" s="75">
        <f t="shared" si="26"/>
        <v>0</v>
      </c>
      <c r="M85" s="75">
        <f t="shared" si="36"/>
        <v>0</v>
      </c>
      <c r="N85" s="63">
        <f>+F85-M85</f>
        <v>356112500</v>
      </c>
      <c r="P85" s="192"/>
      <c r="S85" s="282"/>
      <c r="T85" s="281"/>
      <c r="U85" s="242"/>
    </row>
    <row r="86" spans="1:21" s="49" customFormat="1" ht="18" customHeight="1" x14ac:dyDescent="0.25">
      <c r="A86" s="61"/>
      <c r="B86" s="62"/>
      <c r="C86" s="62"/>
      <c r="D86" s="74" t="s">
        <v>222</v>
      </c>
      <c r="E86" s="62" t="s">
        <v>223</v>
      </c>
      <c r="F86" s="63">
        <v>413550000</v>
      </c>
      <c r="G86" s="75"/>
      <c r="H86" s="75"/>
      <c r="I86" s="75">
        <f t="shared" si="38"/>
        <v>0</v>
      </c>
      <c r="J86" s="75"/>
      <c r="K86" s="75"/>
      <c r="L86" s="75">
        <f t="shared" si="26"/>
        <v>0</v>
      </c>
      <c r="M86" s="75">
        <f t="shared" si="36"/>
        <v>0</v>
      </c>
      <c r="N86" s="63">
        <f t="shared" ref="N86:N100" si="43">+F86-M86</f>
        <v>413550000</v>
      </c>
      <c r="P86" s="192"/>
      <c r="S86" s="282"/>
      <c r="T86" s="281"/>
      <c r="U86" s="242"/>
    </row>
    <row r="87" spans="1:21" s="49" customFormat="1" ht="18" customHeight="1" x14ac:dyDescent="0.25">
      <c r="A87" s="61"/>
      <c r="B87" s="62"/>
      <c r="C87" s="62"/>
      <c r="D87" s="74" t="s">
        <v>224</v>
      </c>
      <c r="E87" s="62" t="s">
        <v>225</v>
      </c>
      <c r="F87" s="63">
        <v>45950000</v>
      </c>
      <c r="G87" s="75"/>
      <c r="H87" s="75"/>
      <c r="I87" s="75">
        <f t="shared" si="38"/>
        <v>0</v>
      </c>
      <c r="J87" s="75"/>
      <c r="K87" s="75"/>
      <c r="L87" s="75">
        <f t="shared" si="26"/>
        <v>0</v>
      </c>
      <c r="M87" s="75">
        <f t="shared" si="36"/>
        <v>0</v>
      </c>
      <c r="N87" s="63">
        <f t="shared" si="43"/>
        <v>45950000</v>
      </c>
      <c r="P87" s="192"/>
      <c r="S87" s="282"/>
      <c r="T87" s="281"/>
      <c r="U87" s="242"/>
    </row>
    <row r="88" spans="1:21" s="49" customFormat="1" ht="18" customHeight="1" x14ac:dyDescent="0.25">
      <c r="A88" s="61"/>
      <c r="B88" s="62"/>
      <c r="C88" s="62"/>
      <c r="D88" s="74" t="s">
        <v>226</v>
      </c>
      <c r="E88" s="62" t="s">
        <v>227</v>
      </c>
      <c r="F88" s="63">
        <v>252725000</v>
      </c>
      <c r="G88" s="75"/>
      <c r="H88" s="75"/>
      <c r="I88" s="75">
        <f t="shared" si="38"/>
        <v>0</v>
      </c>
      <c r="J88" s="75"/>
      <c r="K88" s="75"/>
      <c r="L88" s="75">
        <f t="shared" si="26"/>
        <v>0</v>
      </c>
      <c r="M88" s="75">
        <f t="shared" si="36"/>
        <v>0</v>
      </c>
      <c r="N88" s="63">
        <f t="shared" si="43"/>
        <v>252725000</v>
      </c>
      <c r="P88" s="192"/>
      <c r="S88" s="282"/>
      <c r="T88" s="281"/>
      <c r="U88" s="242"/>
    </row>
    <row r="89" spans="1:21" s="49" customFormat="1" ht="18" customHeight="1" x14ac:dyDescent="0.25">
      <c r="A89" s="61"/>
      <c r="B89" s="62"/>
      <c r="C89" s="62"/>
      <c r="D89" s="74" t="s">
        <v>228</v>
      </c>
      <c r="E89" s="62" t="s">
        <v>229</v>
      </c>
      <c r="F89" s="63">
        <v>3101625000</v>
      </c>
      <c r="G89" s="75"/>
      <c r="H89" s="75"/>
      <c r="I89" s="75">
        <f t="shared" si="38"/>
        <v>0</v>
      </c>
      <c r="J89" s="75"/>
      <c r="K89" s="75"/>
      <c r="L89" s="75">
        <f t="shared" si="26"/>
        <v>0</v>
      </c>
      <c r="M89" s="75">
        <f t="shared" si="36"/>
        <v>0</v>
      </c>
      <c r="N89" s="63">
        <f t="shared" si="43"/>
        <v>3101625000</v>
      </c>
      <c r="P89" s="192"/>
      <c r="S89" s="282"/>
      <c r="T89" s="281"/>
      <c r="U89" s="242"/>
    </row>
    <row r="90" spans="1:21" s="49" customFormat="1" ht="18" customHeight="1" x14ac:dyDescent="0.25">
      <c r="A90" s="61"/>
      <c r="B90" s="62"/>
      <c r="C90" s="62"/>
      <c r="D90" s="74" t="s">
        <v>230</v>
      </c>
      <c r="E90" s="62" t="s">
        <v>231</v>
      </c>
      <c r="F90" s="63">
        <v>13785000</v>
      </c>
      <c r="G90" s="75"/>
      <c r="H90" s="75"/>
      <c r="I90" s="75">
        <f t="shared" si="38"/>
        <v>0</v>
      </c>
      <c r="J90" s="75"/>
      <c r="K90" s="75"/>
      <c r="L90" s="75">
        <f t="shared" si="26"/>
        <v>0</v>
      </c>
      <c r="M90" s="75">
        <f t="shared" si="36"/>
        <v>0</v>
      </c>
      <c r="N90" s="63">
        <f t="shared" si="43"/>
        <v>13785000</v>
      </c>
      <c r="P90" s="192"/>
      <c r="S90" s="282"/>
      <c r="T90" s="281"/>
      <c r="U90" s="242"/>
    </row>
    <row r="91" spans="1:21" s="49" customFormat="1" ht="18" customHeight="1" x14ac:dyDescent="0.25">
      <c r="A91" s="61"/>
      <c r="B91" s="62"/>
      <c r="C91" s="62"/>
      <c r="D91" s="74" t="s">
        <v>232</v>
      </c>
      <c r="E91" s="62" t="s">
        <v>233</v>
      </c>
      <c r="F91" s="63">
        <v>126362500</v>
      </c>
      <c r="G91" s="75"/>
      <c r="H91" s="75"/>
      <c r="I91" s="75">
        <f t="shared" si="38"/>
        <v>0</v>
      </c>
      <c r="J91" s="75"/>
      <c r="K91" s="75"/>
      <c r="L91" s="75">
        <f t="shared" si="26"/>
        <v>0</v>
      </c>
      <c r="M91" s="75">
        <f t="shared" si="36"/>
        <v>0</v>
      </c>
      <c r="N91" s="63">
        <f t="shared" si="43"/>
        <v>126362500</v>
      </c>
      <c r="P91" s="192"/>
      <c r="S91" s="282"/>
      <c r="T91" s="281"/>
      <c r="U91" s="242"/>
    </row>
    <row r="92" spans="1:21" s="49" customFormat="1" ht="19.5" customHeight="1" x14ac:dyDescent="0.25">
      <c r="A92" s="171"/>
      <c r="B92" s="162"/>
      <c r="C92" s="162"/>
      <c r="D92" s="267" t="s">
        <v>234</v>
      </c>
      <c r="E92" s="172" t="s">
        <v>235</v>
      </c>
      <c r="F92" s="173">
        <v>2297500</v>
      </c>
      <c r="G92" s="163"/>
      <c r="H92" s="163"/>
      <c r="I92" s="163">
        <f t="shared" si="38"/>
        <v>0</v>
      </c>
      <c r="J92" s="163"/>
      <c r="K92" s="163"/>
      <c r="L92" s="163">
        <f t="shared" si="26"/>
        <v>0</v>
      </c>
      <c r="M92" s="163">
        <f t="shared" si="36"/>
        <v>0</v>
      </c>
      <c r="N92" s="173">
        <f t="shared" si="43"/>
        <v>2297500</v>
      </c>
      <c r="P92" s="192"/>
      <c r="S92" s="282"/>
      <c r="T92" s="281"/>
      <c r="U92" s="242"/>
    </row>
    <row r="93" spans="1:21" s="49" customFormat="1" ht="30.75" customHeight="1" x14ac:dyDescent="0.25">
      <c r="A93" s="171"/>
      <c r="B93" s="162"/>
      <c r="C93" s="162"/>
      <c r="D93" s="267" t="s">
        <v>236</v>
      </c>
      <c r="E93" s="172" t="s">
        <v>237</v>
      </c>
      <c r="F93" s="173">
        <v>1156791250</v>
      </c>
      <c r="G93" s="163"/>
      <c r="H93" s="163"/>
      <c r="I93" s="163">
        <f t="shared" si="38"/>
        <v>0</v>
      </c>
      <c r="J93" s="163"/>
      <c r="K93" s="163"/>
      <c r="L93" s="163">
        <f t="shared" si="26"/>
        <v>0</v>
      </c>
      <c r="M93" s="163">
        <f t="shared" si="36"/>
        <v>0</v>
      </c>
      <c r="N93" s="173">
        <f t="shared" si="43"/>
        <v>1156791250</v>
      </c>
      <c r="P93" s="192"/>
      <c r="S93" s="282"/>
      <c r="T93" s="281"/>
      <c r="U93" s="242"/>
    </row>
    <row r="94" spans="1:21" s="49" customFormat="1" ht="31.5" x14ac:dyDescent="0.25">
      <c r="A94" s="171"/>
      <c r="B94" s="162"/>
      <c r="C94" s="162"/>
      <c r="D94" s="267" t="s">
        <v>238</v>
      </c>
      <c r="E94" s="172" t="s">
        <v>239</v>
      </c>
      <c r="F94" s="173">
        <v>3124600000</v>
      </c>
      <c r="G94" s="163"/>
      <c r="H94" s="163"/>
      <c r="I94" s="163">
        <f t="shared" si="38"/>
        <v>0</v>
      </c>
      <c r="J94" s="163"/>
      <c r="K94" s="163"/>
      <c r="L94" s="163">
        <f t="shared" si="26"/>
        <v>0</v>
      </c>
      <c r="M94" s="163">
        <f t="shared" si="36"/>
        <v>0</v>
      </c>
      <c r="N94" s="173">
        <f t="shared" si="43"/>
        <v>3124600000</v>
      </c>
      <c r="P94" s="192"/>
      <c r="S94" s="282"/>
      <c r="T94" s="281"/>
      <c r="U94" s="242"/>
    </row>
    <row r="95" spans="1:21" s="49" customFormat="1" ht="18" customHeight="1" x14ac:dyDescent="0.25">
      <c r="A95" s="56"/>
      <c r="B95" s="57"/>
      <c r="C95" s="57"/>
      <c r="D95" s="73" t="s">
        <v>433</v>
      </c>
      <c r="E95" s="57" t="s">
        <v>434</v>
      </c>
      <c r="F95" s="58">
        <f>+F96+F97+F98</f>
        <v>984100000</v>
      </c>
      <c r="G95" s="59">
        <f>+G96+G97</f>
        <v>0</v>
      </c>
      <c r="H95" s="59">
        <f>+H96+H97</f>
        <v>42050000</v>
      </c>
      <c r="I95" s="59">
        <f>+G95+H95</f>
        <v>42050000</v>
      </c>
      <c r="J95" s="59">
        <f>+J96+J97</f>
        <v>0</v>
      </c>
      <c r="K95" s="59">
        <f>+SUM(K101:K110)</f>
        <v>0</v>
      </c>
      <c r="L95" s="59">
        <f>+J95+K95</f>
        <v>0</v>
      </c>
      <c r="M95" s="59">
        <f t="shared" si="36"/>
        <v>42050000</v>
      </c>
      <c r="N95" s="58">
        <f t="shared" si="43"/>
        <v>942050000</v>
      </c>
      <c r="P95" s="192"/>
      <c r="S95" s="282"/>
      <c r="T95" s="281"/>
      <c r="U95" s="242"/>
    </row>
    <row r="96" spans="1:21" s="49" customFormat="1" ht="18" customHeight="1" x14ac:dyDescent="0.25">
      <c r="A96" s="61"/>
      <c r="B96" s="62"/>
      <c r="C96" s="62"/>
      <c r="D96" s="74" t="s">
        <v>435</v>
      </c>
      <c r="E96" s="62" t="s">
        <v>437</v>
      </c>
      <c r="F96" s="63">
        <v>516750000</v>
      </c>
      <c r="G96" s="75"/>
      <c r="H96" s="75">
        <v>40950000</v>
      </c>
      <c r="I96" s="75">
        <f t="shared" si="38"/>
        <v>40950000</v>
      </c>
      <c r="J96" s="75"/>
      <c r="K96" s="75"/>
      <c r="L96" s="75">
        <f t="shared" si="26"/>
        <v>0</v>
      </c>
      <c r="M96" s="75">
        <f t="shared" si="36"/>
        <v>40950000</v>
      </c>
      <c r="N96" s="63">
        <f t="shared" si="43"/>
        <v>475800000</v>
      </c>
      <c r="P96" s="192"/>
      <c r="S96" s="282"/>
      <c r="T96" s="281"/>
      <c r="U96" s="242"/>
    </row>
    <row r="97" spans="1:21" s="49" customFormat="1" ht="18" customHeight="1" x14ac:dyDescent="0.25">
      <c r="A97" s="61"/>
      <c r="B97" s="62"/>
      <c r="C97" s="62"/>
      <c r="D97" s="74" t="s">
        <v>436</v>
      </c>
      <c r="E97" s="62" t="s">
        <v>438</v>
      </c>
      <c r="F97" s="63">
        <v>19500000</v>
      </c>
      <c r="G97" s="75"/>
      <c r="H97" s="75">
        <v>1100000</v>
      </c>
      <c r="I97" s="75">
        <f t="shared" si="38"/>
        <v>1100000</v>
      </c>
      <c r="J97" s="75"/>
      <c r="K97" s="75"/>
      <c r="L97" s="75">
        <f t="shared" si="26"/>
        <v>0</v>
      </c>
      <c r="M97" s="75">
        <f t="shared" si="36"/>
        <v>1100000</v>
      </c>
      <c r="N97" s="63">
        <f t="shared" si="43"/>
        <v>18400000</v>
      </c>
      <c r="P97" s="192"/>
      <c r="S97" s="282"/>
      <c r="T97" s="281"/>
      <c r="U97" s="242"/>
    </row>
    <row r="98" spans="1:21" s="49" customFormat="1" ht="18" customHeight="1" x14ac:dyDescent="0.25">
      <c r="A98" s="61"/>
      <c r="B98" s="62"/>
      <c r="C98" s="62"/>
      <c r="D98" s="74" t="s">
        <v>457</v>
      </c>
      <c r="E98" s="62" t="s">
        <v>458</v>
      </c>
      <c r="F98" s="63">
        <v>447850000</v>
      </c>
      <c r="G98" s="75"/>
      <c r="H98" s="75"/>
      <c r="I98" s="75">
        <f t="shared" ref="I98" si="44">+G98+H98</f>
        <v>0</v>
      </c>
      <c r="J98" s="75"/>
      <c r="K98" s="75"/>
      <c r="L98" s="75">
        <f t="shared" ref="L98" si="45">+J98+K98</f>
        <v>0</v>
      </c>
      <c r="M98" s="75">
        <f t="shared" ref="M98" si="46">+I98+L98</f>
        <v>0</v>
      </c>
      <c r="N98" s="63">
        <f t="shared" ref="N98" si="47">+F98-M98</f>
        <v>447850000</v>
      </c>
      <c r="P98" s="192"/>
      <c r="S98" s="282"/>
      <c r="T98" s="281"/>
      <c r="U98" s="242"/>
    </row>
    <row r="99" spans="1:21" s="49" customFormat="1" ht="18" customHeight="1" x14ac:dyDescent="0.25">
      <c r="A99" s="56"/>
      <c r="B99" s="57"/>
      <c r="C99" s="57"/>
      <c r="D99" s="73" t="s">
        <v>439</v>
      </c>
      <c r="E99" s="57" t="s">
        <v>442</v>
      </c>
      <c r="F99" s="58">
        <f>+F100</f>
        <v>461300000</v>
      </c>
      <c r="G99" s="59">
        <f>+G100</f>
        <v>0</v>
      </c>
      <c r="H99" s="59">
        <f>+H100</f>
        <v>34250000</v>
      </c>
      <c r="I99" s="59">
        <f t="shared" si="38"/>
        <v>34250000</v>
      </c>
      <c r="J99" s="59"/>
      <c r="K99" s="59">
        <f>+SUM(K104:K113)</f>
        <v>0</v>
      </c>
      <c r="L99" s="59">
        <f t="shared" si="26"/>
        <v>0</v>
      </c>
      <c r="M99" s="59">
        <f t="shared" si="36"/>
        <v>34250000</v>
      </c>
      <c r="N99" s="58">
        <f t="shared" si="43"/>
        <v>427050000</v>
      </c>
      <c r="P99" s="192"/>
      <c r="S99" s="282"/>
      <c r="T99" s="282"/>
      <c r="U99" s="242"/>
    </row>
    <row r="100" spans="1:21" s="49" customFormat="1" ht="18" customHeight="1" x14ac:dyDescent="0.25">
      <c r="A100" s="61"/>
      <c r="B100" s="62"/>
      <c r="C100" s="62"/>
      <c r="D100" s="74" t="s">
        <v>440</v>
      </c>
      <c r="E100" s="62" t="s">
        <v>441</v>
      </c>
      <c r="F100" s="63">
        <v>461300000</v>
      </c>
      <c r="G100" s="75"/>
      <c r="H100" s="75">
        <v>34250000</v>
      </c>
      <c r="I100" s="75">
        <f t="shared" si="38"/>
        <v>34250000</v>
      </c>
      <c r="J100" s="75"/>
      <c r="K100" s="75"/>
      <c r="L100" s="75">
        <f t="shared" si="26"/>
        <v>0</v>
      </c>
      <c r="M100" s="75">
        <f t="shared" si="36"/>
        <v>34250000</v>
      </c>
      <c r="N100" s="63">
        <f t="shared" si="43"/>
        <v>427050000</v>
      </c>
      <c r="P100" s="192"/>
      <c r="S100" s="282"/>
      <c r="T100" s="281"/>
      <c r="U100" s="242"/>
    </row>
    <row r="101" spans="1:21" s="55" customFormat="1" ht="18" customHeight="1" x14ac:dyDescent="0.25">
      <c r="A101" s="50"/>
      <c r="B101" s="51"/>
      <c r="C101" s="51"/>
      <c r="D101" s="71" t="s">
        <v>240</v>
      </c>
      <c r="E101" s="51" t="s">
        <v>241</v>
      </c>
      <c r="F101" s="53">
        <f>+F102</f>
        <v>757451250</v>
      </c>
      <c r="G101" s="72">
        <f>+G102</f>
        <v>0</v>
      </c>
      <c r="H101" s="72">
        <f>+H102</f>
        <v>0</v>
      </c>
      <c r="I101" s="72">
        <f>+G101+H101</f>
        <v>0</v>
      </c>
      <c r="J101" s="72">
        <f>+J102</f>
        <v>0</v>
      </c>
      <c r="K101" s="72">
        <f>+K102</f>
        <v>0</v>
      </c>
      <c r="L101" s="72">
        <f>+J101+K101</f>
        <v>0</v>
      </c>
      <c r="M101" s="72">
        <f t="shared" si="36"/>
        <v>0</v>
      </c>
      <c r="N101" s="53">
        <f>+F101-M101</f>
        <v>757451250</v>
      </c>
      <c r="P101" s="195"/>
      <c r="S101" s="282"/>
      <c r="T101" s="282"/>
      <c r="U101" s="243"/>
    </row>
    <row r="102" spans="1:21" s="49" customFormat="1" ht="18" customHeight="1" x14ac:dyDescent="0.25">
      <c r="A102" s="56"/>
      <c r="B102" s="57"/>
      <c r="C102" s="57"/>
      <c r="D102" s="73" t="s">
        <v>242</v>
      </c>
      <c r="E102" s="57" t="s">
        <v>409</v>
      </c>
      <c r="F102" s="58">
        <f>SUM(F103:F112)</f>
        <v>757451250</v>
      </c>
      <c r="G102" s="59">
        <f>SUM(G103:G112)</f>
        <v>0</v>
      </c>
      <c r="H102" s="59">
        <f>SUM(H103:H112)</f>
        <v>0</v>
      </c>
      <c r="I102" s="59">
        <f>+G102+H102</f>
        <v>0</v>
      </c>
      <c r="J102" s="59">
        <f>SUM(J103:J112)</f>
        <v>0</v>
      </c>
      <c r="K102" s="59">
        <f>SUM(K103:K112)</f>
        <v>0</v>
      </c>
      <c r="L102" s="59">
        <f>+J102+K102</f>
        <v>0</v>
      </c>
      <c r="M102" s="59">
        <f>+I102+L102</f>
        <v>0</v>
      </c>
      <c r="N102" s="58">
        <f>+F102-M102</f>
        <v>757451250</v>
      </c>
      <c r="P102" s="192"/>
      <c r="S102" s="282"/>
      <c r="T102" s="282"/>
      <c r="U102" s="242"/>
    </row>
    <row r="103" spans="1:21" s="49" customFormat="1" ht="18" customHeight="1" x14ac:dyDescent="0.25">
      <c r="A103" s="61"/>
      <c r="B103" s="62"/>
      <c r="C103" s="62"/>
      <c r="D103" s="74" t="s">
        <v>243</v>
      </c>
      <c r="E103" s="62" t="s">
        <v>331</v>
      </c>
      <c r="F103" s="63">
        <v>31387500</v>
      </c>
      <c r="G103" s="75"/>
      <c r="H103" s="75"/>
      <c r="I103" s="75">
        <f t="shared" ref="I103:I110" si="48">+G103+H103</f>
        <v>0</v>
      </c>
      <c r="J103" s="75"/>
      <c r="K103" s="75"/>
      <c r="L103" s="75">
        <f t="shared" si="26"/>
        <v>0</v>
      </c>
      <c r="M103" s="75">
        <f t="shared" ref="M103:M112" si="49">+I103+L103</f>
        <v>0</v>
      </c>
      <c r="N103" s="63">
        <f t="shared" ref="N103:N108" si="50">+F103-M103</f>
        <v>31387500</v>
      </c>
      <c r="P103" s="192"/>
      <c r="S103" s="282"/>
      <c r="T103" s="281"/>
      <c r="U103" s="242"/>
    </row>
    <row r="104" spans="1:21" s="49" customFormat="1" ht="18" customHeight="1" x14ac:dyDescent="0.25">
      <c r="A104" s="61"/>
      <c r="B104" s="62"/>
      <c r="C104" s="62"/>
      <c r="D104" s="74" t="s">
        <v>244</v>
      </c>
      <c r="E104" s="62" t="s">
        <v>245</v>
      </c>
      <c r="F104" s="63">
        <v>36450000</v>
      </c>
      <c r="G104" s="75"/>
      <c r="H104" s="75"/>
      <c r="I104" s="75">
        <f t="shared" si="48"/>
        <v>0</v>
      </c>
      <c r="J104" s="75"/>
      <c r="K104" s="75"/>
      <c r="L104" s="75">
        <f t="shared" si="26"/>
        <v>0</v>
      </c>
      <c r="M104" s="75">
        <f t="shared" si="49"/>
        <v>0</v>
      </c>
      <c r="N104" s="63">
        <f t="shared" si="50"/>
        <v>36450000</v>
      </c>
      <c r="P104" s="192"/>
      <c r="S104" s="282"/>
      <c r="T104" s="281"/>
      <c r="U104" s="242"/>
    </row>
    <row r="105" spans="1:21" s="49" customFormat="1" ht="18" customHeight="1" x14ac:dyDescent="0.25">
      <c r="A105" s="61"/>
      <c r="B105" s="62"/>
      <c r="C105" s="62"/>
      <c r="D105" s="74" t="s">
        <v>246</v>
      </c>
      <c r="E105" s="62" t="s">
        <v>247</v>
      </c>
      <c r="F105" s="63">
        <v>4050000</v>
      </c>
      <c r="G105" s="75"/>
      <c r="H105" s="75"/>
      <c r="I105" s="75">
        <f t="shared" si="48"/>
        <v>0</v>
      </c>
      <c r="J105" s="75"/>
      <c r="K105" s="75"/>
      <c r="L105" s="75">
        <f t="shared" si="26"/>
        <v>0</v>
      </c>
      <c r="M105" s="75">
        <f t="shared" si="49"/>
        <v>0</v>
      </c>
      <c r="N105" s="63">
        <f t="shared" si="50"/>
        <v>4050000</v>
      </c>
      <c r="P105" s="192"/>
      <c r="S105" s="282"/>
      <c r="T105" s="281"/>
      <c r="U105" s="242"/>
    </row>
    <row r="106" spans="1:21" s="49" customFormat="1" ht="18" customHeight="1" x14ac:dyDescent="0.25">
      <c r="A106" s="61"/>
      <c r="B106" s="62"/>
      <c r="C106" s="62"/>
      <c r="D106" s="74" t="s">
        <v>248</v>
      </c>
      <c r="E106" s="62" t="s">
        <v>249</v>
      </c>
      <c r="F106" s="63">
        <v>22275000</v>
      </c>
      <c r="G106" s="75"/>
      <c r="H106" s="75"/>
      <c r="I106" s="75">
        <f t="shared" si="48"/>
        <v>0</v>
      </c>
      <c r="J106" s="75"/>
      <c r="K106" s="75"/>
      <c r="L106" s="75">
        <f t="shared" si="26"/>
        <v>0</v>
      </c>
      <c r="M106" s="75">
        <f t="shared" si="49"/>
        <v>0</v>
      </c>
      <c r="N106" s="63">
        <f t="shared" si="50"/>
        <v>22275000</v>
      </c>
      <c r="P106" s="192"/>
      <c r="S106" s="282"/>
      <c r="T106" s="281"/>
      <c r="U106" s="242"/>
    </row>
    <row r="107" spans="1:21" s="49" customFormat="1" ht="18" customHeight="1" x14ac:dyDescent="0.25">
      <c r="A107" s="61"/>
      <c r="B107" s="62"/>
      <c r="C107" s="62"/>
      <c r="D107" s="74" t="s">
        <v>250</v>
      </c>
      <c r="E107" s="62" t="s">
        <v>251</v>
      </c>
      <c r="F107" s="63">
        <v>273375000</v>
      </c>
      <c r="G107" s="75"/>
      <c r="H107" s="75"/>
      <c r="I107" s="75">
        <f t="shared" si="48"/>
        <v>0</v>
      </c>
      <c r="J107" s="75"/>
      <c r="K107" s="75"/>
      <c r="L107" s="75">
        <f t="shared" si="26"/>
        <v>0</v>
      </c>
      <c r="M107" s="75">
        <f t="shared" si="49"/>
        <v>0</v>
      </c>
      <c r="N107" s="63">
        <f t="shared" si="50"/>
        <v>273375000</v>
      </c>
      <c r="P107" s="192"/>
      <c r="S107" s="282"/>
      <c r="T107" s="281"/>
      <c r="U107" s="242"/>
    </row>
    <row r="108" spans="1:21" s="49" customFormat="1" ht="18" customHeight="1" x14ac:dyDescent="0.25">
      <c r="A108" s="61"/>
      <c r="B108" s="62"/>
      <c r="C108" s="62"/>
      <c r="D108" s="74" t="s">
        <v>252</v>
      </c>
      <c r="E108" s="62" t="s">
        <v>253</v>
      </c>
      <c r="F108" s="63">
        <v>1215000</v>
      </c>
      <c r="G108" s="75"/>
      <c r="H108" s="75"/>
      <c r="I108" s="75">
        <f t="shared" si="48"/>
        <v>0</v>
      </c>
      <c r="J108" s="75"/>
      <c r="K108" s="75"/>
      <c r="L108" s="75">
        <f t="shared" si="26"/>
        <v>0</v>
      </c>
      <c r="M108" s="75">
        <f t="shared" si="49"/>
        <v>0</v>
      </c>
      <c r="N108" s="63">
        <f t="shared" si="50"/>
        <v>1215000</v>
      </c>
      <c r="P108" s="192"/>
      <c r="S108" s="282"/>
      <c r="T108" s="281"/>
      <c r="U108" s="242"/>
    </row>
    <row r="109" spans="1:21" s="49" customFormat="1" ht="18" customHeight="1" x14ac:dyDescent="0.25">
      <c r="A109" s="61"/>
      <c r="B109" s="62"/>
      <c r="C109" s="62"/>
      <c r="D109" s="74" t="s">
        <v>254</v>
      </c>
      <c r="E109" s="62" t="s">
        <v>255</v>
      </c>
      <c r="F109" s="63">
        <v>11137500</v>
      </c>
      <c r="G109" s="75"/>
      <c r="H109" s="75"/>
      <c r="I109" s="75">
        <f t="shared" si="48"/>
        <v>0</v>
      </c>
      <c r="J109" s="75"/>
      <c r="K109" s="75"/>
      <c r="L109" s="75">
        <f t="shared" si="26"/>
        <v>0</v>
      </c>
      <c r="M109" s="75">
        <f t="shared" si="49"/>
        <v>0</v>
      </c>
      <c r="N109" s="63">
        <f>+F109-M109</f>
        <v>11137500</v>
      </c>
      <c r="P109" s="192"/>
      <c r="S109" s="282"/>
      <c r="T109" s="281"/>
      <c r="U109" s="242"/>
    </row>
    <row r="110" spans="1:21" s="49" customFormat="1" ht="32.25" customHeight="1" x14ac:dyDescent="0.25">
      <c r="A110" s="171"/>
      <c r="B110" s="162"/>
      <c r="C110" s="162"/>
      <c r="D110" s="267" t="s">
        <v>256</v>
      </c>
      <c r="E110" s="172" t="s">
        <v>257</v>
      </c>
      <c r="F110" s="173">
        <v>202500</v>
      </c>
      <c r="G110" s="163"/>
      <c r="H110" s="163"/>
      <c r="I110" s="163">
        <f t="shared" si="48"/>
        <v>0</v>
      </c>
      <c r="J110" s="163"/>
      <c r="K110" s="163"/>
      <c r="L110" s="163">
        <f t="shared" si="26"/>
        <v>0</v>
      </c>
      <c r="M110" s="163">
        <f t="shared" si="49"/>
        <v>0</v>
      </c>
      <c r="N110" s="173">
        <f>+F110-M110</f>
        <v>202500</v>
      </c>
      <c r="P110" s="192"/>
      <c r="S110" s="282"/>
      <c r="T110" s="281"/>
      <c r="U110" s="242"/>
    </row>
    <row r="111" spans="1:21" s="49" customFormat="1" ht="31.5" x14ac:dyDescent="0.25">
      <c r="A111" s="171"/>
      <c r="B111" s="162"/>
      <c r="C111" s="162"/>
      <c r="D111" s="267" t="s">
        <v>258</v>
      </c>
      <c r="E111" s="172" t="s">
        <v>259</v>
      </c>
      <c r="F111" s="173">
        <v>101958750</v>
      </c>
      <c r="G111" s="163"/>
      <c r="H111" s="163"/>
      <c r="I111" s="163">
        <f>+G111+H111</f>
        <v>0</v>
      </c>
      <c r="J111" s="163"/>
      <c r="K111" s="163"/>
      <c r="L111" s="163">
        <f t="shared" si="26"/>
        <v>0</v>
      </c>
      <c r="M111" s="163">
        <f t="shared" si="49"/>
        <v>0</v>
      </c>
      <c r="N111" s="173">
        <f>+F111-M111</f>
        <v>101958750</v>
      </c>
      <c r="P111" s="192"/>
      <c r="S111" s="282"/>
      <c r="T111" s="281"/>
      <c r="U111" s="242"/>
    </row>
    <row r="112" spans="1:21" s="134" customFormat="1" ht="31.5" x14ac:dyDescent="0.25">
      <c r="A112" s="165"/>
      <c r="B112" s="166"/>
      <c r="C112" s="166"/>
      <c r="D112" s="268" t="s">
        <v>260</v>
      </c>
      <c r="E112" s="167" t="s">
        <v>261</v>
      </c>
      <c r="F112" s="168">
        <v>275400000</v>
      </c>
      <c r="G112" s="169"/>
      <c r="H112" s="169"/>
      <c r="I112" s="169">
        <f t="shared" ref="I112" si="51">+G112+H112</f>
        <v>0</v>
      </c>
      <c r="J112" s="169"/>
      <c r="K112" s="169"/>
      <c r="L112" s="169">
        <f t="shared" si="26"/>
        <v>0</v>
      </c>
      <c r="M112" s="169">
        <f t="shared" si="49"/>
        <v>0</v>
      </c>
      <c r="N112" s="168">
        <f>+F112-M112</f>
        <v>275400000</v>
      </c>
      <c r="P112" s="197"/>
      <c r="S112" s="286"/>
      <c r="T112" s="285"/>
      <c r="U112" s="247"/>
    </row>
    <row r="113" spans="1:21" s="121" customFormat="1" ht="18" customHeight="1" x14ac:dyDescent="0.25">
      <c r="A113" s="116">
        <v>4</v>
      </c>
      <c r="B113" s="117"/>
      <c r="C113" s="117" t="s">
        <v>84</v>
      </c>
      <c r="D113" s="118"/>
      <c r="E113" s="128" t="s">
        <v>85</v>
      </c>
      <c r="F113" s="119">
        <f>+F114</f>
        <v>31153000</v>
      </c>
      <c r="G113" s="120">
        <f t="shared" ref="F113:H114" si="52">+G114</f>
        <v>0</v>
      </c>
      <c r="H113" s="120">
        <f t="shared" si="52"/>
        <v>0</v>
      </c>
      <c r="I113" s="120">
        <f>+G113+H113</f>
        <v>0</v>
      </c>
      <c r="J113" s="120">
        <f>+J114</f>
        <v>0</v>
      </c>
      <c r="K113" s="120">
        <f>+K114</f>
        <v>0</v>
      </c>
      <c r="L113" s="120">
        <f>+J113+K113</f>
        <v>0</v>
      </c>
      <c r="M113" s="120">
        <f>+I113+L113</f>
        <v>0</v>
      </c>
      <c r="N113" s="119">
        <f>+F113-M113</f>
        <v>31153000</v>
      </c>
      <c r="P113" s="190"/>
      <c r="R113" s="122"/>
      <c r="S113" s="283"/>
      <c r="T113" s="283"/>
      <c r="U113" s="246"/>
    </row>
    <row r="114" spans="1:21" s="107" customFormat="1" ht="18" customHeight="1" x14ac:dyDescent="0.25">
      <c r="A114" s="101"/>
      <c r="B114" s="102"/>
      <c r="C114" s="102"/>
      <c r="D114" s="103" t="s">
        <v>207</v>
      </c>
      <c r="E114" s="104" t="s">
        <v>262</v>
      </c>
      <c r="F114" s="105">
        <f t="shared" si="52"/>
        <v>31153000</v>
      </c>
      <c r="G114" s="106">
        <f t="shared" si="52"/>
        <v>0</v>
      </c>
      <c r="H114" s="106">
        <f t="shared" si="52"/>
        <v>0</v>
      </c>
      <c r="I114" s="106">
        <f>+G114+H114</f>
        <v>0</v>
      </c>
      <c r="J114" s="106">
        <f t="shared" ref="J114:K116" si="53">+J115</f>
        <v>0</v>
      </c>
      <c r="K114" s="106">
        <f t="shared" si="53"/>
        <v>0</v>
      </c>
      <c r="L114" s="106">
        <f>+J114+K114</f>
        <v>0</v>
      </c>
      <c r="M114" s="106">
        <f t="shared" ref="M114:M120" si="54">+I114+L114</f>
        <v>0</v>
      </c>
      <c r="N114" s="105">
        <f t="shared" ref="N114:N117" si="55">+F114-M114</f>
        <v>31153000</v>
      </c>
      <c r="P114" s="191"/>
      <c r="R114" s="108"/>
      <c r="S114" s="284"/>
      <c r="T114" s="284"/>
      <c r="U114" s="241"/>
    </row>
    <row r="115" spans="1:21" s="49" customFormat="1" ht="18" customHeight="1" x14ac:dyDescent="0.25">
      <c r="A115" s="44"/>
      <c r="B115" s="77"/>
      <c r="C115" s="77"/>
      <c r="D115" s="45" t="s">
        <v>63</v>
      </c>
      <c r="E115" s="45" t="s">
        <v>30</v>
      </c>
      <c r="F115" s="47">
        <f>F116</f>
        <v>31153000</v>
      </c>
      <c r="G115" s="70">
        <f>+G116</f>
        <v>0</v>
      </c>
      <c r="H115" s="70">
        <f>+H116</f>
        <v>0</v>
      </c>
      <c r="I115" s="70">
        <f>+G115+H115</f>
        <v>0</v>
      </c>
      <c r="J115" s="70">
        <f>+J116</f>
        <v>0</v>
      </c>
      <c r="K115" s="70">
        <f t="shared" si="53"/>
        <v>0</v>
      </c>
      <c r="L115" s="70">
        <f>+J115+K115</f>
        <v>0</v>
      </c>
      <c r="M115" s="70">
        <f t="shared" si="54"/>
        <v>0</v>
      </c>
      <c r="N115" s="47">
        <f t="shared" si="55"/>
        <v>31153000</v>
      </c>
      <c r="P115" s="192"/>
      <c r="S115" s="282"/>
      <c r="T115" s="282"/>
      <c r="U115" s="242"/>
    </row>
    <row r="116" spans="1:21" s="55" customFormat="1" ht="18" customHeight="1" x14ac:dyDescent="0.25">
      <c r="A116" s="50"/>
      <c r="B116" s="51"/>
      <c r="C116" s="51"/>
      <c r="D116" s="51" t="s">
        <v>263</v>
      </c>
      <c r="E116" s="52" t="s">
        <v>264</v>
      </c>
      <c r="F116" s="53">
        <f>+F117</f>
        <v>31153000</v>
      </c>
      <c r="G116" s="54">
        <f>+G117</f>
        <v>0</v>
      </c>
      <c r="H116" s="54">
        <f>+H117</f>
        <v>0</v>
      </c>
      <c r="I116" s="54">
        <f>+G116+H116</f>
        <v>0</v>
      </c>
      <c r="J116" s="54">
        <f t="shared" si="53"/>
        <v>0</v>
      </c>
      <c r="K116" s="54">
        <f t="shared" si="53"/>
        <v>0</v>
      </c>
      <c r="L116" s="54">
        <f>+J116+K116</f>
        <v>0</v>
      </c>
      <c r="M116" s="54">
        <f t="shared" si="54"/>
        <v>0</v>
      </c>
      <c r="N116" s="53">
        <f t="shared" si="55"/>
        <v>31153000</v>
      </c>
      <c r="P116" s="195"/>
      <c r="S116" s="282"/>
      <c r="T116" s="282"/>
      <c r="U116" s="243"/>
    </row>
    <row r="117" spans="1:21" s="49" customFormat="1" ht="18" customHeight="1" x14ac:dyDescent="0.25">
      <c r="A117" s="56"/>
      <c r="B117" s="78"/>
      <c r="C117" s="78"/>
      <c r="D117" s="57" t="s">
        <v>64</v>
      </c>
      <c r="E117" s="57" t="s">
        <v>65</v>
      </c>
      <c r="F117" s="58">
        <f>F118+F119+F120</f>
        <v>31153000</v>
      </c>
      <c r="G117" s="59">
        <f>SUM(G118:G120)</f>
        <v>0</v>
      </c>
      <c r="H117" s="59">
        <f>SUM(H118:H120)</f>
        <v>0</v>
      </c>
      <c r="I117" s="59">
        <f>+G117+H117</f>
        <v>0</v>
      </c>
      <c r="J117" s="59">
        <f>SUM(J118:J120)</f>
        <v>0</v>
      </c>
      <c r="K117" s="59">
        <f>SUM(K118:K120)</f>
        <v>0</v>
      </c>
      <c r="L117" s="59">
        <f>+J117+K117</f>
        <v>0</v>
      </c>
      <c r="M117" s="59">
        <f t="shared" si="54"/>
        <v>0</v>
      </c>
      <c r="N117" s="58">
        <f t="shared" si="55"/>
        <v>31153000</v>
      </c>
      <c r="P117" s="192"/>
      <c r="S117" s="282"/>
      <c r="T117" s="282"/>
      <c r="U117" s="242"/>
    </row>
    <row r="118" spans="1:21" s="49" customFormat="1" ht="18" customHeight="1" x14ac:dyDescent="0.25">
      <c r="A118" s="61"/>
      <c r="B118" s="79"/>
      <c r="C118" s="79"/>
      <c r="D118" s="62" t="s">
        <v>66</v>
      </c>
      <c r="E118" s="62" t="s">
        <v>67</v>
      </c>
      <c r="F118" s="63">
        <v>1447000</v>
      </c>
      <c r="G118" s="75"/>
      <c r="H118" s="75"/>
      <c r="I118" s="75">
        <f t="shared" ref="I118:I120" si="56">+G118+H118</f>
        <v>0</v>
      </c>
      <c r="J118" s="75"/>
      <c r="K118" s="75"/>
      <c r="L118" s="75">
        <f t="shared" ref="L118:L120" si="57">+J118+K118</f>
        <v>0</v>
      </c>
      <c r="M118" s="75">
        <f t="shared" si="54"/>
        <v>0</v>
      </c>
      <c r="N118" s="63">
        <f>+F118-M118</f>
        <v>1447000</v>
      </c>
      <c r="P118" s="192"/>
      <c r="S118" s="282"/>
      <c r="T118" s="282"/>
      <c r="U118" s="242"/>
    </row>
    <row r="119" spans="1:21" s="49" customFormat="1" ht="18" customHeight="1" x14ac:dyDescent="0.25">
      <c r="A119" s="61"/>
      <c r="B119" s="79"/>
      <c r="C119" s="79"/>
      <c r="D119" s="62" t="s">
        <v>337</v>
      </c>
      <c r="E119" s="62" t="s">
        <v>338</v>
      </c>
      <c r="F119" s="63">
        <v>3792000</v>
      </c>
      <c r="G119" s="75"/>
      <c r="H119" s="75"/>
      <c r="I119" s="75">
        <f t="shared" si="56"/>
        <v>0</v>
      </c>
      <c r="J119" s="75"/>
      <c r="K119" s="75"/>
      <c r="L119" s="75">
        <f t="shared" si="57"/>
        <v>0</v>
      </c>
      <c r="M119" s="75">
        <f t="shared" si="54"/>
        <v>0</v>
      </c>
      <c r="N119" s="63">
        <f t="shared" ref="N119:N120" si="58">+F119-M119</f>
        <v>3792000</v>
      </c>
      <c r="P119" s="192"/>
      <c r="S119" s="282"/>
      <c r="T119" s="282"/>
      <c r="U119" s="242"/>
    </row>
    <row r="120" spans="1:21" s="49" customFormat="1" ht="18" customHeight="1" x14ac:dyDescent="0.25">
      <c r="A120" s="61"/>
      <c r="B120" s="79"/>
      <c r="C120" s="79"/>
      <c r="D120" s="62" t="s">
        <v>68</v>
      </c>
      <c r="E120" s="62" t="s">
        <v>69</v>
      </c>
      <c r="F120" s="63">
        <v>25914000</v>
      </c>
      <c r="G120" s="75"/>
      <c r="H120" s="75"/>
      <c r="I120" s="75">
        <f t="shared" si="56"/>
        <v>0</v>
      </c>
      <c r="J120" s="75"/>
      <c r="K120" s="75"/>
      <c r="L120" s="75">
        <f t="shared" si="57"/>
        <v>0</v>
      </c>
      <c r="M120" s="75">
        <f t="shared" si="54"/>
        <v>0</v>
      </c>
      <c r="N120" s="63">
        <f t="shared" si="58"/>
        <v>25914000</v>
      </c>
      <c r="P120" s="192"/>
      <c r="S120" s="282"/>
      <c r="T120" s="282"/>
      <c r="U120" s="242"/>
    </row>
    <row r="121" spans="1:21" s="134" customFormat="1" ht="18" customHeight="1" x14ac:dyDescent="0.25">
      <c r="A121" s="129"/>
      <c r="B121" s="130"/>
      <c r="C121" s="130"/>
      <c r="D121" s="131"/>
      <c r="E121" s="131"/>
      <c r="F121" s="132"/>
      <c r="G121" s="133"/>
      <c r="H121" s="133"/>
      <c r="I121" s="133"/>
      <c r="J121" s="133"/>
      <c r="K121" s="133"/>
      <c r="L121" s="133"/>
      <c r="M121" s="133"/>
      <c r="N121" s="132"/>
      <c r="P121" s="197"/>
      <c r="S121" s="286"/>
      <c r="T121" s="286"/>
      <c r="U121" s="247"/>
    </row>
    <row r="122" spans="1:21" s="137" customFormat="1" ht="18" customHeight="1" x14ac:dyDescent="0.25">
      <c r="A122" s="109"/>
      <c r="B122" s="110" t="s">
        <v>405</v>
      </c>
      <c r="C122" s="110"/>
      <c r="D122" s="110"/>
      <c r="E122" s="110" t="s">
        <v>406</v>
      </c>
      <c r="F122" s="135">
        <f t="shared" ref="F122:G124" si="59">+F123</f>
        <v>654671250</v>
      </c>
      <c r="G122" s="136">
        <f t="shared" si="59"/>
        <v>0</v>
      </c>
      <c r="H122" s="136">
        <f>+H123</f>
        <v>0</v>
      </c>
      <c r="I122" s="136">
        <f t="shared" ref="I122:I136" si="60">+G122+H122</f>
        <v>0</v>
      </c>
      <c r="J122" s="136">
        <f>+J124</f>
        <v>0</v>
      </c>
      <c r="K122" s="136">
        <f>+K123</f>
        <v>0</v>
      </c>
      <c r="L122" s="136">
        <f>+J122+K122</f>
        <v>0</v>
      </c>
      <c r="M122" s="136">
        <f t="shared" ref="M122" si="61">+I122+L122</f>
        <v>0</v>
      </c>
      <c r="N122" s="135">
        <f t="shared" ref="N122:N130" si="62">+F122-M122</f>
        <v>654671250</v>
      </c>
      <c r="P122" s="198"/>
      <c r="R122" s="138"/>
      <c r="S122" s="287"/>
      <c r="T122" s="287"/>
      <c r="U122" s="248"/>
    </row>
    <row r="123" spans="1:21" s="121" customFormat="1" ht="18" customHeight="1" x14ac:dyDescent="0.25">
      <c r="A123" s="232">
        <v>5</v>
      </c>
      <c r="B123" s="117"/>
      <c r="C123" s="117" t="s">
        <v>86</v>
      </c>
      <c r="D123" s="118"/>
      <c r="E123" s="128" t="s">
        <v>87</v>
      </c>
      <c r="F123" s="119">
        <f t="shared" si="59"/>
        <v>654671250</v>
      </c>
      <c r="G123" s="120">
        <f t="shared" si="59"/>
        <v>0</v>
      </c>
      <c r="H123" s="120">
        <f>+H124</f>
        <v>0</v>
      </c>
      <c r="I123" s="120">
        <f t="shared" si="60"/>
        <v>0</v>
      </c>
      <c r="J123" s="120">
        <f>+J124</f>
        <v>0</v>
      </c>
      <c r="K123" s="120">
        <f>+K124</f>
        <v>0</v>
      </c>
      <c r="L123" s="120">
        <f>+J123+K123</f>
        <v>0</v>
      </c>
      <c r="M123" s="120">
        <f>+I123+L123</f>
        <v>0</v>
      </c>
      <c r="N123" s="119">
        <f t="shared" si="62"/>
        <v>654671250</v>
      </c>
      <c r="P123" s="190"/>
      <c r="R123" s="122"/>
      <c r="S123" s="283"/>
      <c r="T123" s="283"/>
      <c r="U123" s="246"/>
    </row>
    <row r="124" spans="1:21" s="107" customFormat="1" ht="18" customHeight="1" x14ac:dyDescent="0.25">
      <c r="A124" s="101"/>
      <c r="B124" s="102"/>
      <c r="C124" s="102"/>
      <c r="D124" s="103" t="s">
        <v>207</v>
      </c>
      <c r="E124" s="104" t="s">
        <v>262</v>
      </c>
      <c r="F124" s="105">
        <f t="shared" si="59"/>
        <v>654671250</v>
      </c>
      <c r="G124" s="106">
        <f t="shared" si="59"/>
        <v>0</v>
      </c>
      <c r="H124" s="106">
        <f>+H125</f>
        <v>0</v>
      </c>
      <c r="I124" s="106">
        <f t="shared" si="60"/>
        <v>0</v>
      </c>
      <c r="J124" s="106">
        <f>+J125</f>
        <v>0</v>
      </c>
      <c r="K124" s="106">
        <f>+K125</f>
        <v>0</v>
      </c>
      <c r="L124" s="106">
        <f t="shared" ref="L124:L136" si="63">+J124+K124</f>
        <v>0</v>
      </c>
      <c r="M124" s="106">
        <f t="shared" ref="M124:M127" si="64">+I124+L124</f>
        <v>0</v>
      </c>
      <c r="N124" s="105">
        <f t="shared" si="62"/>
        <v>654671250</v>
      </c>
      <c r="P124" s="191"/>
      <c r="R124" s="108"/>
      <c r="S124" s="284"/>
      <c r="T124" s="284"/>
      <c r="U124" s="241"/>
    </row>
    <row r="125" spans="1:21" s="49" customFormat="1" ht="18" customHeight="1" x14ac:dyDescent="0.25">
      <c r="A125" s="44"/>
      <c r="B125" s="45"/>
      <c r="C125" s="45"/>
      <c r="D125" s="69" t="s">
        <v>63</v>
      </c>
      <c r="E125" s="45" t="s">
        <v>30</v>
      </c>
      <c r="F125" s="47">
        <f>F131+F126</f>
        <v>654671250</v>
      </c>
      <c r="G125" s="70">
        <f>+G126+G131</f>
        <v>0</v>
      </c>
      <c r="H125" s="70">
        <f>+H126+H131</f>
        <v>0</v>
      </c>
      <c r="I125" s="70">
        <f t="shared" si="60"/>
        <v>0</v>
      </c>
      <c r="J125" s="70">
        <f>+J126+J131</f>
        <v>0</v>
      </c>
      <c r="K125" s="70">
        <f>+K131+K126</f>
        <v>0</v>
      </c>
      <c r="L125" s="70">
        <f t="shared" si="63"/>
        <v>0</v>
      </c>
      <c r="M125" s="70">
        <f t="shared" si="64"/>
        <v>0</v>
      </c>
      <c r="N125" s="47">
        <f t="shared" si="62"/>
        <v>654671250</v>
      </c>
      <c r="P125" s="192"/>
      <c r="S125" s="282"/>
      <c r="T125" s="282"/>
      <c r="U125" s="242"/>
    </row>
    <row r="126" spans="1:21" s="55" customFormat="1" ht="18" customHeight="1" x14ac:dyDescent="0.25">
      <c r="A126" s="50"/>
      <c r="B126" s="51"/>
      <c r="C126" s="51"/>
      <c r="D126" s="71" t="s">
        <v>263</v>
      </c>
      <c r="E126" s="52" t="s">
        <v>264</v>
      </c>
      <c r="F126" s="53">
        <f>+F127</f>
        <v>137486250</v>
      </c>
      <c r="G126" s="72">
        <f>+G127</f>
        <v>0</v>
      </c>
      <c r="H126" s="72">
        <f>+H127</f>
        <v>0</v>
      </c>
      <c r="I126" s="72">
        <f t="shared" si="60"/>
        <v>0</v>
      </c>
      <c r="J126" s="72">
        <f>+J127</f>
        <v>0</v>
      </c>
      <c r="K126" s="72">
        <f>+K127</f>
        <v>0</v>
      </c>
      <c r="L126" s="72">
        <f t="shared" si="63"/>
        <v>0</v>
      </c>
      <c r="M126" s="72">
        <f t="shared" si="64"/>
        <v>0</v>
      </c>
      <c r="N126" s="53">
        <f t="shared" si="62"/>
        <v>137486250</v>
      </c>
      <c r="P126" s="195"/>
      <c r="S126" s="282"/>
      <c r="T126" s="282"/>
      <c r="U126" s="243"/>
    </row>
    <row r="127" spans="1:21" s="49" customFormat="1" ht="18" customHeight="1" x14ac:dyDescent="0.25">
      <c r="A127" s="56"/>
      <c r="B127" s="57"/>
      <c r="C127" s="57"/>
      <c r="D127" s="73" t="s">
        <v>64</v>
      </c>
      <c r="E127" s="57" t="s">
        <v>65</v>
      </c>
      <c r="F127" s="58">
        <f>+F128+F129+F130</f>
        <v>137486250</v>
      </c>
      <c r="G127" s="59">
        <f>SUM(G128:G129)</f>
        <v>0</v>
      </c>
      <c r="H127" s="59">
        <f>SUM(H128:H129)</f>
        <v>0</v>
      </c>
      <c r="I127" s="59">
        <f t="shared" si="60"/>
        <v>0</v>
      </c>
      <c r="J127" s="59">
        <f>SUM(J128:J130)</f>
        <v>0</v>
      </c>
      <c r="K127" s="59">
        <f>SUM(K128:K130)</f>
        <v>0</v>
      </c>
      <c r="L127" s="59">
        <f t="shared" si="63"/>
        <v>0</v>
      </c>
      <c r="M127" s="59">
        <f t="shared" si="64"/>
        <v>0</v>
      </c>
      <c r="N127" s="58">
        <f t="shared" si="62"/>
        <v>137486250</v>
      </c>
      <c r="P127" s="192"/>
      <c r="S127" s="282"/>
      <c r="T127" s="282"/>
      <c r="U127" s="242"/>
    </row>
    <row r="128" spans="1:21" s="49" customFormat="1" ht="18" customHeight="1" x14ac:dyDescent="0.25">
      <c r="A128" s="61"/>
      <c r="B128" s="62"/>
      <c r="C128" s="62"/>
      <c r="D128" s="74" t="s">
        <v>66</v>
      </c>
      <c r="E128" s="62" t="s">
        <v>67</v>
      </c>
      <c r="F128" s="63">
        <v>2756250</v>
      </c>
      <c r="G128" s="75"/>
      <c r="H128" s="75"/>
      <c r="I128" s="75">
        <f t="shared" si="60"/>
        <v>0</v>
      </c>
      <c r="J128" s="75"/>
      <c r="K128" s="75"/>
      <c r="L128" s="75">
        <f t="shared" si="63"/>
        <v>0</v>
      </c>
      <c r="M128" s="75">
        <f>+I128+L128</f>
        <v>0</v>
      </c>
      <c r="N128" s="63">
        <f t="shared" si="62"/>
        <v>2756250</v>
      </c>
      <c r="P128" s="192"/>
      <c r="S128" s="281"/>
      <c r="T128" s="282"/>
      <c r="U128" s="242"/>
    </row>
    <row r="129" spans="1:21" s="49" customFormat="1" ht="18" customHeight="1" x14ac:dyDescent="0.25">
      <c r="A129" s="61"/>
      <c r="B129" s="62"/>
      <c r="C129" s="62"/>
      <c r="D129" s="74" t="s">
        <v>369</v>
      </c>
      <c r="E129" s="62" t="s">
        <v>370</v>
      </c>
      <c r="F129" s="63">
        <v>7230000</v>
      </c>
      <c r="G129" s="75"/>
      <c r="H129" s="75"/>
      <c r="I129" s="75">
        <f t="shared" si="60"/>
        <v>0</v>
      </c>
      <c r="J129" s="75"/>
      <c r="K129" s="75"/>
      <c r="L129" s="75">
        <f t="shared" si="63"/>
        <v>0</v>
      </c>
      <c r="M129" s="75">
        <f>+I129+L129</f>
        <v>0</v>
      </c>
      <c r="N129" s="63">
        <f t="shared" si="62"/>
        <v>7230000</v>
      </c>
      <c r="P129" s="192"/>
      <c r="S129" s="282"/>
      <c r="T129" s="282"/>
      <c r="U129" s="242"/>
    </row>
    <row r="130" spans="1:21" s="49" customFormat="1" ht="18" customHeight="1" x14ac:dyDescent="0.25">
      <c r="A130" s="61"/>
      <c r="B130" s="62"/>
      <c r="C130" s="62"/>
      <c r="D130" s="74" t="s">
        <v>447</v>
      </c>
      <c r="E130" s="62" t="s">
        <v>448</v>
      </c>
      <c r="F130" s="63">
        <v>127500000</v>
      </c>
      <c r="G130" s="75"/>
      <c r="H130" s="75"/>
      <c r="I130" s="75">
        <f t="shared" si="60"/>
        <v>0</v>
      </c>
      <c r="J130" s="75"/>
      <c r="K130" s="75"/>
      <c r="L130" s="75">
        <f t="shared" si="63"/>
        <v>0</v>
      </c>
      <c r="M130" s="75">
        <f>+I130+L130</f>
        <v>0</v>
      </c>
      <c r="N130" s="63">
        <f t="shared" si="62"/>
        <v>127500000</v>
      </c>
      <c r="P130" s="192"/>
      <c r="S130" s="282"/>
      <c r="T130" s="282"/>
      <c r="U130" s="242"/>
    </row>
    <row r="131" spans="1:21" s="55" customFormat="1" ht="18" customHeight="1" x14ac:dyDescent="0.25">
      <c r="A131" s="50"/>
      <c r="B131" s="51"/>
      <c r="C131" s="51"/>
      <c r="D131" s="71" t="s">
        <v>265</v>
      </c>
      <c r="E131" s="51" t="s">
        <v>266</v>
      </c>
      <c r="F131" s="53">
        <f>+F132</f>
        <v>517185000</v>
      </c>
      <c r="G131" s="72">
        <f>+G132</f>
        <v>0</v>
      </c>
      <c r="H131" s="72">
        <f>+H132</f>
        <v>0</v>
      </c>
      <c r="I131" s="72">
        <f t="shared" si="60"/>
        <v>0</v>
      </c>
      <c r="J131" s="72">
        <f>+J132</f>
        <v>0</v>
      </c>
      <c r="K131" s="72">
        <f>+K132</f>
        <v>0</v>
      </c>
      <c r="L131" s="72">
        <f t="shared" si="63"/>
        <v>0</v>
      </c>
      <c r="M131" s="72">
        <f t="shared" ref="M131:M132" si="65">+I131+L131</f>
        <v>0</v>
      </c>
      <c r="N131" s="53">
        <f>+F131-M131</f>
        <v>517185000</v>
      </c>
      <c r="P131" s="195"/>
      <c r="S131" s="282"/>
      <c r="T131" s="282"/>
      <c r="U131" s="243"/>
    </row>
    <row r="132" spans="1:21" s="49" customFormat="1" ht="18" customHeight="1" x14ac:dyDescent="0.25">
      <c r="A132" s="56"/>
      <c r="B132" s="57"/>
      <c r="C132" s="57"/>
      <c r="D132" s="73" t="s">
        <v>71</v>
      </c>
      <c r="E132" s="57" t="s">
        <v>72</v>
      </c>
      <c r="F132" s="58">
        <f>SUM(F133:F136)</f>
        <v>517185000</v>
      </c>
      <c r="G132" s="59">
        <f>SUM(G133:G134)</f>
        <v>0</v>
      </c>
      <c r="H132" s="59">
        <f>SUM(H133:H134)</f>
        <v>0</v>
      </c>
      <c r="I132" s="59">
        <f t="shared" si="60"/>
        <v>0</v>
      </c>
      <c r="J132" s="59">
        <f>SUM(J133:J136)</f>
        <v>0</v>
      </c>
      <c r="K132" s="59">
        <f>SUM(K133:K136)</f>
        <v>0</v>
      </c>
      <c r="L132" s="59">
        <f>+J132+K132</f>
        <v>0</v>
      </c>
      <c r="M132" s="59">
        <f t="shared" si="65"/>
        <v>0</v>
      </c>
      <c r="N132" s="58">
        <f>+F132-M132</f>
        <v>517185000</v>
      </c>
      <c r="P132" s="192"/>
      <c r="S132" s="282"/>
      <c r="T132" s="282"/>
      <c r="U132" s="242"/>
    </row>
    <row r="133" spans="1:21" s="49" customFormat="1" ht="18" customHeight="1" x14ac:dyDescent="0.25">
      <c r="A133" s="61"/>
      <c r="B133" s="62"/>
      <c r="C133" s="62"/>
      <c r="D133" s="74" t="s">
        <v>73</v>
      </c>
      <c r="E133" s="62" t="s">
        <v>74</v>
      </c>
      <c r="F133" s="63">
        <v>128100000</v>
      </c>
      <c r="G133" s="75"/>
      <c r="H133" s="75"/>
      <c r="I133" s="75">
        <f t="shared" si="60"/>
        <v>0</v>
      </c>
      <c r="J133" s="75"/>
      <c r="K133" s="75"/>
      <c r="L133" s="75">
        <f t="shared" si="63"/>
        <v>0</v>
      </c>
      <c r="M133" s="75">
        <f>+I133+L133</f>
        <v>0</v>
      </c>
      <c r="N133" s="63">
        <f t="shared" ref="N133:N136" si="66">+F133-M133</f>
        <v>128100000</v>
      </c>
      <c r="P133" s="192"/>
      <c r="S133" s="281"/>
      <c r="T133" s="281"/>
      <c r="U133" s="242"/>
    </row>
    <row r="134" spans="1:21" s="49" customFormat="1" ht="18" customHeight="1" x14ac:dyDescent="0.25">
      <c r="A134" s="61"/>
      <c r="B134" s="62"/>
      <c r="C134" s="62"/>
      <c r="D134" s="74" t="s">
        <v>88</v>
      </c>
      <c r="E134" s="62" t="s">
        <v>89</v>
      </c>
      <c r="F134" s="63">
        <v>79635000</v>
      </c>
      <c r="G134" s="75"/>
      <c r="H134" s="75"/>
      <c r="I134" s="75">
        <f t="shared" si="60"/>
        <v>0</v>
      </c>
      <c r="J134" s="75"/>
      <c r="K134" s="75"/>
      <c r="L134" s="75">
        <f t="shared" si="63"/>
        <v>0</v>
      </c>
      <c r="M134" s="75">
        <f t="shared" ref="M134" si="67">+I134+L134</f>
        <v>0</v>
      </c>
      <c r="N134" s="63">
        <f t="shared" si="66"/>
        <v>79635000</v>
      </c>
      <c r="P134" s="192"/>
      <c r="S134" s="281"/>
      <c r="T134" s="282"/>
      <c r="U134" s="242"/>
    </row>
    <row r="135" spans="1:21" s="49" customFormat="1" ht="18" customHeight="1" x14ac:dyDescent="0.25">
      <c r="A135" s="61"/>
      <c r="B135" s="62"/>
      <c r="C135" s="62"/>
      <c r="D135" s="74" t="s">
        <v>445</v>
      </c>
      <c r="E135" s="62" t="s">
        <v>446</v>
      </c>
      <c r="F135" s="63">
        <v>241950000</v>
      </c>
      <c r="G135" s="75"/>
      <c r="H135" s="75"/>
      <c r="I135" s="75">
        <f t="shared" si="60"/>
        <v>0</v>
      </c>
      <c r="J135" s="75"/>
      <c r="K135" s="75"/>
      <c r="L135" s="75">
        <f t="shared" si="63"/>
        <v>0</v>
      </c>
      <c r="M135" s="75">
        <f>+I135+L135</f>
        <v>0</v>
      </c>
      <c r="N135" s="63">
        <f t="shared" si="66"/>
        <v>241950000</v>
      </c>
      <c r="P135" s="192"/>
      <c r="S135" s="282"/>
      <c r="T135" s="282"/>
      <c r="U135" s="242"/>
    </row>
    <row r="136" spans="1:21" s="49" customFormat="1" ht="18" customHeight="1" x14ac:dyDescent="0.25">
      <c r="A136" s="61"/>
      <c r="B136" s="62"/>
      <c r="C136" s="62"/>
      <c r="D136" s="74" t="s">
        <v>107</v>
      </c>
      <c r="E136" s="62" t="s">
        <v>108</v>
      </c>
      <c r="F136" s="63">
        <v>67500000</v>
      </c>
      <c r="G136" s="75"/>
      <c r="H136" s="75"/>
      <c r="I136" s="75">
        <f t="shared" si="60"/>
        <v>0</v>
      </c>
      <c r="J136" s="75"/>
      <c r="K136" s="75"/>
      <c r="L136" s="75">
        <f t="shared" si="63"/>
        <v>0</v>
      </c>
      <c r="M136" s="75">
        <f>+I136+L136</f>
        <v>0</v>
      </c>
      <c r="N136" s="63">
        <f t="shared" si="66"/>
        <v>67500000</v>
      </c>
      <c r="P136" s="192"/>
      <c r="S136" s="282"/>
      <c r="T136" s="282"/>
      <c r="U136" s="242"/>
    </row>
    <row r="137" spans="1:21" s="134" customFormat="1" ht="18" customHeight="1" x14ac:dyDescent="0.25">
      <c r="A137" s="129"/>
      <c r="B137" s="131"/>
      <c r="C137" s="131"/>
      <c r="D137" s="131"/>
      <c r="E137" s="131"/>
      <c r="F137" s="132"/>
      <c r="G137" s="133"/>
      <c r="H137" s="133"/>
      <c r="I137" s="133"/>
      <c r="J137" s="133"/>
      <c r="K137" s="133"/>
      <c r="L137" s="133"/>
      <c r="M137" s="133"/>
      <c r="N137" s="132"/>
      <c r="P137" s="197"/>
      <c r="S137" s="286"/>
      <c r="T137" s="286"/>
      <c r="U137" s="247"/>
    </row>
    <row r="138" spans="1:21" s="137" customFormat="1" ht="18" customHeight="1" x14ac:dyDescent="0.25">
      <c r="A138" s="109"/>
      <c r="B138" s="110" t="s">
        <v>380</v>
      </c>
      <c r="C138" s="110"/>
      <c r="D138" s="110"/>
      <c r="E138" s="110" t="s">
        <v>381</v>
      </c>
      <c r="F138" s="135">
        <f>+F139+F165+F173+F184+F206</f>
        <v>4317651500</v>
      </c>
      <c r="G138" s="136">
        <f>+G139+G165+G173+G184+G206</f>
        <v>0</v>
      </c>
      <c r="H138" s="136">
        <f>+H139+H165+H173+H184+H206</f>
        <v>0</v>
      </c>
      <c r="I138" s="136">
        <f t="shared" ref="I138:I164" si="68">+G138+H138</f>
        <v>0</v>
      </c>
      <c r="J138" s="136">
        <f>+J139+J165+J173+J184+J206</f>
        <v>0</v>
      </c>
      <c r="K138" s="136">
        <f>+K139+K165+K173+K184+K206</f>
        <v>7840000</v>
      </c>
      <c r="L138" s="136">
        <f t="shared" ref="L138:L145" si="69">+J138+K138</f>
        <v>7840000</v>
      </c>
      <c r="M138" s="136">
        <f t="shared" ref="M138" si="70">+I138+L138</f>
        <v>7840000</v>
      </c>
      <c r="N138" s="135">
        <f t="shared" ref="N138:N145" si="71">+F138-M138</f>
        <v>4309811500</v>
      </c>
      <c r="P138" s="198"/>
      <c r="R138" s="138"/>
      <c r="S138" s="287"/>
      <c r="T138" s="287"/>
      <c r="U138" s="248"/>
    </row>
    <row r="139" spans="1:21" s="121" customFormat="1" ht="18" customHeight="1" x14ac:dyDescent="0.25">
      <c r="A139" s="116">
        <v>6</v>
      </c>
      <c r="B139" s="117"/>
      <c r="C139" s="117" t="s">
        <v>90</v>
      </c>
      <c r="D139" s="118"/>
      <c r="E139" s="128" t="s">
        <v>91</v>
      </c>
      <c r="F139" s="119">
        <f>+F140+F147</f>
        <v>1165936000</v>
      </c>
      <c r="G139" s="120">
        <f>+G140+G147</f>
        <v>0</v>
      </c>
      <c r="H139" s="120">
        <f>+H140+H147</f>
        <v>0</v>
      </c>
      <c r="I139" s="120">
        <f t="shared" si="68"/>
        <v>0</v>
      </c>
      <c r="J139" s="120">
        <f>+J140+J147</f>
        <v>0</v>
      </c>
      <c r="K139" s="120">
        <f>+K140+K147</f>
        <v>0</v>
      </c>
      <c r="L139" s="120">
        <f t="shared" si="69"/>
        <v>0</v>
      </c>
      <c r="M139" s="120">
        <f>+I139+L139</f>
        <v>0</v>
      </c>
      <c r="N139" s="119">
        <f t="shared" si="71"/>
        <v>1165936000</v>
      </c>
      <c r="P139" s="190"/>
      <c r="R139" s="122"/>
      <c r="S139" s="283"/>
      <c r="T139" s="283"/>
      <c r="U139" s="246"/>
    </row>
    <row r="140" spans="1:21" s="107" customFormat="1" ht="18" customHeight="1" x14ac:dyDescent="0.25">
      <c r="A140" s="101"/>
      <c r="B140" s="102"/>
      <c r="C140" s="141"/>
      <c r="D140" s="103" t="s">
        <v>207</v>
      </c>
      <c r="E140" s="104" t="s">
        <v>262</v>
      </c>
      <c r="F140" s="105">
        <f>+F141</f>
        <v>39736000</v>
      </c>
      <c r="G140" s="106">
        <f>+G141</f>
        <v>0</v>
      </c>
      <c r="H140" s="106">
        <f>+H141</f>
        <v>0</v>
      </c>
      <c r="I140" s="106">
        <f t="shared" si="68"/>
        <v>0</v>
      </c>
      <c r="J140" s="106">
        <f t="shared" ref="J140:K142" si="72">+J141</f>
        <v>0</v>
      </c>
      <c r="K140" s="106">
        <f t="shared" si="72"/>
        <v>0</v>
      </c>
      <c r="L140" s="106">
        <f t="shared" si="69"/>
        <v>0</v>
      </c>
      <c r="M140" s="106">
        <f t="shared" ref="M140:M164" si="73">+I140+L140</f>
        <v>0</v>
      </c>
      <c r="N140" s="105">
        <f t="shared" si="71"/>
        <v>39736000</v>
      </c>
      <c r="P140" s="191"/>
      <c r="R140" s="108"/>
      <c r="S140" s="284"/>
      <c r="T140" s="284"/>
      <c r="U140" s="241"/>
    </row>
    <row r="141" spans="1:21" s="67" customFormat="1" ht="18" customHeight="1" x14ac:dyDescent="0.25">
      <c r="A141" s="81"/>
      <c r="B141" s="82"/>
      <c r="C141" s="44"/>
      <c r="D141" s="45" t="s">
        <v>63</v>
      </c>
      <c r="E141" s="45" t="s">
        <v>30</v>
      </c>
      <c r="F141" s="47">
        <f>+F142</f>
        <v>39736000</v>
      </c>
      <c r="G141" s="70">
        <f t="shared" ref="G141:H142" si="74">+G142</f>
        <v>0</v>
      </c>
      <c r="H141" s="70">
        <f t="shared" si="74"/>
        <v>0</v>
      </c>
      <c r="I141" s="70">
        <f t="shared" si="68"/>
        <v>0</v>
      </c>
      <c r="J141" s="70">
        <f t="shared" si="72"/>
        <v>0</v>
      </c>
      <c r="K141" s="70">
        <f t="shared" si="72"/>
        <v>0</v>
      </c>
      <c r="L141" s="70">
        <f t="shared" si="69"/>
        <v>0</v>
      </c>
      <c r="M141" s="70">
        <f t="shared" si="73"/>
        <v>0</v>
      </c>
      <c r="N141" s="47">
        <f t="shared" si="71"/>
        <v>39736000</v>
      </c>
      <c r="P141" s="192"/>
      <c r="S141" s="282"/>
      <c r="T141" s="282"/>
      <c r="U141" s="249"/>
    </row>
    <row r="142" spans="1:21" s="55" customFormat="1" ht="18" customHeight="1" x14ac:dyDescent="0.25">
      <c r="A142" s="50"/>
      <c r="B142" s="51"/>
      <c r="C142" s="50"/>
      <c r="D142" s="71" t="s">
        <v>263</v>
      </c>
      <c r="E142" s="51" t="s">
        <v>264</v>
      </c>
      <c r="F142" s="53">
        <f>+F143</f>
        <v>39736000</v>
      </c>
      <c r="G142" s="72">
        <f t="shared" si="74"/>
        <v>0</v>
      </c>
      <c r="H142" s="72">
        <f t="shared" si="74"/>
        <v>0</v>
      </c>
      <c r="I142" s="72">
        <f t="shared" si="68"/>
        <v>0</v>
      </c>
      <c r="J142" s="72">
        <f t="shared" si="72"/>
        <v>0</v>
      </c>
      <c r="K142" s="72">
        <f t="shared" si="72"/>
        <v>0</v>
      </c>
      <c r="L142" s="72">
        <f t="shared" si="69"/>
        <v>0</v>
      </c>
      <c r="M142" s="72">
        <f t="shared" si="73"/>
        <v>0</v>
      </c>
      <c r="N142" s="53">
        <f t="shared" si="71"/>
        <v>39736000</v>
      </c>
      <c r="P142" s="195"/>
      <c r="S142" s="282"/>
      <c r="T142" s="282"/>
      <c r="U142" s="243"/>
    </row>
    <row r="143" spans="1:21" s="67" customFormat="1" ht="18" customHeight="1" x14ac:dyDescent="0.25">
      <c r="A143" s="83"/>
      <c r="B143" s="84"/>
      <c r="C143" s="56"/>
      <c r="D143" s="57" t="s">
        <v>64</v>
      </c>
      <c r="E143" s="57" t="s">
        <v>65</v>
      </c>
      <c r="F143" s="58">
        <f>F145+F144+F146</f>
        <v>39736000</v>
      </c>
      <c r="G143" s="59">
        <f>+G145</f>
        <v>0</v>
      </c>
      <c r="H143" s="59">
        <f>+H145</f>
        <v>0</v>
      </c>
      <c r="I143" s="59">
        <f t="shared" si="68"/>
        <v>0</v>
      </c>
      <c r="J143" s="59">
        <f>+J145</f>
        <v>0</v>
      </c>
      <c r="K143" s="59">
        <f>+K145</f>
        <v>0</v>
      </c>
      <c r="L143" s="59">
        <f t="shared" si="69"/>
        <v>0</v>
      </c>
      <c r="M143" s="59">
        <f t="shared" si="73"/>
        <v>0</v>
      </c>
      <c r="N143" s="58">
        <f t="shared" si="71"/>
        <v>39736000</v>
      </c>
      <c r="P143" s="192"/>
      <c r="S143" s="282"/>
      <c r="T143" s="282"/>
      <c r="U143" s="249"/>
    </row>
    <row r="144" spans="1:21" s="86" customFormat="1" ht="18" customHeight="1" x14ac:dyDescent="0.25">
      <c r="A144" s="85"/>
      <c r="B144" s="66"/>
      <c r="C144" s="61"/>
      <c r="D144" s="62" t="s">
        <v>66</v>
      </c>
      <c r="E144" s="62" t="s">
        <v>67</v>
      </c>
      <c r="F144" s="63">
        <v>13500</v>
      </c>
      <c r="G144" s="75"/>
      <c r="H144" s="75"/>
      <c r="I144" s="75">
        <f t="shared" ref="I144" si="75">+G144+H144</f>
        <v>0</v>
      </c>
      <c r="J144" s="75"/>
      <c r="K144" s="75"/>
      <c r="L144" s="75">
        <f t="shared" ref="L144" si="76">+J144+K144</f>
        <v>0</v>
      </c>
      <c r="M144" s="75">
        <f t="shared" ref="M144" si="77">+I144+L144</f>
        <v>0</v>
      </c>
      <c r="N144" s="63">
        <f t="shared" ref="N144" si="78">+F144-M144</f>
        <v>13500</v>
      </c>
      <c r="P144" s="194"/>
      <c r="S144" s="282"/>
      <c r="T144" s="282"/>
      <c r="U144" s="250"/>
    </row>
    <row r="145" spans="1:21" s="86" customFormat="1" ht="18" customHeight="1" x14ac:dyDescent="0.25">
      <c r="A145" s="85"/>
      <c r="B145" s="66"/>
      <c r="C145" s="61"/>
      <c r="D145" s="62" t="s">
        <v>339</v>
      </c>
      <c r="E145" s="62" t="s">
        <v>340</v>
      </c>
      <c r="F145" s="63">
        <v>29175000</v>
      </c>
      <c r="G145" s="75"/>
      <c r="H145" s="75"/>
      <c r="I145" s="75">
        <f t="shared" si="68"/>
        <v>0</v>
      </c>
      <c r="J145" s="75"/>
      <c r="K145" s="75"/>
      <c r="L145" s="75">
        <f t="shared" si="69"/>
        <v>0</v>
      </c>
      <c r="M145" s="75">
        <f t="shared" si="73"/>
        <v>0</v>
      </c>
      <c r="N145" s="63">
        <f t="shared" si="71"/>
        <v>29175000</v>
      </c>
      <c r="P145" s="194"/>
      <c r="S145" s="282"/>
      <c r="T145" s="282"/>
      <c r="U145" s="250"/>
    </row>
    <row r="146" spans="1:21" s="86" customFormat="1" ht="18" customHeight="1" x14ac:dyDescent="0.25">
      <c r="A146" s="85"/>
      <c r="B146" s="66"/>
      <c r="C146" s="61"/>
      <c r="D146" s="62" t="s">
        <v>371</v>
      </c>
      <c r="E146" s="62" t="s">
        <v>372</v>
      </c>
      <c r="F146" s="63">
        <v>10547500</v>
      </c>
      <c r="G146" s="75"/>
      <c r="H146" s="75"/>
      <c r="I146" s="75">
        <f t="shared" ref="I146" si="79">+G146+H146</f>
        <v>0</v>
      </c>
      <c r="J146" s="75"/>
      <c r="K146" s="75"/>
      <c r="L146" s="75">
        <f t="shared" ref="L146" si="80">+J146+K146</f>
        <v>0</v>
      </c>
      <c r="M146" s="75">
        <f t="shared" ref="M146" si="81">+I146+L146</f>
        <v>0</v>
      </c>
      <c r="N146" s="63">
        <f t="shared" ref="N146" si="82">+F146-M146</f>
        <v>10547500</v>
      </c>
      <c r="P146" s="194"/>
      <c r="S146" s="282"/>
      <c r="T146" s="282"/>
      <c r="U146" s="250"/>
    </row>
    <row r="147" spans="1:21" s="42" customFormat="1" ht="18" customHeight="1" x14ac:dyDescent="0.25">
      <c r="A147" s="36"/>
      <c r="B147" s="37"/>
      <c r="C147" s="80"/>
      <c r="D147" s="38" t="s">
        <v>267</v>
      </c>
      <c r="E147" s="39" t="s">
        <v>268</v>
      </c>
      <c r="F147" s="40">
        <f>+F148</f>
        <v>1126200000</v>
      </c>
      <c r="G147" s="41">
        <f>+G148</f>
        <v>0</v>
      </c>
      <c r="H147" s="41">
        <f>+H148</f>
        <v>0</v>
      </c>
      <c r="I147" s="41">
        <f>+G147+H147</f>
        <v>0</v>
      </c>
      <c r="J147" s="41">
        <f>+J148</f>
        <v>0</v>
      </c>
      <c r="K147" s="41">
        <f>+K148</f>
        <v>0</v>
      </c>
      <c r="L147" s="41">
        <f>+J147+K147</f>
        <v>0</v>
      </c>
      <c r="M147" s="41">
        <f t="shared" si="73"/>
        <v>0</v>
      </c>
      <c r="N147" s="40">
        <f>+F147-M147</f>
        <v>1126200000</v>
      </c>
      <c r="P147" s="199"/>
      <c r="R147" s="43"/>
      <c r="S147" s="282"/>
      <c r="T147" s="282"/>
      <c r="U147" s="251"/>
    </row>
    <row r="148" spans="1:21" s="67" customFormat="1" ht="18" customHeight="1" x14ac:dyDescent="0.25">
      <c r="A148" s="81"/>
      <c r="B148" s="82"/>
      <c r="C148" s="44"/>
      <c r="D148" s="45" t="s">
        <v>78</v>
      </c>
      <c r="E148" s="45" t="s">
        <v>75</v>
      </c>
      <c r="F148" s="47">
        <f>+F149+F159+F156</f>
        <v>1126200000</v>
      </c>
      <c r="G148" s="70">
        <f>+G149+G159</f>
        <v>0</v>
      </c>
      <c r="H148" s="70">
        <f>+H149+H159</f>
        <v>0</v>
      </c>
      <c r="I148" s="70">
        <f>+G148+H148</f>
        <v>0</v>
      </c>
      <c r="J148" s="70">
        <f>+J149+J159</f>
        <v>0</v>
      </c>
      <c r="K148" s="70">
        <f>+K149+K159</f>
        <v>0</v>
      </c>
      <c r="L148" s="70">
        <f>+J148+K148</f>
        <v>0</v>
      </c>
      <c r="M148" s="70">
        <f t="shared" si="73"/>
        <v>0</v>
      </c>
      <c r="N148" s="47">
        <f>+F148-M148</f>
        <v>1126200000</v>
      </c>
      <c r="P148" s="192"/>
      <c r="S148" s="282"/>
      <c r="T148" s="282"/>
      <c r="U148" s="249"/>
    </row>
    <row r="149" spans="1:21" s="55" customFormat="1" ht="18" customHeight="1" x14ac:dyDescent="0.25">
      <c r="A149" s="50"/>
      <c r="B149" s="51"/>
      <c r="C149" s="50"/>
      <c r="D149" s="71" t="s">
        <v>269</v>
      </c>
      <c r="E149" s="51" t="s">
        <v>270</v>
      </c>
      <c r="F149" s="53">
        <f>+F153+F150</f>
        <v>385400000</v>
      </c>
      <c r="G149" s="72">
        <f>+G153</f>
        <v>0</v>
      </c>
      <c r="H149" s="72">
        <f>+H153</f>
        <v>0</v>
      </c>
      <c r="I149" s="72">
        <f>+G149+H149</f>
        <v>0</v>
      </c>
      <c r="J149" s="72">
        <f>+J153</f>
        <v>0</v>
      </c>
      <c r="K149" s="72">
        <f>+K153+K150</f>
        <v>0</v>
      </c>
      <c r="L149" s="72">
        <f>+J149+K149</f>
        <v>0</v>
      </c>
      <c r="M149" s="72">
        <f t="shared" si="73"/>
        <v>0</v>
      </c>
      <c r="N149" s="53">
        <f>+F149-M149</f>
        <v>385400000</v>
      </c>
      <c r="P149" s="195"/>
      <c r="S149" s="282"/>
      <c r="T149" s="282"/>
      <c r="U149" s="243"/>
    </row>
    <row r="150" spans="1:21" s="67" customFormat="1" ht="18" customHeight="1" x14ac:dyDescent="0.25">
      <c r="A150" s="83"/>
      <c r="B150" s="84"/>
      <c r="C150" s="56"/>
      <c r="D150" s="57" t="s">
        <v>76</v>
      </c>
      <c r="E150" s="57" t="s">
        <v>484</v>
      </c>
      <c r="F150" s="58">
        <f>F151+F152</f>
        <v>180100000</v>
      </c>
      <c r="G150" s="59">
        <f>G151</f>
        <v>0</v>
      </c>
      <c r="H150" s="59">
        <f>+H151</f>
        <v>0</v>
      </c>
      <c r="I150" s="59">
        <f>+G150+H150</f>
        <v>0</v>
      </c>
      <c r="J150" s="59">
        <f>J151</f>
        <v>0</v>
      </c>
      <c r="K150" s="59">
        <f>+K151</f>
        <v>0</v>
      </c>
      <c r="L150" s="59">
        <f>+J150+K150</f>
        <v>0</v>
      </c>
      <c r="M150" s="59">
        <f t="shared" si="73"/>
        <v>0</v>
      </c>
      <c r="N150" s="58">
        <f>+F150-M150</f>
        <v>180100000</v>
      </c>
      <c r="P150" s="192"/>
      <c r="S150" s="282"/>
      <c r="T150" s="282"/>
      <c r="U150" s="249"/>
    </row>
    <row r="151" spans="1:21" s="86" customFormat="1" ht="18" customHeight="1" x14ac:dyDescent="0.25">
      <c r="A151" s="85"/>
      <c r="B151" s="66"/>
      <c r="C151" s="61"/>
      <c r="D151" s="62" t="s">
        <v>393</v>
      </c>
      <c r="E151" s="62" t="s">
        <v>394</v>
      </c>
      <c r="F151" s="63">
        <v>99600000</v>
      </c>
      <c r="G151" s="75"/>
      <c r="H151" s="75"/>
      <c r="I151" s="75">
        <f t="shared" ref="I151" si="83">+G151+H151</f>
        <v>0</v>
      </c>
      <c r="J151" s="75"/>
      <c r="K151" s="75"/>
      <c r="L151" s="75">
        <f t="shared" ref="L151" si="84">+J151+K151</f>
        <v>0</v>
      </c>
      <c r="M151" s="75">
        <f t="shared" si="73"/>
        <v>0</v>
      </c>
      <c r="N151" s="63">
        <f t="shared" ref="N151" si="85">+F151-M151</f>
        <v>99600000</v>
      </c>
      <c r="P151" s="194"/>
      <c r="S151" s="281"/>
      <c r="T151" s="282"/>
      <c r="U151" s="250"/>
    </row>
    <row r="152" spans="1:21" s="86" customFormat="1" ht="18" customHeight="1" x14ac:dyDescent="0.25">
      <c r="A152" s="85"/>
      <c r="B152" s="66"/>
      <c r="C152" s="61"/>
      <c r="D152" s="62" t="s">
        <v>117</v>
      </c>
      <c r="E152" s="62" t="s">
        <v>118</v>
      </c>
      <c r="F152" s="63">
        <v>80500000</v>
      </c>
      <c r="G152" s="75"/>
      <c r="H152" s="75"/>
      <c r="I152" s="75">
        <f t="shared" ref="I152" si="86">+G152+H152</f>
        <v>0</v>
      </c>
      <c r="J152" s="75"/>
      <c r="K152" s="75"/>
      <c r="L152" s="75">
        <f t="shared" ref="L152" si="87">+J152+K152</f>
        <v>0</v>
      </c>
      <c r="M152" s="75">
        <f t="shared" ref="M152" si="88">+I152+L152</f>
        <v>0</v>
      </c>
      <c r="N152" s="63">
        <f t="shared" ref="N152" si="89">+F152-M152</f>
        <v>80500000</v>
      </c>
      <c r="P152" s="194"/>
      <c r="S152" s="281"/>
      <c r="T152" s="282"/>
      <c r="U152" s="250"/>
    </row>
    <row r="153" spans="1:21" s="67" customFormat="1" ht="18" customHeight="1" x14ac:dyDescent="0.25">
      <c r="A153" s="83"/>
      <c r="B153" s="84"/>
      <c r="C153" s="56"/>
      <c r="D153" s="57" t="s">
        <v>92</v>
      </c>
      <c r="E153" s="57" t="s">
        <v>94</v>
      </c>
      <c r="F153" s="58">
        <f>F154+F155</f>
        <v>205300000</v>
      </c>
      <c r="G153" s="59">
        <f>+G154+G155</f>
        <v>0</v>
      </c>
      <c r="H153" s="59">
        <f>+H154+H155</f>
        <v>0</v>
      </c>
      <c r="I153" s="59">
        <f>+G153+H153</f>
        <v>0</v>
      </c>
      <c r="J153" s="59">
        <f>J154+J155</f>
        <v>0</v>
      </c>
      <c r="K153" s="59">
        <f>+K154+K155</f>
        <v>0</v>
      </c>
      <c r="L153" s="59">
        <f>+J153+K153</f>
        <v>0</v>
      </c>
      <c r="M153" s="59">
        <f t="shared" si="73"/>
        <v>0</v>
      </c>
      <c r="N153" s="58">
        <f>+F153-M153</f>
        <v>205300000</v>
      </c>
      <c r="P153" s="192"/>
      <c r="S153" s="282"/>
      <c r="T153" s="282"/>
      <c r="U153" s="249"/>
    </row>
    <row r="154" spans="1:21" s="86" customFormat="1" ht="18" customHeight="1" x14ac:dyDescent="0.25">
      <c r="A154" s="85"/>
      <c r="B154" s="66"/>
      <c r="C154" s="61"/>
      <c r="D154" s="62" t="s">
        <v>93</v>
      </c>
      <c r="E154" s="62" t="s">
        <v>95</v>
      </c>
      <c r="F154" s="63">
        <v>180000000</v>
      </c>
      <c r="G154" s="75"/>
      <c r="H154" s="75"/>
      <c r="I154" s="75">
        <f t="shared" ref="I154:I155" si="90">+G154+H154</f>
        <v>0</v>
      </c>
      <c r="J154" s="75"/>
      <c r="K154" s="75"/>
      <c r="L154" s="75">
        <f t="shared" ref="L154:L164" si="91">+J154+K154</f>
        <v>0</v>
      </c>
      <c r="M154" s="75">
        <f t="shared" si="73"/>
        <v>0</v>
      </c>
      <c r="N154" s="63">
        <f t="shared" ref="N154:N155" si="92">+F154-M154</f>
        <v>180000000</v>
      </c>
      <c r="P154" s="194"/>
      <c r="S154" s="282"/>
      <c r="T154" s="282"/>
      <c r="U154" s="250"/>
    </row>
    <row r="155" spans="1:21" s="86" customFormat="1" ht="18" customHeight="1" x14ac:dyDescent="0.25">
      <c r="A155" s="85"/>
      <c r="B155" s="66"/>
      <c r="C155" s="61"/>
      <c r="D155" s="62" t="s">
        <v>397</v>
      </c>
      <c r="E155" s="62" t="s">
        <v>398</v>
      </c>
      <c r="F155" s="63">
        <v>25300000</v>
      </c>
      <c r="G155" s="75"/>
      <c r="H155" s="75"/>
      <c r="I155" s="75">
        <f t="shared" si="90"/>
        <v>0</v>
      </c>
      <c r="J155" s="75"/>
      <c r="K155" s="75"/>
      <c r="L155" s="75">
        <f t="shared" si="91"/>
        <v>0</v>
      </c>
      <c r="M155" s="75">
        <f t="shared" si="73"/>
        <v>0</v>
      </c>
      <c r="N155" s="63">
        <f t="shared" si="92"/>
        <v>25300000</v>
      </c>
      <c r="P155" s="194"/>
      <c r="S155" s="282"/>
      <c r="T155" s="282"/>
      <c r="U155" s="250"/>
    </row>
    <row r="156" spans="1:21" s="55" customFormat="1" ht="18" customHeight="1" x14ac:dyDescent="0.25">
      <c r="A156" s="50"/>
      <c r="B156" s="51"/>
      <c r="C156" s="50"/>
      <c r="D156" s="71" t="s">
        <v>399</v>
      </c>
      <c r="E156" s="51" t="s">
        <v>400</v>
      </c>
      <c r="F156" s="53">
        <f>+F157</f>
        <v>200000000</v>
      </c>
      <c r="G156" s="72">
        <f>+G160</f>
        <v>0</v>
      </c>
      <c r="H156" s="72">
        <f>+H160</f>
        <v>0</v>
      </c>
      <c r="I156" s="72">
        <f>+G156+H156</f>
        <v>0</v>
      </c>
      <c r="J156" s="72">
        <f>+J160</f>
        <v>0</v>
      </c>
      <c r="K156" s="72">
        <f>+K160+K157</f>
        <v>0</v>
      </c>
      <c r="L156" s="72">
        <f>+J156+K156</f>
        <v>0</v>
      </c>
      <c r="M156" s="72">
        <f t="shared" ref="M156:M158" si="93">+I156+L156</f>
        <v>0</v>
      </c>
      <c r="N156" s="53">
        <f>+F156-M156</f>
        <v>200000000</v>
      </c>
      <c r="P156" s="195"/>
      <c r="S156" s="282"/>
      <c r="T156" s="282"/>
      <c r="U156" s="243"/>
    </row>
    <row r="157" spans="1:21" s="67" customFormat="1" ht="18" customHeight="1" x14ac:dyDescent="0.25">
      <c r="A157" s="83"/>
      <c r="B157" s="84"/>
      <c r="C157" s="56"/>
      <c r="D157" s="57" t="s">
        <v>401</v>
      </c>
      <c r="E157" s="57" t="s">
        <v>402</v>
      </c>
      <c r="F157" s="58">
        <f>+F158</f>
        <v>200000000</v>
      </c>
      <c r="G157" s="59">
        <f>G158</f>
        <v>0</v>
      </c>
      <c r="H157" s="59">
        <f>+H158</f>
        <v>0</v>
      </c>
      <c r="I157" s="59">
        <f>+G157+H157</f>
        <v>0</v>
      </c>
      <c r="J157" s="59">
        <f>J158</f>
        <v>0</v>
      </c>
      <c r="K157" s="59">
        <f>+K158</f>
        <v>0</v>
      </c>
      <c r="L157" s="59">
        <f>+J157+K157</f>
        <v>0</v>
      </c>
      <c r="M157" s="59">
        <f t="shared" si="93"/>
        <v>0</v>
      </c>
      <c r="N157" s="58">
        <f>+F157-M157</f>
        <v>200000000</v>
      </c>
      <c r="P157" s="192"/>
      <c r="S157" s="282"/>
      <c r="T157" s="282"/>
      <c r="U157" s="249"/>
    </row>
    <row r="158" spans="1:21" s="86" customFormat="1" ht="18" customHeight="1" x14ac:dyDescent="0.25">
      <c r="A158" s="85"/>
      <c r="B158" s="66"/>
      <c r="C158" s="61"/>
      <c r="D158" s="62" t="s">
        <v>459</v>
      </c>
      <c r="E158" s="62" t="s">
        <v>460</v>
      </c>
      <c r="F158" s="63">
        <v>200000000</v>
      </c>
      <c r="G158" s="75"/>
      <c r="H158" s="75"/>
      <c r="I158" s="75">
        <f t="shared" ref="I158" si="94">+G158+H158</f>
        <v>0</v>
      </c>
      <c r="J158" s="75"/>
      <c r="K158" s="75"/>
      <c r="L158" s="75">
        <f t="shared" ref="L158" si="95">+J158+K158</f>
        <v>0</v>
      </c>
      <c r="M158" s="75">
        <f t="shared" si="93"/>
        <v>0</v>
      </c>
      <c r="N158" s="63">
        <f t="shared" ref="N158" si="96">+F158-M158</f>
        <v>200000000</v>
      </c>
      <c r="P158" s="194"/>
      <c r="S158" s="281"/>
      <c r="T158" s="282"/>
      <c r="U158" s="250"/>
    </row>
    <row r="159" spans="1:21" s="55" customFormat="1" ht="18" customHeight="1" x14ac:dyDescent="0.25">
      <c r="A159" s="50"/>
      <c r="B159" s="51"/>
      <c r="C159" s="50"/>
      <c r="D159" s="71" t="s">
        <v>273</v>
      </c>
      <c r="E159" s="51" t="s">
        <v>274</v>
      </c>
      <c r="F159" s="53">
        <f>+F160+F162</f>
        <v>540800000</v>
      </c>
      <c r="G159" s="72">
        <f>+G160+G162</f>
        <v>0</v>
      </c>
      <c r="H159" s="72">
        <f>+H160+H162</f>
        <v>0</v>
      </c>
      <c r="I159" s="72">
        <f>+G159+H159</f>
        <v>0</v>
      </c>
      <c r="J159" s="72">
        <f t="shared" ref="J159:K160" si="97">+J160</f>
        <v>0</v>
      </c>
      <c r="K159" s="72">
        <f t="shared" si="97"/>
        <v>0</v>
      </c>
      <c r="L159" s="72">
        <f t="shared" si="91"/>
        <v>0</v>
      </c>
      <c r="M159" s="72">
        <f t="shared" si="73"/>
        <v>0</v>
      </c>
      <c r="N159" s="53">
        <f>+F159-M159</f>
        <v>540800000</v>
      </c>
      <c r="P159" s="195"/>
      <c r="S159" s="282"/>
      <c r="T159" s="282"/>
      <c r="U159" s="243"/>
    </row>
    <row r="160" spans="1:21" s="67" customFormat="1" ht="18" customHeight="1" x14ac:dyDescent="0.25">
      <c r="A160" s="83"/>
      <c r="B160" s="84"/>
      <c r="C160" s="56"/>
      <c r="D160" s="57" t="s">
        <v>96</v>
      </c>
      <c r="E160" s="57" t="s">
        <v>98</v>
      </c>
      <c r="F160" s="58">
        <f>F161</f>
        <v>335000000</v>
      </c>
      <c r="G160" s="59">
        <f>+G161</f>
        <v>0</v>
      </c>
      <c r="H160" s="59">
        <f>+H161</f>
        <v>0</v>
      </c>
      <c r="I160" s="59">
        <f>+G160+H160</f>
        <v>0</v>
      </c>
      <c r="J160" s="59">
        <f>+J161</f>
        <v>0</v>
      </c>
      <c r="K160" s="59">
        <f t="shared" si="97"/>
        <v>0</v>
      </c>
      <c r="L160" s="59">
        <f t="shared" si="91"/>
        <v>0</v>
      </c>
      <c r="M160" s="59">
        <f t="shared" si="73"/>
        <v>0</v>
      </c>
      <c r="N160" s="58">
        <f>+F160-M160</f>
        <v>335000000</v>
      </c>
      <c r="P160" s="192"/>
      <c r="S160" s="282"/>
      <c r="T160" s="282"/>
      <c r="U160" s="249"/>
    </row>
    <row r="161" spans="1:21" s="86" customFormat="1" ht="18" customHeight="1" x14ac:dyDescent="0.25">
      <c r="A161" s="85"/>
      <c r="B161" s="66"/>
      <c r="C161" s="61"/>
      <c r="D161" s="62" t="s">
        <v>97</v>
      </c>
      <c r="E161" s="62" t="s">
        <v>99</v>
      </c>
      <c r="F161" s="63">
        <v>335000000</v>
      </c>
      <c r="G161" s="75"/>
      <c r="H161" s="75"/>
      <c r="I161" s="75">
        <f t="shared" si="68"/>
        <v>0</v>
      </c>
      <c r="J161" s="75"/>
      <c r="K161" s="75"/>
      <c r="L161" s="75">
        <f t="shared" si="91"/>
        <v>0</v>
      </c>
      <c r="M161" s="75">
        <f t="shared" si="73"/>
        <v>0</v>
      </c>
      <c r="N161" s="63">
        <f t="shared" ref="N161" si="98">+F161-M161</f>
        <v>335000000</v>
      </c>
      <c r="P161" s="194"/>
      <c r="S161" s="282"/>
      <c r="T161" s="282"/>
      <c r="U161" s="250"/>
    </row>
    <row r="162" spans="1:21" s="67" customFormat="1" ht="18" customHeight="1" x14ac:dyDescent="0.25">
      <c r="A162" s="83"/>
      <c r="B162" s="84"/>
      <c r="C162" s="56"/>
      <c r="D162" s="57" t="s">
        <v>382</v>
      </c>
      <c r="E162" s="57" t="s">
        <v>383</v>
      </c>
      <c r="F162" s="58">
        <f>SUM(F163:F164)</f>
        <v>205800000</v>
      </c>
      <c r="G162" s="59">
        <f>SUM(G163:G164)</f>
        <v>0</v>
      </c>
      <c r="H162" s="59">
        <f>SUM(H163:H164)</f>
        <v>0</v>
      </c>
      <c r="I162" s="59">
        <f>+G162+H162</f>
        <v>0</v>
      </c>
      <c r="J162" s="59">
        <f>SUM(J163:J164)</f>
        <v>0</v>
      </c>
      <c r="K162" s="59">
        <f>SUM(K163:K164)</f>
        <v>0</v>
      </c>
      <c r="L162" s="59">
        <f>+J162+K162</f>
        <v>0</v>
      </c>
      <c r="M162" s="59">
        <f t="shared" si="73"/>
        <v>0</v>
      </c>
      <c r="N162" s="58">
        <f>+F162-M162</f>
        <v>205800000</v>
      </c>
      <c r="P162" s="192"/>
      <c r="S162" s="282"/>
      <c r="T162" s="282"/>
      <c r="U162" s="249"/>
    </row>
    <row r="163" spans="1:21" s="86" customFormat="1" ht="18" customHeight="1" x14ac:dyDescent="0.25">
      <c r="A163" s="85"/>
      <c r="B163" s="66"/>
      <c r="C163" s="61"/>
      <c r="D163" s="62" t="s">
        <v>384</v>
      </c>
      <c r="E163" s="62" t="s">
        <v>385</v>
      </c>
      <c r="F163" s="63">
        <v>170400000</v>
      </c>
      <c r="G163" s="75"/>
      <c r="H163" s="75"/>
      <c r="I163" s="75">
        <f t="shared" si="68"/>
        <v>0</v>
      </c>
      <c r="J163" s="75"/>
      <c r="K163" s="75"/>
      <c r="L163" s="75">
        <f t="shared" si="91"/>
        <v>0</v>
      </c>
      <c r="M163" s="75">
        <f t="shared" si="73"/>
        <v>0</v>
      </c>
      <c r="N163" s="63">
        <f t="shared" ref="N163:N164" si="99">+F163-M163</f>
        <v>170400000</v>
      </c>
      <c r="P163" s="194"/>
      <c r="S163" s="282"/>
      <c r="T163" s="282"/>
      <c r="U163" s="250"/>
    </row>
    <row r="164" spans="1:21" s="144" customFormat="1" ht="18" customHeight="1" x14ac:dyDescent="0.25">
      <c r="A164" s="142"/>
      <c r="B164" s="143"/>
      <c r="C164" s="123"/>
      <c r="D164" s="124" t="s">
        <v>386</v>
      </c>
      <c r="E164" s="124" t="s">
        <v>387</v>
      </c>
      <c r="F164" s="125">
        <v>35400000</v>
      </c>
      <c r="G164" s="140"/>
      <c r="H164" s="140"/>
      <c r="I164" s="140">
        <f t="shared" si="68"/>
        <v>0</v>
      </c>
      <c r="J164" s="140"/>
      <c r="K164" s="140"/>
      <c r="L164" s="140">
        <f t="shared" si="91"/>
        <v>0</v>
      </c>
      <c r="M164" s="140">
        <f t="shared" si="73"/>
        <v>0</v>
      </c>
      <c r="N164" s="125">
        <f t="shared" si="99"/>
        <v>35400000</v>
      </c>
      <c r="P164" s="196"/>
      <c r="S164" s="286"/>
      <c r="T164" s="286"/>
      <c r="U164" s="252"/>
    </row>
    <row r="165" spans="1:21" s="121" customFormat="1" ht="18" customHeight="1" x14ac:dyDescent="0.25">
      <c r="A165" s="116">
        <v>7</v>
      </c>
      <c r="B165" s="117"/>
      <c r="C165" s="145" t="s">
        <v>102</v>
      </c>
      <c r="D165" s="118"/>
      <c r="E165" s="128" t="s">
        <v>103</v>
      </c>
      <c r="F165" s="119">
        <f t="shared" ref="F165:H168" si="100">+F166</f>
        <v>540210000</v>
      </c>
      <c r="G165" s="120">
        <f t="shared" si="100"/>
        <v>0</v>
      </c>
      <c r="H165" s="120">
        <f t="shared" si="100"/>
        <v>0</v>
      </c>
      <c r="I165" s="120">
        <f>+G165+H165</f>
        <v>0</v>
      </c>
      <c r="J165" s="120">
        <f>+J166</f>
        <v>0</v>
      </c>
      <c r="K165" s="120">
        <f t="shared" ref="J165:K168" si="101">+K166</f>
        <v>0</v>
      </c>
      <c r="L165" s="120">
        <f>+J165+K165</f>
        <v>0</v>
      </c>
      <c r="M165" s="120">
        <f>+I165+L165</f>
        <v>0</v>
      </c>
      <c r="N165" s="119">
        <f>+F165-M165</f>
        <v>540210000</v>
      </c>
      <c r="P165" s="190"/>
      <c r="R165" s="122"/>
      <c r="S165" s="283"/>
      <c r="T165" s="283"/>
      <c r="U165" s="246"/>
    </row>
    <row r="166" spans="1:21" s="107" customFormat="1" ht="18" customHeight="1" x14ac:dyDescent="0.25">
      <c r="A166" s="101"/>
      <c r="B166" s="102"/>
      <c r="C166" s="141"/>
      <c r="D166" s="103" t="s">
        <v>207</v>
      </c>
      <c r="E166" s="104" t="s">
        <v>262</v>
      </c>
      <c r="F166" s="105">
        <f t="shared" si="100"/>
        <v>540210000</v>
      </c>
      <c r="G166" s="106">
        <f t="shared" si="100"/>
        <v>0</v>
      </c>
      <c r="H166" s="106">
        <f t="shared" si="100"/>
        <v>0</v>
      </c>
      <c r="I166" s="106">
        <f>+G166+H166</f>
        <v>0</v>
      </c>
      <c r="J166" s="106">
        <f t="shared" si="101"/>
        <v>0</v>
      </c>
      <c r="K166" s="106">
        <f t="shared" si="101"/>
        <v>0</v>
      </c>
      <c r="L166" s="106">
        <f>+J166+K166</f>
        <v>0</v>
      </c>
      <c r="M166" s="106">
        <f t="shared" ref="M166:M169" si="102">+I166+L166</f>
        <v>0</v>
      </c>
      <c r="N166" s="105">
        <f>+F166-M166</f>
        <v>540210000</v>
      </c>
      <c r="P166" s="191"/>
      <c r="R166" s="108"/>
      <c r="S166" s="284"/>
      <c r="T166" s="284"/>
      <c r="U166" s="241"/>
    </row>
    <row r="167" spans="1:21" s="67" customFormat="1" ht="18" customHeight="1" x14ac:dyDescent="0.25">
      <c r="A167" s="81"/>
      <c r="B167" s="82"/>
      <c r="C167" s="44"/>
      <c r="D167" s="45" t="s">
        <v>63</v>
      </c>
      <c r="E167" s="45" t="s">
        <v>30</v>
      </c>
      <c r="F167" s="47">
        <f t="shared" si="100"/>
        <v>540210000</v>
      </c>
      <c r="G167" s="70">
        <f t="shared" si="100"/>
        <v>0</v>
      </c>
      <c r="H167" s="70">
        <f t="shared" si="100"/>
        <v>0</v>
      </c>
      <c r="I167" s="70">
        <f>+G167+H167</f>
        <v>0</v>
      </c>
      <c r="J167" s="70">
        <f t="shared" si="101"/>
        <v>0</v>
      </c>
      <c r="K167" s="70">
        <f t="shared" si="101"/>
        <v>0</v>
      </c>
      <c r="L167" s="70">
        <f>+J167+K167</f>
        <v>0</v>
      </c>
      <c r="M167" s="70">
        <f t="shared" si="102"/>
        <v>0</v>
      </c>
      <c r="N167" s="47">
        <f>+F167-M167</f>
        <v>540210000</v>
      </c>
      <c r="P167" s="192"/>
      <c r="S167" s="282"/>
      <c r="T167" s="282"/>
      <c r="U167" s="249"/>
    </row>
    <row r="168" spans="1:21" s="55" customFormat="1" ht="18" customHeight="1" x14ac:dyDescent="0.25">
      <c r="A168" s="50"/>
      <c r="B168" s="51"/>
      <c r="C168" s="50"/>
      <c r="D168" s="71" t="s">
        <v>263</v>
      </c>
      <c r="E168" s="51" t="s">
        <v>264</v>
      </c>
      <c r="F168" s="53">
        <f t="shared" si="100"/>
        <v>540210000</v>
      </c>
      <c r="G168" s="72">
        <f>+G169</f>
        <v>0</v>
      </c>
      <c r="H168" s="72">
        <f>+H169</f>
        <v>0</v>
      </c>
      <c r="I168" s="72">
        <f>+G168+H168</f>
        <v>0</v>
      </c>
      <c r="J168" s="72">
        <f t="shared" si="101"/>
        <v>0</v>
      </c>
      <c r="K168" s="72">
        <f t="shared" si="101"/>
        <v>0</v>
      </c>
      <c r="L168" s="72">
        <f>+J168+K168</f>
        <v>0</v>
      </c>
      <c r="M168" s="72">
        <f t="shared" si="102"/>
        <v>0</v>
      </c>
      <c r="N168" s="53">
        <f>+F168-M168</f>
        <v>540210000</v>
      </c>
      <c r="P168" s="195"/>
      <c r="S168" s="282"/>
      <c r="T168" s="282"/>
      <c r="U168" s="243"/>
    </row>
    <row r="169" spans="1:21" s="67" customFormat="1" ht="18" customHeight="1" x14ac:dyDescent="0.25">
      <c r="A169" s="83"/>
      <c r="B169" s="84"/>
      <c r="C169" s="56"/>
      <c r="D169" s="57" t="s">
        <v>64</v>
      </c>
      <c r="E169" s="57" t="s">
        <v>65</v>
      </c>
      <c r="F169" s="58">
        <f>SUM(F170:F172)</f>
        <v>540210000</v>
      </c>
      <c r="G169" s="59">
        <f>SUM(G170:G172)</f>
        <v>0</v>
      </c>
      <c r="H169" s="59">
        <f>SUM(H170:H172)</f>
        <v>0</v>
      </c>
      <c r="I169" s="59">
        <f>+G169+H169</f>
        <v>0</v>
      </c>
      <c r="J169" s="59">
        <f>SUM(J170:J172)</f>
        <v>0</v>
      </c>
      <c r="K169" s="59">
        <f>SUM(K170:K172)</f>
        <v>0</v>
      </c>
      <c r="L169" s="59">
        <f>+J169+K169</f>
        <v>0</v>
      </c>
      <c r="M169" s="59">
        <f t="shared" si="102"/>
        <v>0</v>
      </c>
      <c r="N169" s="58">
        <f>+F169-M169</f>
        <v>540210000</v>
      </c>
      <c r="P169" s="192"/>
      <c r="S169" s="282"/>
      <c r="T169" s="282"/>
      <c r="U169" s="249"/>
    </row>
    <row r="170" spans="1:21" s="86" customFormat="1" ht="18" customHeight="1" x14ac:dyDescent="0.25">
      <c r="A170" s="85"/>
      <c r="B170" s="66"/>
      <c r="C170" s="61"/>
      <c r="D170" s="62" t="s">
        <v>388</v>
      </c>
      <c r="E170" s="62" t="s">
        <v>389</v>
      </c>
      <c r="F170" s="63">
        <v>57760000</v>
      </c>
      <c r="G170" s="75"/>
      <c r="H170" s="75"/>
      <c r="I170" s="75">
        <f t="shared" ref="I170" si="103">+G170+H170</f>
        <v>0</v>
      </c>
      <c r="J170" s="75"/>
      <c r="K170" s="75"/>
      <c r="L170" s="75">
        <f t="shared" ref="L170:L172" si="104">+J170+K170</f>
        <v>0</v>
      </c>
      <c r="M170" s="75">
        <f>+I170+L170</f>
        <v>0</v>
      </c>
      <c r="N170" s="63">
        <f t="shared" ref="N170:N172" si="105">+F170-M170</f>
        <v>57760000</v>
      </c>
      <c r="P170" s="194"/>
      <c r="S170" s="281"/>
      <c r="T170" s="282"/>
      <c r="U170" s="250"/>
    </row>
    <row r="171" spans="1:21" s="86" customFormat="1" ht="18" customHeight="1" x14ac:dyDescent="0.25">
      <c r="A171" s="85"/>
      <c r="B171" s="66"/>
      <c r="C171" s="61"/>
      <c r="D171" s="62" t="s">
        <v>70</v>
      </c>
      <c r="E171" s="62" t="s">
        <v>33</v>
      </c>
      <c r="F171" s="63">
        <v>382450000</v>
      </c>
      <c r="G171" s="75"/>
      <c r="H171" s="75"/>
      <c r="I171" s="75">
        <f>+G171+H171</f>
        <v>0</v>
      </c>
      <c r="J171" s="75"/>
      <c r="K171" s="75"/>
      <c r="L171" s="75">
        <f t="shared" si="104"/>
        <v>0</v>
      </c>
      <c r="M171" s="75">
        <f t="shared" ref="M171:M172" si="106">+I171+L171</f>
        <v>0</v>
      </c>
      <c r="N171" s="63">
        <f t="shared" si="105"/>
        <v>382450000</v>
      </c>
      <c r="P171" s="194"/>
      <c r="S171" s="281"/>
      <c r="T171" s="282"/>
      <c r="U171" s="250"/>
    </row>
    <row r="172" spans="1:21" s="144" customFormat="1" ht="18" customHeight="1" x14ac:dyDescent="0.25">
      <c r="A172" s="142"/>
      <c r="B172" s="143"/>
      <c r="C172" s="123"/>
      <c r="D172" s="124" t="s">
        <v>104</v>
      </c>
      <c r="E172" s="124" t="s">
        <v>390</v>
      </c>
      <c r="F172" s="125">
        <v>100000000</v>
      </c>
      <c r="G172" s="140"/>
      <c r="H172" s="140"/>
      <c r="I172" s="140"/>
      <c r="J172" s="140">
        <v>0</v>
      </c>
      <c r="K172" s="140"/>
      <c r="L172" s="140">
        <f t="shared" si="104"/>
        <v>0</v>
      </c>
      <c r="M172" s="140">
        <f t="shared" si="106"/>
        <v>0</v>
      </c>
      <c r="N172" s="125">
        <f t="shared" si="105"/>
        <v>100000000</v>
      </c>
      <c r="P172" s="196"/>
      <c r="S172" s="286"/>
      <c r="T172" s="286"/>
      <c r="U172" s="252"/>
    </row>
    <row r="173" spans="1:21" s="121" customFormat="1" ht="18" customHeight="1" x14ac:dyDescent="0.25">
      <c r="A173" s="116">
        <v>8</v>
      </c>
      <c r="B173" s="117"/>
      <c r="C173" s="145" t="s">
        <v>105</v>
      </c>
      <c r="D173" s="118"/>
      <c r="E173" s="128" t="s">
        <v>106</v>
      </c>
      <c r="F173" s="119">
        <f t="shared" ref="F173:H180" si="107">+F174</f>
        <v>1600450000</v>
      </c>
      <c r="G173" s="120">
        <f t="shared" si="107"/>
        <v>0</v>
      </c>
      <c r="H173" s="120">
        <f>+H174</f>
        <v>0</v>
      </c>
      <c r="I173" s="120">
        <f>+G173+H173</f>
        <v>0</v>
      </c>
      <c r="J173" s="120">
        <f t="shared" ref="J173:K180" si="108">+J174</f>
        <v>0</v>
      </c>
      <c r="K173" s="120">
        <f t="shared" si="108"/>
        <v>0</v>
      </c>
      <c r="L173" s="120">
        <f>+J173+K173</f>
        <v>0</v>
      </c>
      <c r="M173" s="120">
        <f>+I173+L173</f>
        <v>0</v>
      </c>
      <c r="N173" s="119">
        <f>+F173-M173</f>
        <v>1600450000</v>
      </c>
      <c r="P173" s="190"/>
      <c r="R173" s="122"/>
      <c r="S173" s="283"/>
      <c r="T173" s="283"/>
      <c r="U173" s="246"/>
    </row>
    <row r="174" spans="1:21" s="107" customFormat="1" ht="18" customHeight="1" x14ac:dyDescent="0.25">
      <c r="A174" s="101"/>
      <c r="B174" s="102"/>
      <c r="C174" s="141"/>
      <c r="D174" s="103" t="s">
        <v>207</v>
      </c>
      <c r="E174" s="104" t="s">
        <v>262</v>
      </c>
      <c r="F174" s="105">
        <f>+F175</f>
        <v>1600450000</v>
      </c>
      <c r="G174" s="106">
        <f t="shared" si="107"/>
        <v>0</v>
      </c>
      <c r="H174" s="106">
        <f t="shared" si="107"/>
        <v>0</v>
      </c>
      <c r="I174" s="106">
        <f>+G174+H174</f>
        <v>0</v>
      </c>
      <c r="J174" s="106">
        <f t="shared" si="108"/>
        <v>0</v>
      </c>
      <c r="K174" s="106">
        <f t="shared" si="108"/>
        <v>0</v>
      </c>
      <c r="L174" s="106">
        <f>+J174+K174</f>
        <v>0</v>
      </c>
      <c r="M174" s="106">
        <f t="shared" ref="M174:M182" si="109">+I174+L174</f>
        <v>0</v>
      </c>
      <c r="N174" s="105">
        <f>+F174-M174</f>
        <v>1600450000</v>
      </c>
      <c r="P174" s="191"/>
      <c r="R174" s="108"/>
      <c r="S174" s="284"/>
      <c r="T174" s="284"/>
      <c r="U174" s="241"/>
    </row>
    <row r="175" spans="1:21" s="67" customFormat="1" ht="18" customHeight="1" x14ac:dyDescent="0.25">
      <c r="A175" s="81"/>
      <c r="B175" s="82"/>
      <c r="C175" s="44"/>
      <c r="D175" s="45" t="s">
        <v>63</v>
      </c>
      <c r="E175" s="45" t="s">
        <v>30</v>
      </c>
      <c r="F175" s="47">
        <f>+F180+F176</f>
        <v>1600450000</v>
      </c>
      <c r="G175" s="70">
        <f>+G180</f>
        <v>0</v>
      </c>
      <c r="H175" s="70">
        <f>+H180+H176</f>
        <v>0</v>
      </c>
      <c r="I175" s="70">
        <f>+G175+H175</f>
        <v>0</v>
      </c>
      <c r="J175" s="70">
        <f>+J180+J176</f>
        <v>0</v>
      </c>
      <c r="K175" s="70">
        <f>+K180+K176</f>
        <v>0</v>
      </c>
      <c r="L175" s="70">
        <f>+J175+K175</f>
        <v>0</v>
      </c>
      <c r="M175" s="70">
        <f t="shared" si="109"/>
        <v>0</v>
      </c>
      <c r="N175" s="47">
        <f>+F175-M175</f>
        <v>1600450000</v>
      </c>
      <c r="P175" s="192"/>
      <c r="S175" s="282"/>
      <c r="T175" s="282"/>
      <c r="U175" s="249"/>
    </row>
    <row r="176" spans="1:21" s="55" customFormat="1" ht="18" customHeight="1" x14ac:dyDescent="0.25">
      <c r="A176" s="50"/>
      <c r="B176" s="51"/>
      <c r="C176" s="50"/>
      <c r="D176" s="71" t="s">
        <v>263</v>
      </c>
      <c r="E176" s="51" t="s">
        <v>264</v>
      </c>
      <c r="F176" s="53">
        <f>+F177</f>
        <v>32500000</v>
      </c>
      <c r="G176" s="72">
        <f>+G177</f>
        <v>0</v>
      </c>
      <c r="H176" s="72">
        <f>+H177</f>
        <v>0</v>
      </c>
      <c r="I176" s="72">
        <f>+G176+H176</f>
        <v>0</v>
      </c>
      <c r="J176" s="72">
        <f t="shared" si="108"/>
        <v>0</v>
      </c>
      <c r="K176" s="72">
        <f t="shared" si="108"/>
        <v>0</v>
      </c>
      <c r="L176" s="72">
        <f>+J176+K176</f>
        <v>0</v>
      </c>
      <c r="M176" s="72">
        <f t="shared" si="109"/>
        <v>0</v>
      </c>
      <c r="N176" s="53">
        <f>+F176-M176</f>
        <v>32500000</v>
      </c>
      <c r="P176" s="195"/>
      <c r="S176" s="282"/>
      <c r="T176" s="282"/>
      <c r="U176" s="243"/>
    </row>
    <row r="177" spans="1:21" s="67" customFormat="1" ht="18" customHeight="1" x14ac:dyDescent="0.25">
      <c r="A177" s="83"/>
      <c r="B177" s="84"/>
      <c r="C177" s="56"/>
      <c r="D177" s="57" t="s">
        <v>64</v>
      </c>
      <c r="E177" s="57" t="s">
        <v>65</v>
      </c>
      <c r="F177" s="58">
        <f>+F179+F178</f>
        <v>32500000</v>
      </c>
      <c r="G177" s="59">
        <f>+G179</f>
        <v>0</v>
      </c>
      <c r="H177" s="59">
        <f>SUM(H179)</f>
        <v>0</v>
      </c>
      <c r="I177" s="59">
        <f>+G177+H177</f>
        <v>0</v>
      </c>
      <c r="J177" s="59">
        <f>+J179</f>
        <v>0</v>
      </c>
      <c r="K177" s="59">
        <f>+K179</f>
        <v>0</v>
      </c>
      <c r="L177" s="59">
        <f>+J177+K177</f>
        <v>0</v>
      </c>
      <c r="M177" s="59">
        <f t="shared" si="109"/>
        <v>0</v>
      </c>
      <c r="N177" s="58">
        <f>+F177-M177</f>
        <v>32500000</v>
      </c>
      <c r="P177" s="192"/>
      <c r="S177" s="282"/>
      <c r="T177" s="282"/>
      <c r="U177" s="249"/>
    </row>
    <row r="178" spans="1:21" s="86" customFormat="1" ht="18" customHeight="1" x14ac:dyDescent="0.25">
      <c r="A178" s="85"/>
      <c r="B178" s="66"/>
      <c r="C178" s="61"/>
      <c r="D178" s="62" t="s">
        <v>443</v>
      </c>
      <c r="E178" s="62" t="s">
        <v>444</v>
      </c>
      <c r="F178" s="63">
        <v>17500000</v>
      </c>
      <c r="G178" s="75"/>
      <c r="H178" s="75"/>
      <c r="I178" s="75">
        <f t="shared" ref="I178" si="110">+G178+H178</f>
        <v>0</v>
      </c>
      <c r="J178" s="75"/>
      <c r="K178" s="75"/>
      <c r="L178" s="75">
        <f t="shared" ref="L178" si="111">+J178+K178</f>
        <v>0</v>
      </c>
      <c r="M178" s="75">
        <f t="shared" ref="M178" si="112">+I178+L178</f>
        <v>0</v>
      </c>
      <c r="N178" s="63">
        <f t="shared" ref="N178" si="113">+F178-M178</f>
        <v>17500000</v>
      </c>
      <c r="P178" s="194"/>
      <c r="S178" s="282"/>
      <c r="T178" s="282"/>
      <c r="U178" s="250"/>
    </row>
    <row r="179" spans="1:21" s="86" customFormat="1" ht="18" customHeight="1" x14ac:dyDescent="0.25">
      <c r="A179" s="85"/>
      <c r="B179" s="66"/>
      <c r="C179" s="61"/>
      <c r="D179" s="62" t="s">
        <v>447</v>
      </c>
      <c r="E179" s="62" t="s">
        <v>448</v>
      </c>
      <c r="F179" s="63">
        <v>15000000</v>
      </c>
      <c r="G179" s="75"/>
      <c r="H179" s="75"/>
      <c r="I179" s="75">
        <f t="shared" ref="I179" si="114">+G179+H179</f>
        <v>0</v>
      </c>
      <c r="J179" s="75"/>
      <c r="K179" s="75"/>
      <c r="L179" s="75">
        <f t="shared" ref="L179" si="115">+J179+K179</f>
        <v>0</v>
      </c>
      <c r="M179" s="75">
        <f t="shared" si="109"/>
        <v>0</v>
      </c>
      <c r="N179" s="63">
        <f t="shared" ref="N179" si="116">+F179-M179</f>
        <v>15000000</v>
      </c>
      <c r="P179" s="194"/>
      <c r="S179" s="282"/>
      <c r="T179" s="282"/>
      <c r="U179" s="250"/>
    </row>
    <row r="180" spans="1:21" s="55" customFormat="1" ht="18" customHeight="1" x14ac:dyDescent="0.25">
      <c r="A180" s="50"/>
      <c r="B180" s="51"/>
      <c r="C180" s="50"/>
      <c r="D180" s="71" t="s">
        <v>265</v>
      </c>
      <c r="E180" s="51" t="s">
        <v>266</v>
      </c>
      <c r="F180" s="53">
        <f t="shared" si="107"/>
        <v>1567950000</v>
      </c>
      <c r="G180" s="72">
        <f>+G181</f>
        <v>0</v>
      </c>
      <c r="H180" s="72">
        <f>+H181</f>
        <v>0</v>
      </c>
      <c r="I180" s="72">
        <f>+G180+H180</f>
        <v>0</v>
      </c>
      <c r="J180" s="72">
        <f t="shared" si="108"/>
        <v>0</v>
      </c>
      <c r="K180" s="72">
        <f t="shared" si="108"/>
        <v>0</v>
      </c>
      <c r="L180" s="72">
        <f>+J180+K180</f>
        <v>0</v>
      </c>
      <c r="M180" s="72">
        <f t="shared" si="109"/>
        <v>0</v>
      </c>
      <c r="N180" s="53">
        <f>+F180-M180</f>
        <v>1567950000</v>
      </c>
      <c r="P180" s="195"/>
      <c r="S180" s="282"/>
      <c r="T180" s="282"/>
      <c r="U180" s="243"/>
    </row>
    <row r="181" spans="1:21" s="67" customFormat="1" ht="18" customHeight="1" x14ac:dyDescent="0.25">
      <c r="A181" s="83"/>
      <c r="B181" s="84"/>
      <c r="C181" s="56"/>
      <c r="D181" s="57" t="s">
        <v>71</v>
      </c>
      <c r="E181" s="57" t="s">
        <v>72</v>
      </c>
      <c r="F181" s="58">
        <f>SUM(F182:F183)</f>
        <v>1567950000</v>
      </c>
      <c r="G181" s="59">
        <f>SUM(G182:G183)</f>
        <v>0</v>
      </c>
      <c r="H181" s="59">
        <f>SUM(H182:H183)</f>
        <v>0</v>
      </c>
      <c r="I181" s="59">
        <f>+G181+H181</f>
        <v>0</v>
      </c>
      <c r="J181" s="59">
        <f>SUM(J182:J183)</f>
        <v>0</v>
      </c>
      <c r="K181" s="59">
        <f>SUM(K182:K183)</f>
        <v>0</v>
      </c>
      <c r="L181" s="59">
        <f>+J181+K181</f>
        <v>0</v>
      </c>
      <c r="M181" s="59">
        <f t="shared" si="109"/>
        <v>0</v>
      </c>
      <c r="N181" s="58">
        <f>+F181-M181</f>
        <v>1567950000</v>
      </c>
      <c r="P181" s="192"/>
      <c r="S181" s="282"/>
      <c r="T181" s="282"/>
      <c r="U181" s="249"/>
    </row>
    <row r="182" spans="1:21" s="86" customFormat="1" ht="18" customHeight="1" x14ac:dyDescent="0.25">
      <c r="A182" s="85"/>
      <c r="B182" s="66"/>
      <c r="C182" s="61"/>
      <c r="D182" s="62" t="s">
        <v>73</v>
      </c>
      <c r="E182" s="62" t="s">
        <v>74</v>
      </c>
      <c r="F182" s="63">
        <v>1501270000</v>
      </c>
      <c r="G182" s="75"/>
      <c r="H182" s="75"/>
      <c r="I182" s="75">
        <f t="shared" ref="I182" si="117">+G182+H182</f>
        <v>0</v>
      </c>
      <c r="J182" s="75"/>
      <c r="K182" s="75"/>
      <c r="L182" s="75">
        <f t="shared" ref="L182:L193" si="118">+J182+K182</f>
        <v>0</v>
      </c>
      <c r="M182" s="75">
        <f t="shared" si="109"/>
        <v>0</v>
      </c>
      <c r="N182" s="63">
        <f t="shared" ref="N182:N183" si="119">+F182-M182</f>
        <v>1501270000</v>
      </c>
      <c r="P182" s="194"/>
      <c r="S182" s="281"/>
      <c r="T182" s="281"/>
      <c r="U182" s="250"/>
    </row>
    <row r="183" spans="1:21" s="144" customFormat="1" ht="18" customHeight="1" x14ac:dyDescent="0.25">
      <c r="A183" s="142"/>
      <c r="B183" s="143"/>
      <c r="C183" s="123"/>
      <c r="D183" s="124" t="s">
        <v>88</v>
      </c>
      <c r="E183" s="124" t="s">
        <v>89</v>
      </c>
      <c r="F183" s="125">
        <v>66680000</v>
      </c>
      <c r="G183" s="140"/>
      <c r="H183" s="140"/>
      <c r="I183" s="140"/>
      <c r="J183" s="140"/>
      <c r="K183" s="140"/>
      <c r="L183" s="140">
        <f t="shared" si="118"/>
        <v>0</v>
      </c>
      <c r="M183" s="140">
        <f>+I183+L183</f>
        <v>0</v>
      </c>
      <c r="N183" s="125">
        <f t="shared" si="119"/>
        <v>66680000</v>
      </c>
      <c r="P183" s="196"/>
      <c r="S183" s="285"/>
      <c r="T183" s="286"/>
      <c r="U183" s="252"/>
    </row>
    <row r="184" spans="1:21" s="121" customFormat="1" ht="18" customHeight="1" x14ac:dyDescent="0.25">
      <c r="A184" s="116">
        <v>9</v>
      </c>
      <c r="B184" s="117"/>
      <c r="C184" s="145" t="s">
        <v>109</v>
      </c>
      <c r="D184" s="118"/>
      <c r="E184" s="128" t="s">
        <v>110</v>
      </c>
      <c r="F184" s="119">
        <f>+F185+F201</f>
        <v>200844000</v>
      </c>
      <c r="G184" s="120">
        <f>+G185+G201</f>
        <v>0</v>
      </c>
      <c r="H184" s="120">
        <f>+H185+H201</f>
        <v>0</v>
      </c>
      <c r="I184" s="120">
        <f>+G184+H184</f>
        <v>0</v>
      </c>
      <c r="J184" s="120">
        <f>+J185+J201</f>
        <v>0</v>
      </c>
      <c r="K184" s="120">
        <f>+K185+K201</f>
        <v>6240000</v>
      </c>
      <c r="L184" s="120">
        <f t="shared" si="118"/>
        <v>6240000</v>
      </c>
      <c r="M184" s="120">
        <f>+I184+L184</f>
        <v>6240000</v>
      </c>
      <c r="N184" s="119">
        <f>+F184-M184</f>
        <v>194604000</v>
      </c>
      <c r="P184" s="190"/>
      <c r="R184" s="122"/>
      <c r="S184" s="283"/>
      <c r="T184" s="283"/>
      <c r="U184" s="246"/>
    </row>
    <row r="185" spans="1:21" s="107" customFormat="1" ht="18" customHeight="1" x14ac:dyDescent="0.25">
      <c r="A185" s="101"/>
      <c r="B185" s="102"/>
      <c r="C185" s="141"/>
      <c r="D185" s="103" t="s">
        <v>207</v>
      </c>
      <c r="E185" s="104" t="s">
        <v>262</v>
      </c>
      <c r="F185" s="105">
        <f>+F186</f>
        <v>174844000</v>
      </c>
      <c r="G185" s="106">
        <f>+G186</f>
        <v>0</v>
      </c>
      <c r="H185" s="106">
        <f>+H186</f>
        <v>0</v>
      </c>
      <c r="I185" s="106">
        <f>+G185+H185</f>
        <v>0</v>
      </c>
      <c r="J185" s="106">
        <f>+J186</f>
        <v>0</v>
      </c>
      <c r="K185" s="106">
        <f>+K186</f>
        <v>6240000</v>
      </c>
      <c r="L185" s="106">
        <f t="shared" si="118"/>
        <v>6240000</v>
      </c>
      <c r="M185" s="106">
        <f>+I185+L185</f>
        <v>6240000</v>
      </c>
      <c r="N185" s="105">
        <f>+F185-M185</f>
        <v>168604000</v>
      </c>
      <c r="P185" s="191"/>
      <c r="R185" s="108"/>
      <c r="S185" s="284"/>
      <c r="T185" s="284"/>
      <c r="U185" s="241"/>
    </row>
    <row r="186" spans="1:21" s="67" customFormat="1" ht="18" customHeight="1" x14ac:dyDescent="0.25">
      <c r="A186" s="81"/>
      <c r="B186" s="82"/>
      <c r="C186" s="44"/>
      <c r="D186" s="45" t="s">
        <v>63</v>
      </c>
      <c r="E186" s="45" t="s">
        <v>30</v>
      </c>
      <c r="F186" s="47">
        <f>+F187+F194+F198</f>
        <v>174844000</v>
      </c>
      <c r="G186" s="70">
        <f>+G187+G194</f>
        <v>0</v>
      </c>
      <c r="H186" s="70">
        <f>+H187+H194</f>
        <v>0</v>
      </c>
      <c r="I186" s="70">
        <f>+G186+H186</f>
        <v>0</v>
      </c>
      <c r="J186" s="70">
        <f>+J187+J194</f>
        <v>0</v>
      </c>
      <c r="K186" s="70">
        <f>+K187+K194</f>
        <v>6240000</v>
      </c>
      <c r="L186" s="70">
        <f t="shared" si="118"/>
        <v>6240000</v>
      </c>
      <c r="M186" s="70">
        <f t="shared" ref="M186:M195" si="120">+I186+L186</f>
        <v>6240000</v>
      </c>
      <c r="N186" s="47">
        <f>+F186-M186</f>
        <v>168604000</v>
      </c>
      <c r="P186" s="192"/>
      <c r="S186" s="282"/>
      <c r="T186" s="282"/>
      <c r="U186" s="249"/>
    </row>
    <row r="187" spans="1:21" s="55" customFormat="1" ht="18" customHeight="1" x14ac:dyDescent="0.25">
      <c r="A187" s="50"/>
      <c r="B187" s="51"/>
      <c r="C187" s="50"/>
      <c r="D187" s="71" t="s">
        <v>263</v>
      </c>
      <c r="E187" s="51" t="s">
        <v>264</v>
      </c>
      <c r="F187" s="53">
        <f t="shared" ref="F187" si="121">+F188</f>
        <v>44044000</v>
      </c>
      <c r="G187" s="72">
        <f>+G188</f>
        <v>0</v>
      </c>
      <c r="H187" s="72">
        <f>+H188</f>
        <v>0</v>
      </c>
      <c r="I187" s="72">
        <f>+G187+H187</f>
        <v>0</v>
      </c>
      <c r="J187" s="72">
        <f>+J188</f>
        <v>0</v>
      </c>
      <c r="K187" s="72">
        <f>+K188</f>
        <v>0</v>
      </c>
      <c r="L187" s="72">
        <f t="shared" si="118"/>
        <v>0</v>
      </c>
      <c r="M187" s="72">
        <f t="shared" si="120"/>
        <v>0</v>
      </c>
      <c r="N187" s="53">
        <f>+F187-M187</f>
        <v>44044000</v>
      </c>
      <c r="P187" s="195"/>
      <c r="S187" s="282"/>
      <c r="T187" s="282"/>
      <c r="U187" s="243"/>
    </row>
    <row r="188" spans="1:21" s="67" customFormat="1" ht="18" customHeight="1" x14ac:dyDescent="0.25">
      <c r="A188" s="83"/>
      <c r="B188" s="84"/>
      <c r="C188" s="56"/>
      <c r="D188" s="57" t="s">
        <v>64</v>
      </c>
      <c r="E188" s="57" t="s">
        <v>65</v>
      </c>
      <c r="F188" s="58">
        <f>SUM(F189:F193)</f>
        <v>44044000</v>
      </c>
      <c r="G188" s="59">
        <f>SUM(G189:G193)</f>
        <v>0</v>
      </c>
      <c r="H188" s="59">
        <f>SUM(H189:H193)</f>
        <v>0</v>
      </c>
      <c r="I188" s="59">
        <f>+G188+H188</f>
        <v>0</v>
      </c>
      <c r="J188" s="59">
        <f>SUM(J189:J193)</f>
        <v>0</v>
      </c>
      <c r="K188" s="59">
        <f>SUM(K189:K193)</f>
        <v>0</v>
      </c>
      <c r="L188" s="59">
        <f t="shared" si="118"/>
        <v>0</v>
      </c>
      <c r="M188" s="59">
        <f t="shared" si="120"/>
        <v>0</v>
      </c>
      <c r="N188" s="58">
        <f>+F188-M188</f>
        <v>44044000</v>
      </c>
      <c r="P188" s="192"/>
      <c r="S188" s="282"/>
      <c r="T188" s="282"/>
      <c r="U188" s="249"/>
    </row>
    <row r="189" spans="1:21" s="86" customFormat="1" ht="18" customHeight="1" x14ac:dyDescent="0.25">
      <c r="A189" s="85"/>
      <c r="B189" s="66"/>
      <c r="C189" s="61"/>
      <c r="D189" s="62" t="s">
        <v>66</v>
      </c>
      <c r="E189" s="62" t="s">
        <v>67</v>
      </c>
      <c r="F189" s="63">
        <v>24037500</v>
      </c>
      <c r="G189" s="75"/>
      <c r="H189" s="75"/>
      <c r="I189" s="75">
        <f t="shared" ref="I189" si="122">+G189+H189</f>
        <v>0</v>
      </c>
      <c r="J189" s="75"/>
      <c r="K189" s="75"/>
      <c r="L189" s="75">
        <f t="shared" si="118"/>
        <v>0</v>
      </c>
      <c r="M189" s="140">
        <f t="shared" si="120"/>
        <v>0</v>
      </c>
      <c r="N189" s="63">
        <f t="shared" ref="N189:N193" si="123">+F189-M189</f>
        <v>24037500</v>
      </c>
      <c r="P189" s="194"/>
      <c r="S189" s="282"/>
      <c r="T189" s="282"/>
      <c r="U189" s="250"/>
    </row>
    <row r="190" spans="1:21" s="86" customFormat="1" ht="18" customHeight="1" x14ac:dyDescent="0.25">
      <c r="A190" s="85"/>
      <c r="B190" s="66"/>
      <c r="C190" s="61"/>
      <c r="D190" s="62" t="s">
        <v>337</v>
      </c>
      <c r="E190" s="62" t="s">
        <v>338</v>
      </c>
      <c r="F190" s="63">
        <v>12104000</v>
      </c>
      <c r="G190" s="75"/>
      <c r="H190" s="75"/>
      <c r="I190" s="75"/>
      <c r="J190" s="75"/>
      <c r="K190" s="75"/>
      <c r="L190" s="75">
        <f t="shared" si="118"/>
        <v>0</v>
      </c>
      <c r="M190" s="140">
        <f t="shared" si="120"/>
        <v>0</v>
      </c>
      <c r="N190" s="63">
        <f t="shared" si="123"/>
        <v>12104000</v>
      </c>
      <c r="P190" s="194"/>
      <c r="S190" s="282"/>
      <c r="T190" s="282"/>
      <c r="U190" s="250"/>
    </row>
    <row r="191" spans="1:21" s="86" customFormat="1" ht="18" customHeight="1" x14ac:dyDescent="0.25">
      <c r="A191" s="85"/>
      <c r="B191" s="66"/>
      <c r="C191" s="61"/>
      <c r="D191" s="62" t="s">
        <v>367</v>
      </c>
      <c r="E191" s="62" t="s">
        <v>368</v>
      </c>
      <c r="F191" s="63">
        <v>3142500</v>
      </c>
      <c r="G191" s="75"/>
      <c r="H191" s="75"/>
      <c r="I191" s="75"/>
      <c r="J191" s="75"/>
      <c r="K191" s="75"/>
      <c r="L191" s="75">
        <f t="shared" si="118"/>
        <v>0</v>
      </c>
      <c r="M191" s="140">
        <f t="shared" si="120"/>
        <v>0</v>
      </c>
      <c r="N191" s="63">
        <f t="shared" si="123"/>
        <v>3142500</v>
      </c>
      <c r="P191" s="194"/>
      <c r="S191" s="282"/>
      <c r="T191" s="282"/>
      <c r="U191" s="250"/>
    </row>
    <row r="192" spans="1:21" s="86" customFormat="1" ht="18" customHeight="1" x14ac:dyDescent="0.25">
      <c r="A192" s="85"/>
      <c r="B192" s="66"/>
      <c r="C192" s="61"/>
      <c r="D192" s="62" t="s">
        <v>373</v>
      </c>
      <c r="E192" s="62" t="s">
        <v>392</v>
      </c>
      <c r="F192" s="63">
        <v>560000</v>
      </c>
      <c r="G192" s="75"/>
      <c r="H192" s="75"/>
      <c r="I192" s="75"/>
      <c r="J192" s="75"/>
      <c r="K192" s="75"/>
      <c r="L192" s="75">
        <f t="shared" si="118"/>
        <v>0</v>
      </c>
      <c r="M192" s="140">
        <f t="shared" si="120"/>
        <v>0</v>
      </c>
      <c r="N192" s="63">
        <f t="shared" si="123"/>
        <v>560000</v>
      </c>
      <c r="P192" s="194"/>
      <c r="S192" s="282"/>
      <c r="T192" s="282"/>
      <c r="U192" s="250"/>
    </row>
    <row r="193" spans="1:21" s="86" customFormat="1" ht="18" customHeight="1" x14ac:dyDescent="0.25">
      <c r="A193" s="85"/>
      <c r="B193" s="66"/>
      <c r="C193" s="61"/>
      <c r="D193" s="62" t="s">
        <v>70</v>
      </c>
      <c r="E193" s="62" t="s">
        <v>33</v>
      </c>
      <c r="F193" s="63">
        <v>4200000</v>
      </c>
      <c r="G193" s="75"/>
      <c r="H193" s="75"/>
      <c r="I193" s="75"/>
      <c r="J193" s="75"/>
      <c r="K193" s="75"/>
      <c r="L193" s="75">
        <f t="shared" si="118"/>
        <v>0</v>
      </c>
      <c r="M193" s="140">
        <f t="shared" si="120"/>
        <v>0</v>
      </c>
      <c r="N193" s="63">
        <f t="shared" si="123"/>
        <v>4200000</v>
      </c>
      <c r="P193" s="194"/>
      <c r="S193" s="282"/>
      <c r="T193" s="282"/>
      <c r="U193" s="250"/>
    </row>
    <row r="194" spans="1:21" s="55" customFormat="1" ht="18" customHeight="1" x14ac:dyDescent="0.25">
      <c r="A194" s="50"/>
      <c r="B194" s="51"/>
      <c r="C194" s="50"/>
      <c r="D194" s="71" t="s">
        <v>271</v>
      </c>
      <c r="E194" s="51" t="s">
        <v>272</v>
      </c>
      <c r="F194" s="53">
        <f t="shared" ref="F194" si="124">+F195</f>
        <v>78300000</v>
      </c>
      <c r="G194" s="72">
        <f>+G195</f>
        <v>0</v>
      </c>
      <c r="H194" s="72">
        <f>+H195</f>
        <v>0</v>
      </c>
      <c r="I194" s="72">
        <f>+G194+H194</f>
        <v>0</v>
      </c>
      <c r="J194" s="72">
        <f>+J195</f>
        <v>0</v>
      </c>
      <c r="K194" s="72">
        <f>+K195</f>
        <v>6240000</v>
      </c>
      <c r="L194" s="72">
        <f>+J194+K194</f>
        <v>6240000</v>
      </c>
      <c r="M194" s="72">
        <f t="shared" si="120"/>
        <v>6240000</v>
      </c>
      <c r="N194" s="53">
        <f>+F194-M194</f>
        <v>72060000</v>
      </c>
      <c r="P194" s="195"/>
      <c r="S194" s="282"/>
      <c r="T194" s="282"/>
      <c r="U194" s="243"/>
    </row>
    <row r="195" spans="1:21" s="67" customFormat="1" ht="18" customHeight="1" x14ac:dyDescent="0.25">
      <c r="A195" s="83"/>
      <c r="B195" s="84"/>
      <c r="C195" s="56"/>
      <c r="D195" s="57" t="s">
        <v>81</v>
      </c>
      <c r="E195" s="57" t="s">
        <v>31</v>
      </c>
      <c r="F195" s="58">
        <f>SUM(F196:F197)</f>
        <v>78300000</v>
      </c>
      <c r="G195" s="59">
        <f>SUM(G197:G197)</f>
        <v>0</v>
      </c>
      <c r="H195" s="59">
        <f>+H197</f>
        <v>0</v>
      </c>
      <c r="I195" s="59">
        <f>+G195+H195</f>
        <v>0</v>
      </c>
      <c r="J195" s="59">
        <f>SUM(J197:J197)</f>
        <v>0</v>
      </c>
      <c r="K195" s="59">
        <f>+K197</f>
        <v>6240000</v>
      </c>
      <c r="L195" s="59">
        <f>+J195+K195</f>
        <v>6240000</v>
      </c>
      <c r="M195" s="59">
        <f t="shared" si="120"/>
        <v>6240000</v>
      </c>
      <c r="N195" s="58">
        <f>+F195-M195</f>
        <v>72060000</v>
      </c>
      <c r="P195" s="192"/>
      <c r="S195" s="282"/>
      <c r="T195" s="282"/>
      <c r="U195" s="249"/>
    </row>
    <row r="196" spans="1:21" s="86" customFormat="1" ht="18" customHeight="1" x14ac:dyDescent="0.25">
      <c r="A196" s="85"/>
      <c r="B196" s="66"/>
      <c r="C196" s="61"/>
      <c r="D196" s="62" t="s">
        <v>451</v>
      </c>
      <c r="E196" s="62" t="s">
        <v>452</v>
      </c>
      <c r="F196" s="63">
        <v>1500000</v>
      </c>
      <c r="G196" s="75"/>
      <c r="H196" s="75"/>
      <c r="I196" s="75">
        <f t="shared" ref="I196" si="125">+G196+H196</f>
        <v>0</v>
      </c>
      <c r="J196" s="75"/>
      <c r="K196" s="75"/>
      <c r="L196" s="75">
        <f t="shared" ref="L196" si="126">+J196+K196</f>
        <v>0</v>
      </c>
      <c r="M196" s="75">
        <f t="shared" ref="M196" si="127">+I196+L196</f>
        <v>0</v>
      </c>
      <c r="N196" s="63">
        <f t="shared" ref="N196" si="128">+F196-M196</f>
        <v>1500000</v>
      </c>
      <c r="P196" s="194"/>
      <c r="S196" s="282"/>
      <c r="T196" s="282"/>
      <c r="U196" s="250"/>
    </row>
    <row r="197" spans="1:21" s="86" customFormat="1" ht="18" customHeight="1" x14ac:dyDescent="0.25">
      <c r="A197" s="85"/>
      <c r="B197" s="66"/>
      <c r="C197" s="61"/>
      <c r="D197" s="62" t="s">
        <v>82</v>
      </c>
      <c r="E197" s="62" t="s">
        <v>83</v>
      </c>
      <c r="F197" s="63">
        <v>76800000</v>
      </c>
      <c r="G197" s="75"/>
      <c r="H197" s="75"/>
      <c r="I197" s="75">
        <f>+G197+H197</f>
        <v>0</v>
      </c>
      <c r="J197" s="75"/>
      <c r="K197" s="75">
        <v>6240000</v>
      </c>
      <c r="L197" s="75">
        <f>+J197+K197</f>
        <v>6240000</v>
      </c>
      <c r="M197" s="75">
        <f>+I197+L197</f>
        <v>6240000</v>
      </c>
      <c r="N197" s="63">
        <f t="shared" ref="N197" si="129">+F197-M197</f>
        <v>70560000</v>
      </c>
      <c r="P197" s="194"/>
      <c r="S197" s="281"/>
      <c r="T197" s="282"/>
      <c r="U197" s="250"/>
    </row>
    <row r="198" spans="1:21" s="55" customFormat="1" ht="18" customHeight="1" x14ac:dyDescent="0.25">
      <c r="A198" s="50"/>
      <c r="B198" s="51"/>
      <c r="C198" s="50"/>
      <c r="D198" s="71" t="s">
        <v>275</v>
      </c>
      <c r="E198" s="51" t="s">
        <v>276</v>
      </c>
      <c r="F198" s="53">
        <f>+F199</f>
        <v>52500000</v>
      </c>
      <c r="G198" s="72">
        <f>+G199</f>
        <v>0</v>
      </c>
      <c r="H198" s="72">
        <f>+H199</f>
        <v>0</v>
      </c>
      <c r="I198" s="72">
        <f>+G198+H198</f>
        <v>0</v>
      </c>
      <c r="J198" s="72">
        <f>+J199</f>
        <v>0</v>
      </c>
      <c r="K198" s="72">
        <f>+K199</f>
        <v>0</v>
      </c>
      <c r="L198" s="72">
        <f>+J198+K198</f>
        <v>0</v>
      </c>
      <c r="M198" s="72">
        <f t="shared" ref="M198:M200" si="130">+I198+L198</f>
        <v>0</v>
      </c>
      <c r="N198" s="53">
        <f>+F198-M198</f>
        <v>52500000</v>
      </c>
      <c r="P198" s="195"/>
      <c r="S198" s="282"/>
      <c r="T198" s="282"/>
      <c r="U198" s="243"/>
    </row>
    <row r="199" spans="1:21" s="67" customFormat="1" ht="18" customHeight="1" x14ac:dyDescent="0.25">
      <c r="A199" s="83"/>
      <c r="B199" s="84"/>
      <c r="C199" s="56"/>
      <c r="D199" s="57" t="s">
        <v>150</v>
      </c>
      <c r="E199" s="57" t="s">
        <v>32</v>
      </c>
      <c r="F199" s="58">
        <f>+F200</f>
        <v>52500000</v>
      </c>
      <c r="G199" s="59">
        <f>SUM(G201:G201)</f>
        <v>0</v>
      </c>
      <c r="H199" s="59">
        <f>+H201</f>
        <v>0</v>
      </c>
      <c r="I199" s="59">
        <f>+G199+H199</f>
        <v>0</v>
      </c>
      <c r="J199" s="59">
        <f>SUM(J201:J201)</f>
        <v>0</v>
      </c>
      <c r="K199" s="59">
        <f>+K201</f>
        <v>0</v>
      </c>
      <c r="L199" s="59">
        <f>+J199+K199</f>
        <v>0</v>
      </c>
      <c r="M199" s="59">
        <f t="shared" si="130"/>
        <v>0</v>
      </c>
      <c r="N199" s="58">
        <f>+F199-M199</f>
        <v>52500000</v>
      </c>
      <c r="P199" s="192"/>
      <c r="S199" s="282"/>
      <c r="T199" s="282"/>
      <c r="U199" s="249"/>
    </row>
    <row r="200" spans="1:21" s="86" customFormat="1" ht="36" customHeight="1" x14ac:dyDescent="0.25">
      <c r="A200" s="85"/>
      <c r="B200" s="66"/>
      <c r="C200" s="61"/>
      <c r="D200" s="62" t="s">
        <v>462</v>
      </c>
      <c r="E200" s="76" t="s">
        <v>463</v>
      </c>
      <c r="F200" s="63">
        <v>52500000</v>
      </c>
      <c r="G200" s="75"/>
      <c r="H200" s="75"/>
      <c r="I200" s="75">
        <f t="shared" ref="I200" si="131">+G200+H200</f>
        <v>0</v>
      </c>
      <c r="J200" s="75"/>
      <c r="K200" s="75"/>
      <c r="L200" s="75">
        <f t="shared" ref="L200" si="132">+J200+K200</f>
        <v>0</v>
      </c>
      <c r="M200" s="75">
        <f t="shared" si="130"/>
        <v>0</v>
      </c>
      <c r="N200" s="63">
        <f t="shared" ref="N200" si="133">+F200-M200</f>
        <v>52500000</v>
      </c>
      <c r="P200" s="194"/>
      <c r="S200" s="282"/>
      <c r="T200" s="282"/>
      <c r="U200" s="250"/>
    </row>
    <row r="201" spans="1:21" s="42" customFormat="1" ht="18" customHeight="1" x14ac:dyDescent="0.25">
      <c r="A201" s="36"/>
      <c r="B201" s="37"/>
      <c r="C201" s="80"/>
      <c r="D201" s="38" t="s">
        <v>267</v>
      </c>
      <c r="E201" s="39" t="s">
        <v>268</v>
      </c>
      <c r="F201" s="40">
        <f t="shared" ref="F201:H203" si="134">+F202</f>
        <v>26000000</v>
      </c>
      <c r="G201" s="41">
        <f t="shared" si="134"/>
        <v>0</v>
      </c>
      <c r="H201" s="41">
        <f t="shared" si="134"/>
        <v>0</v>
      </c>
      <c r="I201" s="41">
        <f>+G201+H201</f>
        <v>0</v>
      </c>
      <c r="J201" s="41">
        <f t="shared" ref="J201:K204" si="135">+J202</f>
        <v>0</v>
      </c>
      <c r="K201" s="41">
        <f t="shared" si="135"/>
        <v>0</v>
      </c>
      <c r="L201" s="41">
        <f>+J201+K201</f>
        <v>0</v>
      </c>
      <c r="M201" s="41">
        <f t="shared" ref="M201:M205" si="136">+I201+L201</f>
        <v>0</v>
      </c>
      <c r="N201" s="40">
        <f>+F201-M201</f>
        <v>26000000</v>
      </c>
      <c r="P201" s="199"/>
      <c r="R201" s="43"/>
      <c r="S201" s="282"/>
      <c r="T201" s="282"/>
      <c r="U201" s="251"/>
    </row>
    <row r="202" spans="1:21" s="67" customFormat="1" ht="18" customHeight="1" x14ac:dyDescent="0.25">
      <c r="A202" s="81"/>
      <c r="B202" s="82"/>
      <c r="C202" s="44"/>
      <c r="D202" s="45" t="s">
        <v>78</v>
      </c>
      <c r="E202" s="45" t="s">
        <v>75</v>
      </c>
      <c r="F202" s="47">
        <f t="shared" si="134"/>
        <v>26000000</v>
      </c>
      <c r="G202" s="70">
        <f t="shared" si="134"/>
        <v>0</v>
      </c>
      <c r="H202" s="70">
        <f t="shared" si="134"/>
        <v>0</v>
      </c>
      <c r="I202" s="70">
        <f t="shared" ref="I202:I205" si="137">+G202+H202</f>
        <v>0</v>
      </c>
      <c r="J202" s="70">
        <f t="shared" si="135"/>
        <v>0</v>
      </c>
      <c r="K202" s="70">
        <f t="shared" si="135"/>
        <v>0</v>
      </c>
      <c r="L202" s="70">
        <f t="shared" ref="L202:L203" si="138">+J202+K202</f>
        <v>0</v>
      </c>
      <c r="M202" s="70">
        <f t="shared" si="136"/>
        <v>0</v>
      </c>
      <c r="N202" s="47">
        <f>+F202-M202</f>
        <v>26000000</v>
      </c>
      <c r="P202" s="192"/>
      <c r="S202" s="282"/>
      <c r="T202" s="282"/>
      <c r="U202" s="249"/>
    </row>
    <row r="203" spans="1:21" s="55" customFormat="1" ht="18" customHeight="1" x14ac:dyDescent="0.25">
      <c r="A203" s="50"/>
      <c r="B203" s="51"/>
      <c r="C203" s="50"/>
      <c r="D203" s="71" t="s">
        <v>269</v>
      </c>
      <c r="E203" s="51" t="s">
        <v>270</v>
      </c>
      <c r="F203" s="53">
        <f t="shared" si="134"/>
        <v>26000000</v>
      </c>
      <c r="G203" s="72">
        <f>+G204</f>
        <v>0</v>
      </c>
      <c r="H203" s="72">
        <f>+H204</f>
        <v>0</v>
      </c>
      <c r="I203" s="72">
        <f t="shared" si="137"/>
        <v>0</v>
      </c>
      <c r="J203" s="72">
        <f t="shared" si="135"/>
        <v>0</v>
      </c>
      <c r="K203" s="72">
        <f t="shared" si="135"/>
        <v>0</v>
      </c>
      <c r="L203" s="72">
        <f t="shared" si="138"/>
        <v>0</v>
      </c>
      <c r="M203" s="72">
        <f t="shared" si="136"/>
        <v>0</v>
      </c>
      <c r="N203" s="53">
        <f>+F203-M203</f>
        <v>26000000</v>
      </c>
      <c r="P203" s="195"/>
      <c r="S203" s="282"/>
      <c r="T203" s="282"/>
      <c r="U203" s="243"/>
    </row>
    <row r="204" spans="1:21" s="67" customFormat="1" ht="18" customHeight="1" x14ac:dyDescent="0.25">
      <c r="A204" s="83"/>
      <c r="B204" s="84"/>
      <c r="C204" s="56"/>
      <c r="D204" s="57" t="s">
        <v>76</v>
      </c>
      <c r="E204" s="57" t="s">
        <v>77</v>
      </c>
      <c r="F204" s="58">
        <f>SUM(F205)</f>
        <v>26000000</v>
      </c>
      <c r="G204" s="59">
        <f>+G205</f>
        <v>0</v>
      </c>
      <c r="H204" s="59">
        <f>+H205</f>
        <v>0</v>
      </c>
      <c r="I204" s="59">
        <f>+G204+H204</f>
        <v>0</v>
      </c>
      <c r="J204" s="59">
        <f t="shared" si="135"/>
        <v>0</v>
      </c>
      <c r="K204" s="59">
        <f t="shared" si="135"/>
        <v>0</v>
      </c>
      <c r="L204" s="59">
        <f>+J204+K204</f>
        <v>0</v>
      </c>
      <c r="M204" s="59">
        <f t="shared" si="136"/>
        <v>0</v>
      </c>
      <c r="N204" s="58">
        <f>+F204-M204</f>
        <v>26000000</v>
      </c>
      <c r="P204" s="192"/>
      <c r="S204" s="282"/>
      <c r="T204" s="282"/>
      <c r="U204" s="249"/>
    </row>
    <row r="205" spans="1:21" s="144" customFormat="1" ht="18" customHeight="1" x14ac:dyDescent="0.25">
      <c r="A205" s="142"/>
      <c r="B205" s="143"/>
      <c r="C205" s="123"/>
      <c r="D205" s="124" t="s">
        <v>393</v>
      </c>
      <c r="E205" s="124" t="s">
        <v>394</v>
      </c>
      <c r="F205" s="125">
        <v>26000000</v>
      </c>
      <c r="G205" s="140"/>
      <c r="H205" s="140"/>
      <c r="I205" s="140">
        <f t="shared" si="137"/>
        <v>0</v>
      </c>
      <c r="J205" s="140"/>
      <c r="K205" s="140"/>
      <c r="L205" s="140">
        <f t="shared" ref="L205" si="139">+J205+K205</f>
        <v>0</v>
      </c>
      <c r="M205" s="140">
        <f t="shared" si="136"/>
        <v>0</v>
      </c>
      <c r="N205" s="125">
        <f t="shared" ref="N205" si="140">+F205-M205</f>
        <v>26000000</v>
      </c>
      <c r="P205" s="196"/>
      <c r="S205" s="286"/>
      <c r="T205" s="286"/>
      <c r="U205" s="252"/>
    </row>
    <row r="206" spans="1:21" s="121" customFormat="1" ht="18" customHeight="1" x14ac:dyDescent="0.25">
      <c r="A206" s="116">
        <v>10</v>
      </c>
      <c r="B206" s="117"/>
      <c r="C206" s="145" t="s">
        <v>112</v>
      </c>
      <c r="D206" s="118"/>
      <c r="E206" s="128" t="s">
        <v>113</v>
      </c>
      <c r="F206" s="119">
        <f>+F207+F221</f>
        <v>810211500</v>
      </c>
      <c r="G206" s="120">
        <f>G207+G221</f>
        <v>0</v>
      </c>
      <c r="H206" s="120">
        <f>H207+H221</f>
        <v>0</v>
      </c>
      <c r="I206" s="120">
        <f>+G206+H206</f>
        <v>0</v>
      </c>
      <c r="J206" s="120">
        <f>J207+J221</f>
        <v>0</v>
      </c>
      <c r="K206" s="120">
        <f>K207+K221</f>
        <v>1600000</v>
      </c>
      <c r="L206" s="120">
        <f>+J206+K206</f>
        <v>1600000</v>
      </c>
      <c r="M206" s="120">
        <f>+I206+L206</f>
        <v>1600000</v>
      </c>
      <c r="N206" s="119">
        <f>+F206-M206</f>
        <v>808611500</v>
      </c>
      <c r="P206" s="190"/>
      <c r="R206" s="122"/>
      <c r="S206" s="283"/>
      <c r="T206" s="283"/>
      <c r="U206" s="246"/>
    </row>
    <row r="207" spans="1:21" s="107" customFormat="1" ht="18" customHeight="1" x14ac:dyDescent="0.25">
      <c r="A207" s="101"/>
      <c r="B207" s="102"/>
      <c r="C207" s="141"/>
      <c r="D207" s="103" t="s">
        <v>207</v>
      </c>
      <c r="E207" s="104" t="s">
        <v>262</v>
      </c>
      <c r="F207" s="105">
        <f>+F208</f>
        <v>441471500</v>
      </c>
      <c r="G207" s="106">
        <f>+G208</f>
        <v>0</v>
      </c>
      <c r="H207" s="106">
        <f>+H208</f>
        <v>0</v>
      </c>
      <c r="I207" s="106">
        <f>+G207+H207</f>
        <v>0</v>
      </c>
      <c r="J207" s="106">
        <f>+J208</f>
        <v>0</v>
      </c>
      <c r="K207" s="106">
        <f>+K208</f>
        <v>1600000</v>
      </c>
      <c r="L207" s="106">
        <f>+J207+K207</f>
        <v>1600000</v>
      </c>
      <c r="M207" s="106">
        <f t="shared" ref="M207:M211" si="141">+I207+L207</f>
        <v>1600000</v>
      </c>
      <c r="N207" s="105">
        <f>+F207-M207</f>
        <v>439871500</v>
      </c>
      <c r="P207" s="191"/>
      <c r="R207" s="108"/>
      <c r="S207" s="284"/>
      <c r="T207" s="284"/>
      <c r="U207" s="241"/>
    </row>
    <row r="208" spans="1:21" s="67" customFormat="1" ht="18" customHeight="1" x14ac:dyDescent="0.25">
      <c r="A208" s="81"/>
      <c r="B208" s="82"/>
      <c r="C208" s="44"/>
      <c r="D208" s="45" t="s">
        <v>63</v>
      </c>
      <c r="E208" s="45" t="s">
        <v>30</v>
      </c>
      <c r="F208" s="47">
        <f>+F209+F212+F216</f>
        <v>441471500</v>
      </c>
      <c r="G208" s="70">
        <f>+G209+G212+G216</f>
        <v>0</v>
      </c>
      <c r="H208" s="70">
        <f>+H209+H212+H216</f>
        <v>0</v>
      </c>
      <c r="I208" s="70">
        <f t="shared" ref="I208:I211" si="142">+G208+H208</f>
        <v>0</v>
      </c>
      <c r="J208" s="70">
        <f>+J209+J212+J216</f>
        <v>0</v>
      </c>
      <c r="K208" s="70">
        <f>+K209+K212+K216</f>
        <v>1600000</v>
      </c>
      <c r="L208" s="70">
        <f t="shared" ref="L208:L209" si="143">+J208+K208</f>
        <v>1600000</v>
      </c>
      <c r="M208" s="70">
        <f t="shared" si="141"/>
        <v>1600000</v>
      </c>
      <c r="N208" s="47">
        <f>+F208-M208</f>
        <v>439871500</v>
      </c>
      <c r="P208" s="192"/>
      <c r="S208" s="282"/>
      <c r="T208" s="282"/>
      <c r="U208" s="249"/>
    </row>
    <row r="209" spans="1:21" s="55" customFormat="1" ht="18" customHeight="1" x14ac:dyDescent="0.25">
      <c r="A209" s="50"/>
      <c r="B209" s="51"/>
      <c r="C209" s="50"/>
      <c r="D209" s="71" t="s">
        <v>263</v>
      </c>
      <c r="E209" s="51" t="s">
        <v>264</v>
      </c>
      <c r="F209" s="53">
        <f t="shared" ref="F209:H209" si="144">+F210</f>
        <v>4031500</v>
      </c>
      <c r="G209" s="72">
        <f>+G210</f>
        <v>0</v>
      </c>
      <c r="H209" s="72">
        <f t="shared" si="144"/>
        <v>0</v>
      </c>
      <c r="I209" s="72">
        <f t="shared" si="142"/>
        <v>0</v>
      </c>
      <c r="J209" s="72">
        <f>+J210</f>
        <v>0</v>
      </c>
      <c r="K209" s="72">
        <f t="shared" ref="K209" si="145">+K210</f>
        <v>0</v>
      </c>
      <c r="L209" s="72">
        <f t="shared" si="143"/>
        <v>0</v>
      </c>
      <c r="M209" s="72">
        <f t="shared" si="141"/>
        <v>0</v>
      </c>
      <c r="N209" s="53">
        <f>+F209-M209</f>
        <v>4031500</v>
      </c>
      <c r="P209" s="195"/>
      <c r="S209" s="282"/>
      <c r="T209" s="282"/>
      <c r="U209" s="243"/>
    </row>
    <row r="210" spans="1:21" s="67" customFormat="1" ht="18" customHeight="1" x14ac:dyDescent="0.25">
      <c r="A210" s="83"/>
      <c r="B210" s="84"/>
      <c r="C210" s="56"/>
      <c r="D210" s="57" t="s">
        <v>64</v>
      </c>
      <c r="E210" s="57" t="s">
        <v>65</v>
      </c>
      <c r="F210" s="58">
        <f>F211</f>
        <v>4031500</v>
      </c>
      <c r="G210" s="59">
        <f>SUM(G211:G211)</f>
        <v>0</v>
      </c>
      <c r="H210" s="59">
        <f>SUM(H211:H211)</f>
        <v>0</v>
      </c>
      <c r="I210" s="59">
        <f>+G210+H210</f>
        <v>0</v>
      </c>
      <c r="J210" s="59">
        <f>SUM(J211:J211)</f>
        <v>0</v>
      </c>
      <c r="K210" s="59">
        <f>SUM(K211:K211)</f>
        <v>0</v>
      </c>
      <c r="L210" s="59">
        <f>+J210+K210</f>
        <v>0</v>
      </c>
      <c r="M210" s="59">
        <f t="shared" si="141"/>
        <v>0</v>
      </c>
      <c r="N210" s="58">
        <f>+F210-M210</f>
        <v>4031500</v>
      </c>
      <c r="P210" s="192"/>
      <c r="S210" s="282"/>
      <c r="T210" s="282"/>
      <c r="U210" s="249"/>
    </row>
    <row r="211" spans="1:21" s="86" customFormat="1" ht="18" customHeight="1" x14ac:dyDescent="0.25">
      <c r="A211" s="85"/>
      <c r="B211" s="66"/>
      <c r="C211" s="61"/>
      <c r="D211" s="62" t="s">
        <v>339</v>
      </c>
      <c r="E211" s="62" t="s">
        <v>340</v>
      </c>
      <c r="F211" s="63">
        <v>4031500</v>
      </c>
      <c r="G211" s="75"/>
      <c r="H211" s="75"/>
      <c r="I211" s="75">
        <f t="shared" si="142"/>
        <v>0</v>
      </c>
      <c r="J211" s="75"/>
      <c r="K211" s="75"/>
      <c r="L211" s="75">
        <f t="shared" ref="L211" si="146">+J211+K211</f>
        <v>0</v>
      </c>
      <c r="M211" s="75">
        <f t="shared" si="141"/>
        <v>0</v>
      </c>
      <c r="N211" s="63">
        <f t="shared" ref="N211" si="147">+F211-M211</f>
        <v>4031500</v>
      </c>
      <c r="P211" s="194"/>
      <c r="S211" s="282"/>
      <c r="T211" s="282"/>
      <c r="U211" s="250"/>
    </row>
    <row r="212" spans="1:21" s="55" customFormat="1" ht="18" customHeight="1" x14ac:dyDescent="0.25">
      <c r="A212" s="50"/>
      <c r="B212" s="51"/>
      <c r="C212" s="50"/>
      <c r="D212" s="71" t="s">
        <v>271</v>
      </c>
      <c r="E212" s="51" t="s">
        <v>272</v>
      </c>
      <c r="F212" s="53">
        <f t="shared" ref="F212:H212" si="148">+F213</f>
        <v>98700000</v>
      </c>
      <c r="G212" s="72">
        <f>+G213</f>
        <v>0</v>
      </c>
      <c r="H212" s="72">
        <f t="shared" si="148"/>
        <v>0</v>
      </c>
      <c r="I212" s="72">
        <f t="shared" ref="I212:I217" si="149">+G212+H212</f>
        <v>0</v>
      </c>
      <c r="J212" s="72">
        <f>+J213</f>
        <v>0</v>
      </c>
      <c r="K212" s="72">
        <f t="shared" ref="K212" si="150">+K213</f>
        <v>1600000</v>
      </c>
      <c r="L212" s="72">
        <f>+J212+K212</f>
        <v>1600000</v>
      </c>
      <c r="M212" s="72">
        <f t="shared" ref="M212:M220" si="151">+I212+L212</f>
        <v>1600000</v>
      </c>
      <c r="N212" s="53">
        <f>+F212-M212</f>
        <v>97100000</v>
      </c>
      <c r="P212" s="195"/>
      <c r="S212" s="282"/>
      <c r="T212" s="282"/>
      <c r="U212" s="243"/>
    </row>
    <row r="213" spans="1:21" s="67" customFormat="1" ht="18" customHeight="1" x14ac:dyDescent="0.25">
      <c r="A213" s="83"/>
      <c r="B213" s="84"/>
      <c r="C213" s="56"/>
      <c r="D213" s="57" t="s">
        <v>81</v>
      </c>
      <c r="E213" s="57" t="s">
        <v>31</v>
      </c>
      <c r="F213" s="58">
        <f>SUM(F214:F215)</f>
        <v>98700000</v>
      </c>
      <c r="G213" s="59">
        <f>SUM(G214:G215)</f>
        <v>0</v>
      </c>
      <c r="H213" s="59">
        <f>SUM(H214:H215)</f>
        <v>0</v>
      </c>
      <c r="I213" s="59">
        <f t="shared" si="149"/>
        <v>0</v>
      </c>
      <c r="J213" s="59">
        <f>SUM(J214:J215)</f>
        <v>0</v>
      </c>
      <c r="K213" s="59">
        <f>SUM(K214:K215)</f>
        <v>1600000</v>
      </c>
      <c r="L213" s="59">
        <f>+J213+K213</f>
        <v>1600000</v>
      </c>
      <c r="M213" s="59">
        <f t="shared" si="151"/>
        <v>1600000</v>
      </c>
      <c r="N213" s="58">
        <f>+F213-M213</f>
        <v>97100000</v>
      </c>
      <c r="P213" s="192"/>
      <c r="S213" s="282"/>
      <c r="T213" s="282"/>
      <c r="U213" s="249"/>
    </row>
    <row r="214" spans="1:21" s="86" customFormat="1" ht="18" customHeight="1" x14ac:dyDescent="0.25">
      <c r="A214" s="175"/>
      <c r="B214" s="65"/>
      <c r="C214" s="171"/>
      <c r="D214" s="162" t="s">
        <v>82</v>
      </c>
      <c r="E214" s="162" t="s">
        <v>83</v>
      </c>
      <c r="F214" s="173">
        <v>38400000</v>
      </c>
      <c r="G214" s="163"/>
      <c r="H214" s="163"/>
      <c r="I214" s="163">
        <f t="shared" si="149"/>
        <v>0</v>
      </c>
      <c r="J214" s="163"/>
      <c r="K214" s="163">
        <v>1600000</v>
      </c>
      <c r="L214" s="163">
        <f>+J214+K214</f>
        <v>1600000</v>
      </c>
      <c r="M214" s="163">
        <f>+I214+L214</f>
        <v>1600000</v>
      </c>
      <c r="N214" s="173">
        <f>+F214-M214</f>
        <v>36800000</v>
      </c>
      <c r="P214" s="194"/>
      <c r="S214" s="281"/>
      <c r="T214" s="282"/>
      <c r="U214" s="250"/>
    </row>
    <row r="215" spans="1:21" s="86" customFormat="1" ht="18" customHeight="1" x14ac:dyDescent="0.25">
      <c r="A215" s="175"/>
      <c r="B215" s="65"/>
      <c r="C215" s="171"/>
      <c r="D215" s="162" t="s">
        <v>111</v>
      </c>
      <c r="E215" s="162" t="s">
        <v>44</v>
      </c>
      <c r="F215" s="173">
        <v>60300000</v>
      </c>
      <c r="G215" s="163"/>
      <c r="H215" s="163"/>
      <c r="I215" s="163">
        <f t="shared" si="149"/>
        <v>0</v>
      </c>
      <c r="J215" s="163"/>
      <c r="K215" s="163"/>
      <c r="L215" s="163">
        <f t="shared" ref="L215" si="152">+J215+K215</f>
        <v>0</v>
      </c>
      <c r="M215" s="163">
        <f t="shared" si="151"/>
        <v>0</v>
      </c>
      <c r="N215" s="173">
        <f t="shared" ref="N215" si="153">+F215-M215</f>
        <v>60300000</v>
      </c>
      <c r="P215" s="194"/>
      <c r="S215" s="281"/>
      <c r="T215" s="282"/>
      <c r="U215" s="250"/>
    </row>
    <row r="216" spans="1:21" s="55" customFormat="1" ht="18" customHeight="1" x14ac:dyDescent="0.25">
      <c r="A216" s="50"/>
      <c r="B216" s="51"/>
      <c r="C216" s="50"/>
      <c r="D216" s="71" t="s">
        <v>275</v>
      </c>
      <c r="E216" s="51" t="s">
        <v>276</v>
      </c>
      <c r="F216" s="53">
        <f t="shared" ref="F216:H216" si="154">+F217</f>
        <v>338740000</v>
      </c>
      <c r="G216" s="72">
        <f>+G217</f>
        <v>0</v>
      </c>
      <c r="H216" s="72">
        <f t="shared" si="154"/>
        <v>0</v>
      </c>
      <c r="I216" s="72">
        <f t="shared" si="149"/>
        <v>0</v>
      </c>
      <c r="J216" s="72">
        <f>+J217</f>
        <v>0</v>
      </c>
      <c r="K216" s="72">
        <f t="shared" ref="K216" si="155">+K217</f>
        <v>0</v>
      </c>
      <c r="L216" s="72">
        <f>+J216+K216</f>
        <v>0</v>
      </c>
      <c r="M216" s="72">
        <f t="shared" si="151"/>
        <v>0</v>
      </c>
      <c r="N216" s="53">
        <f>+F216-M216</f>
        <v>338740000</v>
      </c>
      <c r="P216" s="195"/>
      <c r="S216" s="281"/>
      <c r="T216" s="282"/>
      <c r="U216" s="243"/>
    </row>
    <row r="217" spans="1:21" s="67" customFormat="1" ht="18" customHeight="1" x14ac:dyDescent="0.25">
      <c r="A217" s="83"/>
      <c r="B217" s="84"/>
      <c r="C217" s="56"/>
      <c r="D217" s="57" t="s">
        <v>114</v>
      </c>
      <c r="E217" s="57" t="s">
        <v>43</v>
      </c>
      <c r="F217" s="58">
        <f>SUM(F218:F220)</f>
        <v>338740000</v>
      </c>
      <c r="G217" s="59">
        <f>SUM(G218:G220)</f>
        <v>0</v>
      </c>
      <c r="H217" s="59">
        <f>SUM(H218:H220)</f>
        <v>0</v>
      </c>
      <c r="I217" s="59">
        <f t="shared" si="149"/>
        <v>0</v>
      </c>
      <c r="J217" s="59">
        <f>SUM(J218:J220)</f>
        <v>0</v>
      </c>
      <c r="K217" s="59">
        <f>SUM(K218:K220)</f>
        <v>0</v>
      </c>
      <c r="L217" s="59">
        <f>+J217+K217</f>
        <v>0</v>
      </c>
      <c r="M217" s="59">
        <f t="shared" si="151"/>
        <v>0</v>
      </c>
      <c r="N217" s="58">
        <f>+F217-M217</f>
        <v>338740000</v>
      </c>
      <c r="P217" s="192"/>
      <c r="S217" s="281"/>
      <c r="T217" s="282"/>
      <c r="U217" s="249"/>
    </row>
    <row r="218" spans="1:21" s="86" customFormat="1" ht="21" customHeight="1" x14ac:dyDescent="0.25">
      <c r="A218" s="175"/>
      <c r="B218" s="65"/>
      <c r="C218" s="171"/>
      <c r="D218" s="162" t="s">
        <v>349</v>
      </c>
      <c r="E218" s="172" t="s">
        <v>350</v>
      </c>
      <c r="F218" s="173">
        <v>21240000</v>
      </c>
      <c r="G218" s="163"/>
      <c r="H218" s="163"/>
      <c r="I218" s="163">
        <f t="shared" ref="I218" si="156">+G218+H218</f>
        <v>0</v>
      </c>
      <c r="J218" s="163"/>
      <c r="K218" s="163"/>
      <c r="L218" s="163">
        <f t="shared" ref="L218" si="157">+J218+K218</f>
        <v>0</v>
      </c>
      <c r="M218" s="163">
        <f t="shared" si="151"/>
        <v>0</v>
      </c>
      <c r="N218" s="173">
        <f>+F218-M218</f>
        <v>21240000</v>
      </c>
      <c r="P218" s="194"/>
      <c r="S218" s="281"/>
      <c r="T218" s="282"/>
      <c r="U218" s="250"/>
    </row>
    <row r="219" spans="1:21" s="86" customFormat="1" ht="30.75" customHeight="1" x14ac:dyDescent="0.25">
      <c r="A219" s="175"/>
      <c r="B219" s="65"/>
      <c r="C219" s="171"/>
      <c r="D219" s="162" t="s">
        <v>395</v>
      </c>
      <c r="E219" s="172" t="s">
        <v>396</v>
      </c>
      <c r="F219" s="173">
        <v>2500000</v>
      </c>
      <c r="G219" s="163"/>
      <c r="H219" s="163"/>
      <c r="I219" s="163"/>
      <c r="J219" s="163"/>
      <c r="K219" s="163"/>
      <c r="L219" s="163">
        <f>+J219+K219</f>
        <v>0</v>
      </c>
      <c r="M219" s="163">
        <f t="shared" si="151"/>
        <v>0</v>
      </c>
      <c r="N219" s="173">
        <f>+F219-M219</f>
        <v>2500000</v>
      </c>
      <c r="P219" s="194"/>
      <c r="S219" s="282"/>
      <c r="T219" s="282"/>
      <c r="U219" s="250"/>
    </row>
    <row r="220" spans="1:21" s="86" customFormat="1" ht="18" customHeight="1" x14ac:dyDescent="0.25">
      <c r="A220" s="175"/>
      <c r="B220" s="65"/>
      <c r="C220" s="171"/>
      <c r="D220" s="162" t="s">
        <v>354</v>
      </c>
      <c r="E220" s="172" t="s">
        <v>355</v>
      </c>
      <c r="F220" s="173">
        <v>315000000</v>
      </c>
      <c r="G220" s="163"/>
      <c r="H220" s="163"/>
      <c r="I220" s="163">
        <f>+G220+H220</f>
        <v>0</v>
      </c>
      <c r="J220" s="163"/>
      <c r="K220" s="163"/>
      <c r="L220" s="163"/>
      <c r="M220" s="163">
        <f t="shared" si="151"/>
        <v>0</v>
      </c>
      <c r="N220" s="173">
        <f t="shared" ref="N220" si="158">+F220-M220</f>
        <v>315000000</v>
      </c>
      <c r="P220" s="194"/>
      <c r="S220" s="282"/>
      <c r="T220" s="281"/>
      <c r="U220" s="250"/>
    </row>
    <row r="221" spans="1:21" s="42" customFormat="1" ht="18" customHeight="1" x14ac:dyDescent="0.25">
      <c r="A221" s="36"/>
      <c r="B221" s="37"/>
      <c r="C221" s="80"/>
      <c r="D221" s="38" t="s">
        <v>267</v>
      </c>
      <c r="E221" s="39" t="s">
        <v>268</v>
      </c>
      <c r="F221" s="40">
        <f>+F222+F234</f>
        <v>368740000</v>
      </c>
      <c r="G221" s="41">
        <f>+G222+G234</f>
        <v>0</v>
      </c>
      <c r="H221" s="41">
        <f>+H222+H234</f>
        <v>0</v>
      </c>
      <c r="I221" s="41">
        <f>+G221+H221</f>
        <v>0</v>
      </c>
      <c r="J221" s="41">
        <f>+J222</f>
        <v>0</v>
      </c>
      <c r="K221" s="41">
        <f>+K222</f>
        <v>0</v>
      </c>
      <c r="L221" s="41">
        <f>+J221+K221</f>
        <v>0</v>
      </c>
      <c r="M221" s="41">
        <f>+I221+L221</f>
        <v>0</v>
      </c>
      <c r="N221" s="40">
        <f>+F221-M221</f>
        <v>368740000</v>
      </c>
      <c r="P221" s="199"/>
      <c r="R221" s="43"/>
      <c r="S221" s="282"/>
      <c r="T221" s="282"/>
      <c r="U221" s="251"/>
    </row>
    <row r="222" spans="1:21" s="67" customFormat="1" ht="18" customHeight="1" x14ac:dyDescent="0.25">
      <c r="A222" s="81"/>
      <c r="B222" s="82"/>
      <c r="C222" s="44"/>
      <c r="D222" s="45" t="s">
        <v>78</v>
      </c>
      <c r="E222" s="45" t="s">
        <v>75</v>
      </c>
      <c r="F222" s="47">
        <f>+F223+F226+F231</f>
        <v>268740000</v>
      </c>
      <c r="G222" s="70">
        <f>+G223+G226</f>
        <v>0</v>
      </c>
      <c r="H222" s="70">
        <f>+H223+H226</f>
        <v>0</v>
      </c>
      <c r="I222" s="70">
        <f t="shared" ref="I222:I235" si="159">+G222+H222</f>
        <v>0</v>
      </c>
      <c r="J222" s="70">
        <f>+J223+J226</f>
        <v>0</v>
      </c>
      <c r="K222" s="70">
        <f t="shared" ref="K222:K223" si="160">+K223</f>
        <v>0</v>
      </c>
      <c r="L222" s="70">
        <f t="shared" ref="L222:L223" si="161">+J222+K222</f>
        <v>0</v>
      </c>
      <c r="M222" s="70">
        <f t="shared" ref="M222:M226" si="162">+I222+L222</f>
        <v>0</v>
      </c>
      <c r="N222" s="47">
        <f>+F222-M222</f>
        <v>268740000</v>
      </c>
      <c r="P222" s="192"/>
      <c r="S222" s="282"/>
      <c r="T222" s="282"/>
      <c r="U222" s="249"/>
    </row>
    <row r="223" spans="1:21" s="55" customFormat="1" ht="18" customHeight="1" x14ac:dyDescent="0.25">
      <c r="A223" s="50"/>
      <c r="B223" s="51"/>
      <c r="C223" s="50"/>
      <c r="D223" s="71" t="s">
        <v>269</v>
      </c>
      <c r="E223" s="51" t="s">
        <v>270</v>
      </c>
      <c r="F223" s="53">
        <f t="shared" ref="F223:H223" si="163">+F224</f>
        <v>32340000</v>
      </c>
      <c r="G223" s="72">
        <f>+G224</f>
        <v>0</v>
      </c>
      <c r="H223" s="72">
        <f t="shared" si="163"/>
        <v>0</v>
      </c>
      <c r="I223" s="72">
        <f t="shared" si="159"/>
        <v>0</v>
      </c>
      <c r="J223" s="72">
        <f>+J224</f>
        <v>0</v>
      </c>
      <c r="K223" s="72">
        <f t="shared" si="160"/>
        <v>0</v>
      </c>
      <c r="L223" s="72">
        <f t="shared" si="161"/>
        <v>0</v>
      </c>
      <c r="M223" s="72">
        <f t="shared" si="162"/>
        <v>0</v>
      </c>
      <c r="N223" s="53">
        <f>+F223-M223</f>
        <v>32340000</v>
      </c>
      <c r="P223" s="195"/>
      <c r="S223" s="282"/>
      <c r="T223" s="282"/>
      <c r="U223" s="243"/>
    </row>
    <row r="224" spans="1:21" s="67" customFormat="1" ht="18" customHeight="1" x14ac:dyDescent="0.25">
      <c r="A224" s="83"/>
      <c r="B224" s="84"/>
      <c r="C224" s="56"/>
      <c r="D224" s="57" t="s">
        <v>92</v>
      </c>
      <c r="E224" s="57" t="s">
        <v>94</v>
      </c>
      <c r="F224" s="58">
        <f>SUM(F225)</f>
        <v>32340000</v>
      </c>
      <c r="G224" s="59">
        <f>+G225</f>
        <v>0</v>
      </c>
      <c r="H224" s="59">
        <f>+H225</f>
        <v>0</v>
      </c>
      <c r="I224" s="59">
        <f>+G224+H224</f>
        <v>0</v>
      </c>
      <c r="J224" s="59">
        <f>+J225</f>
        <v>0</v>
      </c>
      <c r="K224" s="59">
        <f>+K225</f>
        <v>0</v>
      </c>
      <c r="L224" s="59">
        <f>+J224+K224</f>
        <v>0</v>
      </c>
      <c r="M224" s="59">
        <f t="shared" si="162"/>
        <v>0</v>
      </c>
      <c r="N224" s="58">
        <f>+F224-M224</f>
        <v>32340000</v>
      </c>
      <c r="P224" s="192"/>
      <c r="S224" s="282"/>
      <c r="T224" s="282"/>
      <c r="U224" s="249"/>
    </row>
    <row r="225" spans="1:21" s="86" customFormat="1" ht="18" customHeight="1" x14ac:dyDescent="0.25">
      <c r="A225" s="85"/>
      <c r="B225" s="66"/>
      <c r="C225" s="61"/>
      <c r="D225" s="62" t="s">
        <v>397</v>
      </c>
      <c r="E225" s="62" t="s">
        <v>398</v>
      </c>
      <c r="F225" s="63">
        <v>32340000</v>
      </c>
      <c r="G225" s="75"/>
      <c r="H225" s="75"/>
      <c r="I225" s="75">
        <f t="shared" si="159"/>
        <v>0</v>
      </c>
      <c r="J225" s="75"/>
      <c r="K225" s="75"/>
      <c r="L225" s="75">
        <f t="shared" ref="L225:L235" si="164">+J225+K225</f>
        <v>0</v>
      </c>
      <c r="M225" s="75">
        <f t="shared" si="162"/>
        <v>0</v>
      </c>
      <c r="N225" s="63">
        <f t="shared" ref="N225:N237" si="165">+F225-M225</f>
        <v>32340000</v>
      </c>
      <c r="P225" s="194"/>
      <c r="S225" s="282"/>
      <c r="T225" s="282"/>
      <c r="U225" s="250"/>
    </row>
    <row r="226" spans="1:21" s="55" customFormat="1" ht="18" customHeight="1" x14ac:dyDescent="0.25">
      <c r="A226" s="50"/>
      <c r="B226" s="51"/>
      <c r="C226" s="50"/>
      <c r="D226" s="71" t="s">
        <v>399</v>
      </c>
      <c r="E226" s="51" t="s">
        <v>400</v>
      </c>
      <c r="F226" s="53">
        <f t="shared" ref="F226:H226" si="166">+F227</f>
        <v>234600000</v>
      </c>
      <c r="G226" s="72">
        <f>+G227</f>
        <v>0</v>
      </c>
      <c r="H226" s="72">
        <f t="shared" si="166"/>
        <v>0</v>
      </c>
      <c r="I226" s="72">
        <f t="shared" si="159"/>
        <v>0</v>
      </c>
      <c r="J226" s="72">
        <f>+J227</f>
        <v>0</v>
      </c>
      <c r="K226" s="72">
        <f t="shared" ref="K226" si="167">+K227</f>
        <v>0</v>
      </c>
      <c r="L226" s="72">
        <f t="shared" si="164"/>
        <v>0</v>
      </c>
      <c r="M226" s="72">
        <f t="shared" si="162"/>
        <v>0</v>
      </c>
      <c r="N226" s="53">
        <f t="shared" si="165"/>
        <v>234600000</v>
      </c>
      <c r="P226" s="195"/>
      <c r="S226" s="282"/>
      <c r="T226" s="282"/>
      <c r="U226" s="243"/>
    </row>
    <row r="227" spans="1:21" s="67" customFormat="1" ht="18" customHeight="1" x14ac:dyDescent="0.25">
      <c r="A227" s="83"/>
      <c r="B227" s="84"/>
      <c r="C227" s="56"/>
      <c r="D227" s="57" t="s">
        <v>401</v>
      </c>
      <c r="E227" s="57" t="s">
        <v>402</v>
      </c>
      <c r="F227" s="58">
        <f>SUM(F228:F230)</f>
        <v>234600000</v>
      </c>
      <c r="G227" s="59">
        <f>SUM(G229:G229)</f>
        <v>0</v>
      </c>
      <c r="H227" s="59">
        <f>SUM(H229:H229)</f>
        <v>0</v>
      </c>
      <c r="I227" s="59">
        <f t="shared" si="159"/>
        <v>0</v>
      </c>
      <c r="J227" s="59">
        <f>SUM(J229:J229)</f>
        <v>0</v>
      </c>
      <c r="K227" s="59">
        <f>SUM(K229:K229)</f>
        <v>0</v>
      </c>
      <c r="L227" s="59">
        <f t="shared" si="164"/>
        <v>0</v>
      </c>
      <c r="M227" s="59">
        <f>+I227+L227</f>
        <v>0</v>
      </c>
      <c r="N227" s="58">
        <f t="shared" si="165"/>
        <v>234600000</v>
      </c>
      <c r="P227" s="192"/>
      <c r="S227" s="282"/>
      <c r="T227" s="282"/>
      <c r="U227" s="249"/>
    </row>
    <row r="228" spans="1:21" s="86" customFormat="1" ht="18" customHeight="1" x14ac:dyDescent="0.25">
      <c r="A228" s="85"/>
      <c r="B228" s="66"/>
      <c r="C228" s="61"/>
      <c r="D228" s="62" t="s">
        <v>464</v>
      </c>
      <c r="E228" s="62" t="s">
        <v>465</v>
      </c>
      <c r="F228" s="63">
        <v>3000000</v>
      </c>
      <c r="G228" s="75"/>
      <c r="H228" s="75"/>
      <c r="I228" s="75">
        <f t="shared" ref="I228" si="168">+G228+H228</f>
        <v>0</v>
      </c>
      <c r="J228" s="75"/>
      <c r="K228" s="75"/>
      <c r="L228" s="75">
        <f t="shared" ref="L228" si="169">+J228+K228</f>
        <v>0</v>
      </c>
      <c r="M228" s="75">
        <f>+I228+L228</f>
        <v>0</v>
      </c>
      <c r="N228" s="63">
        <f t="shared" ref="N228" si="170">+F228-M228</f>
        <v>3000000</v>
      </c>
      <c r="O228" s="87"/>
      <c r="P228" s="194"/>
      <c r="S228" s="282"/>
      <c r="T228" s="282"/>
      <c r="U228" s="250"/>
    </row>
    <row r="229" spans="1:21" s="86" customFormat="1" ht="18" customHeight="1" x14ac:dyDescent="0.25">
      <c r="A229" s="85"/>
      <c r="B229" s="66"/>
      <c r="C229" s="61"/>
      <c r="D229" s="62" t="s">
        <v>403</v>
      </c>
      <c r="E229" s="62" t="s">
        <v>404</v>
      </c>
      <c r="F229" s="63">
        <v>36600000</v>
      </c>
      <c r="G229" s="75"/>
      <c r="H229" s="75"/>
      <c r="I229" s="75">
        <f t="shared" si="159"/>
        <v>0</v>
      </c>
      <c r="J229" s="75"/>
      <c r="K229" s="75"/>
      <c r="L229" s="75">
        <f t="shared" si="164"/>
        <v>0</v>
      </c>
      <c r="M229" s="75">
        <f>+I229+L229</f>
        <v>0</v>
      </c>
      <c r="N229" s="63">
        <f t="shared" si="165"/>
        <v>36600000</v>
      </c>
      <c r="O229" s="87"/>
      <c r="P229" s="194"/>
      <c r="S229" s="282"/>
      <c r="T229" s="282"/>
      <c r="U229" s="250"/>
    </row>
    <row r="230" spans="1:21" s="86" customFormat="1" ht="18" customHeight="1" x14ac:dyDescent="0.25">
      <c r="A230" s="85"/>
      <c r="B230" s="66"/>
      <c r="C230" s="61"/>
      <c r="D230" s="62" t="s">
        <v>459</v>
      </c>
      <c r="E230" s="62" t="s">
        <v>460</v>
      </c>
      <c r="F230" s="63">
        <v>195000000</v>
      </c>
      <c r="G230" s="75"/>
      <c r="H230" s="75"/>
      <c r="I230" s="75">
        <f t="shared" ref="I230:I233" si="171">+G230+H230</f>
        <v>0</v>
      </c>
      <c r="J230" s="75"/>
      <c r="K230" s="75"/>
      <c r="L230" s="75">
        <f t="shared" ref="L230:L233" si="172">+J230+K230</f>
        <v>0</v>
      </c>
      <c r="M230" s="75">
        <f>+I230+L230</f>
        <v>0</v>
      </c>
      <c r="N230" s="63">
        <f t="shared" ref="N230:N233" si="173">+F230-M230</f>
        <v>195000000</v>
      </c>
      <c r="O230" s="87"/>
      <c r="P230" s="194"/>
      <c r="S230" s="282"/>
      <c r="T230" s="282"/>
      <c r="U230" s="250"/>
    </row>
    <row r="231" spans="1:21" s="55" customFormat="1" ht="18" customHeight="1" x14ac:dyDescent="0.25">
      <c r="A231" s="50"/>
      <c r="B231" s="51"/>
      <c r="C231" s="50"/>
      <c r="D231" s="71" t="s">
        <v>273</v>
      </c>
      <c r="E231" s="51" t="s">
        <v>274</v>
      </c>
      <c r="F231" s="53">
        <f>+F232</f>
        <v>1800000</v>
      </c>
      <c r="G231" s="72">
        <f>+G232</f>
        <v>0</v>
      </c>
      <c r="H231" s="72">
        <f t="shared" ref="H231" si="174">+H232</f>
        <v>0</v>
      </c>
      <c r="I231" s="72">
        <f t="shared" si="171"/>
        <v>0</v>
      </c>
      <c r="J231" s="72">
        <f>+J232</f>
        <v>0</v>
      </c>
      <c r="K231" s="72">
        <f t="shared" ref="K231" si="175">+K232</f>
        <v>0</v>
      </c>
      <c r="L231" s="72">
        <f t="shared" si="172"/>
        <v>0</v>
      </c>
      <c r="M231" s="72">
        <f t="shared" ref="M231" si="176">+I231+L231</f>
        <v>0</v>
      </c>
      <c r="N231" s="53">
        <f t="shared" si="173"/>
        <v>1800000</v>
      </c>
      <c r="P231" s="195"/>
      <c r="S231" s="282"/>
      <c r="T231" s="282"/>
      <c r="U231" s="243"/>
    </row>
    <row r="232" spans="1:21" s="67" customFormat="1" ht="18" customHeight="1" x14ac:dyDescent="0.25">
      <c r="A232" s="83"/>
      <c r="B232" s="84"/>
      <c r="C232" s="56"/>
      <c r="D232" s="57" t="s">
        <v>382</v>
      </c>
      <c r="E232" s="57" t="s">
        <v>383</v>
      </c>
      <c r="F232" s="58">
        <f>+F233</f>
        <v>1800000</v>
      </c>
      <c r="G232" s="59">
        <f>SUM(G234:G234)</f>
        <v>0</v>
      </c>
      <c r="H232" s="59">
        <f>SUM(H234:H234)</f>
        <v>0</v>
      </c>
      <c r="I232" s="59">
        <f t="shared" si="171"/>
        <v>0</v>
      </c>
      <c r="J232" s="59">
        <f>SUM(J234:J234)</f>
        <v>0</v>
      </c>
      <c r="K232" s="59">
        <f>SUM(K234:K234)</f>
        <v>0</v>
      </c>
      <c r="L232" s="59">
        <f t="shared" si="172"/>
        <v>0</v>
      </c>
      <c r="M232" s="59">
        <f>+I232+L232</f>
        <v>0</v>
      </c>
      <c r="N232" s="58">
        <f t="shared" si="173"/>
        <v>1800000</v>
      </c>
      <c r="P232" s="192"/>
      <c r="S232" s="282"/>
      <c r="T232" s="282"/>
      <c r="U232" s="249"/>
    </row>
    <row r="233" spans="1:21" s="86" customFormat="1" ht="18" customHeight="1" x14ac:dyDescent="0.25">
      <c r="A233" s="85"/>
      <c r="B233" s="66"/>
      <c r="C233" s="61"/>
      <c r="D233" s="62" t="s">
        <v>386</v>
      </c>
      <c r="E233" s="62" t="s">
        <v>387</v>
      </c>
      <c r="F233" s="63">
        <v>1800000</v>
      </c>
      <c r="G233" s="75"/>
      <c r="H233" s="75"/>
      <c r="I233" s="75">
        <f t="shared" si="171"/>
        <v>0</v>
      </c>
      <c r="J233" s="75"/>
      <c r="K233" s="75"/>
      <c r="L233" s="75">
        <f t="shared" si="172"/>
        <v>0</v>
      </c>
      <c r="M233" s="75">
        <f>+I233+L233</f>
        <v>0</v>
      </c>
      <c r="N233" s="63">
        <f t="shared" si="173"/>
        <v>1800000</v>
      </c>
      <c r="O233" s="87"/>
      <c r="P233" s="194"/>
      <c r="S233" s="282"/>
      <c r="T233" s="282"/>
      <c r="U233" s="250"/>
    </row>
    <row r="234" spans="1:21" s="67" customFormat="1" ht="18" customHeight="1" x14ac:dyDescent="0.25">
      <c r="A234" s="81"/>
      <c r="B234" s="82"/>
      <c r="C234" s="44"/>
      <c r="D234" s="45" t="s">
        <v>466</v>
      </c>
      <c r="E234" s="45" t="s">
        <v>467</v>
      </c>
      <c r="F234" s="47">
        <f>+F235</f>
        <v>100000000</v>
      </c>
      <c r="G234" s="70">
        <f>+G235</f>
        <v>0</v>
      </c>
      <c r="H234" s="70">
        <f>+H235+H238</f>
        <v>0</v>
      </c>
      <c r="I234" s="70">
        <f t="shared" si="159"/>
        <v>0</v>
      </c>
      <c r="J234" s="70">
        <f>+J235</f>
        <v>0</v>
      </c>
      <c r="K234" s="70">
        <f t="shared" ref="K234:K235" si="177">+K235</f>
        <v>0</v>
      </c>
      <c r="L234" s="70">
        <f t="shared" si="164"/>
        <v>0</v>
      </c>
      <c r="M234" s="70">
        <f>+I234+L234</f>
        <v>0</v>
      </c>
      <c r="N234" s="47">
        <f t="shared" si="165"/>
        <v>100000000</v>
      </c>
      <c r="P234" s="192"/>
      <c r="S234" s="282"/>
      <c r="T234" s="282"/>
      <c r="U234" s="249"/>
    </row>
    <row r="235" spans="1:21" s="55" customFormat="1" ht="18" customHeight="1" x14ac:dyDescent="0.25">
      <c r="A235" s="50"/>
      <c r="B235" s="51"/>
      <c r="C235" s="50"/>
      <c r="D235" s="71" t="s">
        <v>468</v>
      </c>
      <c r="E235" s="51" t="s">
        <v>469</v>
      </c>
      <c r="F235" s="53">
        <f t="shared" ref="F235:H235" si="178">+F236</f>
        <v>100000000</v>
      </c>
      <c r="G235" s="72">
        <f>+G236</f>
        <v>0</v>
      </c>
      <c r="H235" s="72">
        <f t="shared" si="178"/>
        <v>0</v>
      </c>
      <c r="I235" s="72">
        <f t="shared" si="159"/>
        <v>0</v>
      </c>
      <c r="J235" s="72">
        <f>+J236</f>
        <v>0</v>
      </c>
      <c r="K235" s="72">
        <f t="shared" si="177"/>
        <v>0</v>
      </c>
      <c r="L235" s="72">
        <f t="shared" si="164"/>
        <v>0</v>
      </c>
      <c r="M235" s="72">
        <f t="shared" ref="M235:M236" si="179">+I235+L235</f>
        <v>0</v>
      </c>
      <c r="N235" s="53">
        <f t="shared" si="165"/>
        <v>100000000</v>
      </c>
      <c r="P235" s="195"/>
      <c r="S235" s="282"/>
      <c r="T235" s="282"/>
      <c r="U235" s="243"/>
    </row>
    <row r="236" spans="1:21" s="67" customFormat="1" ht="18" customHeight="1" x14ac:dyDescent="0.25">
      <c r="A236" s="83"/>
      <c r="B236" s="84"/>
      <c r="C236" s="56"/>
      <c r="D236" s="57" t="s">
        <v>470</v>
      </c>
      <c r="E236" s="57" t="s">
        <v>471</v>
      </c>
      <c r="F236" s="58">
        <f>SUM(F237)</f>
        <v>100000000</v>
      </c>
      <c r="G236" s="59">
        <f>+G237</f>
        <v>0</v>
      </c>
      <c r="H236" s="59">
        <f>+H237</f>
        <v>0</v>
      </c>
      <c r="I236" s="59">
        <f>+G236+H236</f>
        <v>0</v>
      </c>
      <c r="J236" s="59">
        <f>+J237</f>
        <v>0</v>
      </c>
      <c r="K236" s="59">
        <f>+K237</f>
        <v>0</v>
      </c>
      <c r="L236" s="59">
        <f>+J236+K236</f>
        <v>0</v>
      </c>
      <c r="M236" s="59">
        <f t="shared" si="179"/>
        <v>0</v>
      </c>
      <c r="N236" s="58">
        <f t="shared" si="165"/>
        <v>100000000</v>
      </c>
      <c r="P236" s="192"/>
      <c r="S236" s="282"/>
      <c r="T236" s="282"/>
      <c r="U236" s="249"/>
    </row>
    <row r="237" spans="1:21" s="86" customFormat="1" ht="18" customHeight="1" x14ac:dyDescent="0.25">
      <c r="A237" s="85"/>
      <c r="B237" s="66"/>
      <c r="C237" s="61"/>
      <c r="D237" s="62" t="s">
        <v>472</v>
      </c>
      <c r="E237" s="62" t="s">
        <v>473</v>
      </c>
      <c r="F237" s="63">
        <v>100000000</v>
      </c>
      <c r="G237" s="75"/>
      <c r="H237" s="75"/>
      <c r="I237" s="75">
        <f>+G237+H237</f>
        <v>0</v>
      </c>
      <c r="J237" s="75"/>
      <c r="K237" s="75"/>
      <c r="L237" s="75">
        <f t="shared" ref="L237" si="180">+J237+K237</f>
        <v>0</v>
      </c>
      <c r="M237" s="75">
        <f>+I237+L237</f>
        <v>0</v>
      </c>
      <c r="N237" s="63">
        <f t="shared" si="165"/>
        <v>100000000</v>
      </c>
      <c r="P237" s="194"/>
      <c r="S237" s="282"/>
      <c r="T237" s="282"/>
      <c r="U237" s="250"/>
    </row>
    <row r="238" spans="1:21" s="134" customFormat="1" ht="18" customHeight="1" x14ac:dyDescent="0.25">
      <c r="A238" s="129"/>
      <c r="B238" s="131"/>
      <c r="C238" s="131"/>
      <c r="D238" s="131"/>
      <c r="E238" s="131"/>
      <c r="F238" s="132"/>
      <c r="G238" s="133"/>
      <c r="H238" s="133"/>
      <c r="I238" s="133"/>
      <c r="J238" s="133"/>
      <c r="K238" s="133"/>
      <c r="L238" s="133"/>
      <c r="M238" s="133"/>
      <c r="N238" s="132"/>
      <c r="P238" s="197"/>
      <c r="S238" s="286"/>
      <c r="T238" s="286"/>
      <c r="U238" s="247"/>
    </row>
    <row r="239" spans="1:21" s="137" customFormat="1" ht="18" customHeight="1" x14ac:dyDescent="0.25">
      <c r="A239" s="109"/>
      <c r="B239" s="110" t="s">
        <v>357</v>
      </c>
      <c r="C239" s="110"/>
      <c r="D239" s="110"/>
      <c r="E239" s="110" t="s">
        <v>358</v>
      </c>
      <c r="F239" s="135">
        <f>+F241</f>
        <v>260000000</v>
      </c>
      <c r="G239" s="136">
        <f>+G240</f>
        <v>0</v>
      </c>
      <c r="H239" s="136">
        <f>+H240</f>
        <v>0</v>
      </c>
      <c r="I239" s="136">
        <f>+G239+H239</f>
        <v>0</v>
      </c>
      <c r="J239" s="136">
        <f>+J240</f>
        <v>0</v>
      </c>
      <c r="K239" s="136">
        <f>+K240</f>
        <v>0</v>
      </c>
      <c r="L239" s="136">
        <f>+J239+K239</f>
        <v>0</v>
      </c>
      <c r="M239" s="136">
        <f t="shared" ref="M239" si="181">+I239+L239</f>
        <v>0</v>
      </c>
      <c r="N239" s="135">
        <f t="shared" ref="N239:N245" si="182">+F239-M239</f>
        <v>260000000</v>
      </c>
      <c r="P239" s="198"/>
      <c r="R239" s="138"/>
      <c r="S239" s="287"/>
      <c r="T239" s="287"/>
      <c r="U239" s="248"/>
    </row>
    <row r="240" spans="1:21" s="121" customFormat="1" ht="18" customHeight="1" x14ac:dyDescent="0.25">
      <c r="A240" s="116">
        <v>11</v>
      </c>
      <c r="B240" s="117"/>
      <c r="C240" s="117" t="s">
        <v>119</v>
      </c>
      <c r="D240" s="118"/>
      <c r="E240" s="128" t="s">
        <v>120</v>
      </c>
      <c r="F240" s="119">
        <f>+F241</f>
        <v>260000000</v>
      </c>
      <c r="G240" s="120">
        <f>+G241</f>
        <v>0</v>
      </c>
      <c r="H240" s="120">
        <f>+H241</f>
        <v>0</v>
      </c>
      <c r="I240" s="120">
        <f>+G240+H240</f>
        <v>0</v>
      </c>
      <c r="J240" s="120">
        <f>+J241</f>
        <v>0</v>
      </c>
      <c r="K240" s="120">
        <f>+K241</f>
        <v>0</v>
      </c>
      <c r="L240" s="120">
        <f>+J240+K240</f>
        <v>0</v>
      </c>
      <c r="M240" s="120">
        <f>+I240+L240</f>
        <v>0</v>
      </c>
      <c r="N240" s="119">
        <f t="shared" si="182"/>
        <v>260000000</v>
      </c>
      <c r="P240" s="190"/>
      <c r="R240" s="122"/>
      <c r="S240" s="283"/>
      <c r="T240" s="283"/>
      <c r="U240" s="246"/>
    </row>
    <row r="241" spans="1:21" s="107" customFormat="1" ht="18" customHeight="1" x14ac:dyDescent="0.25">
      <c r="A241" s="101"/>
      <c r="B241" s="102"/>
      <c r="C241" s="102"/>
      <c r="D241" s="103" t="s">
        <v>267</v>
      </c>
      <c r="E241" s="104" t="s">
        <v>268</v>
      </c>
      <c r="F241" s="105">
        <f t="shared" ref="F241:H243" si="183">+F242</f>
        <v>260000000</v>
      </c>
      <c r="G241" s="106">
        <f>+G242</f>
        <v>0</v>
      </c>
      <c r="H241" s="106">
        <f t="shared" si="183"/>
        <v>0</v>
      </c>
      <c r="I241" s="106">
        <f t="shared" ref="I241:I245" si="184">+G241+H241</f>
        <v>0</v>
      </c>
      <c r="J241" s="106">
        <f>+J242</f>
        <v>0</v>
      </c>
      <c r="K241" s="106">
        <f t="shared" ref="K241:K243" si="185">+K242</f>
        <v>0</v>
      </c>
      <c r="L241" s="106">
        <f t="shared" ref="L241:L244" si="186">+J241+K241</f>
        <v>0</v>
      </c>
      <c r="M241" s="106">
        <f t="shared" ref="M241:M244" si="187">+I241+L241</f>
        <v>0</v>
      </c>
      <c r="N241" s="105">
        <f t="shared" si="182"/>
        <v>260000000</v>
      </c>
      <c r="P241" s="191"/>
      <c r="R241" s="108"/>
      <c r="S241" s="284"/>
      <c r="T241" s="284"/>
      <c r="U241" s="241"/>
    </row>
    <row r="242" spans="1:21" s="49" customFormat="1" ht="18" customHeight="1" x14ac:dyDescent="0.25">
      <c r="A242" s="44"/>
      <c r="B242" s="82"/>
      <c r="C242" s="44"/>
      <c r="D242" s="45" t="s">
        <v>78</v>
      </c>
      <c r="E242" s="45" t="s">
        <v>75</v>
      </c>
      <c r="F242" s="47">
        <f t="shared" si="183"/>
        <v>260000000</v>
      </c>
      <c r="G242" s="70">
        <f>+G243</f>
        <v>0</v>
      </c>
      <c r="H242" s="70">
        <f t="shared" si="183"/>
        <v>0</v>
      </c>
      <c r="I242" s="70">
        <f t="shared" si="184"/>
        <v>0</v>
      </c>
      <c r="J242" s="70">
        <f>+J243</f>
        <v>0</v>
      </c>
      <c r="K242" s="70">
        <f t="shared" si="185"/>
        <v>0</v>
      </c>
      <c r="L242" s="70">
        <f t="shared" si="186"/>
        <v>0</v>
      </c>
      <c r="M242" s="70">
        <f t="shared" si="187"/>
        <v>0</v>
      </c>
      <c r="N242" s="47">
        <f t="shared" si="182"/>
        <v>260000000</v>
      </c>
      <c r="P242" s="192"/>
      <c r="S242" s="282"/>
      <c r="T242" s="282"/>
      <c r="U242" s="242"/>
    </row>
    <row r="243" spans="1:21" s="55" customFormat="1" ht="18" customHeight="1" x14ac:dyDescent="0.25">
      <c r="A243" s="50"/>
      <c r="B243" s="51"/>
      <c r="C243" s="50"/>
      <c r="D243" s="71" t="s">
        <v>277</v>
      </c>
      <c r="E243" s="51" t="s">
        <v>278</v>
      </c>
      <c r="F243" s="53">
        <f t="shared" si="183"/>
        <v>260000000</v>
      </c>
      <c r="G243" s="72">
        <f>+G244</f>
        <v>0</v>
      </c>
      <c r="H243" s="72">
        <f t="shared" si="183"/>
        <v>0</v>
      </c>
      <c r="I243" s="72">
        <f t="shared" si="184"/>
        <v>0</v>
      </c>
      <c r="J243" s="72">
        <f>+J244</f>
        <v>0</v>
      </c>
      <c r="K243" s="72">
        <f t="shared" si="185"/>
        <v>0</v>
      </c>
      <c r="L243" s="72">
        <f t="shared" si="186"/>
        <v>0</v>
      </c>
      <c r="M243" s="72">
        <f t="shared" si="187"/>
        <v>0</v>
      </c>
      <c r="N243" s="53">
        <f t="shared" si="182"/>
        <v>260000000</v>
      </c>
      <c r="P243" s="195"/>
      <c r="S243" s="282"/>
      <c r="T243" s="282"/>
      <c r="U243" s="243"/>
    </row>
    <row r="244" spans="1:21" s="49" customFormat="1" ht="18" customHeight="1" x14ac:dyDescent="0.25">
      <c r="A244" s="56"/>
      <c r="B244" s="84"/>
      <c r="C244" s="56"/>
      <c r="D244" s="57" t="s">
        <v>121</v>
      </c>
      <c r="E244" s="57" t="s">
        <v>123</v>
      </c>
      <c r="F244" s="58">
        <f>F245</f>
        <v>260000000</v>
      </c>
      <c r="G244" s="59">
        <f>+G245</f>
        <v>0</v>
      </c>
      <c r="H244" s="59">
        <f>+H245</f>
        <v>0</v>
      </c>
      <c r="I244" s="59">
        <f t="shared" si="184"/>
        <v>0</v>
      </c>
      <c r="J244" s="59">
        <f>+J245</f>
        <v>0</v>
      </c>
      <c r="K244" s="59">
        <f>+K245</f>
        <v>0</v>
      </c>
      <c r="L244" s="59">
        <f t="shared" si="186"/>
        <v>0</v>
      </c>
      <c r="M244" s="59">
        <f t="shared" si="187"/>
        <v>0</v>
      </c>
      <c r="N244" s="58">
        <f t="shared" si="182"/>
        <v>260000000</v>
      </c>
      <c r="P244" s="192"/>
      <c r="S244" s="282"/>
      <c r="T244" s="282"/>
      <c r="U244" s="242"/>
    </row>
    <row r="245" spans="1:21" s="49" customFormat="1" ht="18" customHeight="1" x14ac:dyDescent="0.25">
      <c r="A245" s="61"/>
      <c r="B245" s="66"/>
      <c r="C245" s="61"/>
      <c r="D245" s="62" t="s">
        <v>122</v>
      </c>
      <c r="E245" s="62" t="s">
        <v>124</v>
      </c>
      <c r="F245" s="63">
        <v>260000000</v>
      </c>
      <c r="G245" s="75"/>
      <c r="H245" s="75"/>
      <c r="I245" s="75">
        <f t="shared" si="184"/>
        <v>0</v>
      </c>
      <c r="J245" s="75"/>
      <c r="K245" s="75"/>
      <c r="L245" s="75"/>
      <c r="M245" s="75">
        <f>+I245+L245</f>
        <v>0</v>
      </c>
      <c r="N245" s="63">
        <f t="shared" si="182"/>
        <v>260000000</v>
      </c>
      <c r="P245" s="192"/>
      <c r="S245" s="282"/>
      <c r="T245" s="281"/>
      <c r="U245" s="242"/>
    </row>
    <row r="246" spans="1:21" s="134" customFormat="1" ht="18" customHeight="1" x14ac:dyDescent="0.25">
      <c r="A246" s="129"/>
      <c r="B246" s="131"/>
      <c r="C246" s="131"/>
      <c r="D246" s="131"/>
      <c r="E246" s="131"/>
      <c r="F246" s="132"/>
      <c r="G246" s="133"/>
      <c r="H246" s="133"/>
      <c r="I246" s="133"/>
      <c r="J246" s="133"/>
      <c r="K246" s="133"/>
      <c r="L246" s="133"/>
      <c r="M246" s="133"/>
      <c r="N246" s="132"/>
      <c r="P246" s="197"/>
      <c r="S246" s="286"/>
      <c r="T246" s="286"/>
      <c r="U246" s="247"/>
    </row>
    <row r="247" spans="1:21" s="137" customFormat="1" ht="16.5" customHeight="1" x14ac:dyDescent="0.25">
      <c r="A247" s="109"/>
      <c r="B247" s="110" t="s">
        <v>359</v>
      </c>
      <c r="C247" s="110"/>
      <c r="D247" s="110"/>
      <c r="E247" s="110" t="s">
        <v>360</v>
      </c>
      <c r="F247" s="135">
        <f>+F248+F256+F269+F278</f>
        <v>39780847375</v>
      </c>
      <c r="G247" s="136">
        <f>+G248+G256+G269+G278</f>
        <v>0</v>
      </c>
      <c r="H247" s="136">
        <f>+H248+H256+H269+H278</f>
        <v>3058644020</v>
      </c>
      <c r="I247" s="136">
        <f>+G247+H247</f>
        <v>3058644020</v>
      </c>
      <c r="J247" s="136">
        <f>+J248+J256+J269+J278</f>
        <v>0</v>
      </c>
      <c r="K247" s="136">
        <f>+K248+K256+K269+K278</f>
        <v>94954700</v>
      </c>
      <c r="L247" s="136">
        <f>+J247+K247</f>
        <v>94954700</v>
      </c>
      <c r="M247" s="113">
        <f t="shared" ref="M247" si="188">+I247+L247</f>
        <v>3153598720</v>
      </c>
      <c r="N247" s="135">
        <f t="shared" ref="N247:N255" si="189">+F247-M247</f>
        <v>36627248655</v>
      </c>
      <c r="P247" s="198"/>
      <c r="R247" s="138"/>
      <c r="S247" s="287"/>
      <c r="T247" s="287"/>
      <c r="U247" s="248"/>
    </row>
    <row r="248" spans="1:21" s="121" customFormat="1" ht="18" customHeight="1" x14ac:dyDescent="0.25">
      <c r="A248" s="116">
        <v>12</v>
      </c>
      <c r="B248" s="117"/>
      <c r="C248" s="117" t="s">
        <v>125</v>
      </c>
      <c r="D248" s="118"/>
      <c r="E248" s="128" t="s">
        <v>34</v>
      </c>
      <c r="F248" s="119">
        <f>+F249</f>
        <v>219414700</v>
      </c>
      <c r="G248" s="120">
        <f>+G249</f>
        <v>0</v>
      </c>
      <c r="H248" s="120">
        <f>+H249</f>
        <v>0</v>
      </c>
      <c r="I248" s="120">
        <f>+G248+H248</f>
        <v>0</v>
      </c>
      <c r="J248" s="120">
        <f>+J249</f>
        <v>0</v>
      </c>
      <c r="K248" s="120">
        <f>+K249</f>
        <v>0</v>
      </c>
      <c r="L248" s="120">
        <f>+J248+K248</f>
        <v>0</v>
      </c>
      <c r="M248" s="120">
        <f>+I248+L248</f>
        <v>0</v>
      </c>
      <c r="N248" s="119">
        <f t="shared" si="189"/>
        <v>219414700</v>
      </c>
      <c r="P248" s="190"/>
      <c r="R248" s="122"/>
      <c r="S248" s="283"/>
      <c r="T248" s="283"/>
      <c r="U248" s="246"/>
    </row>
    <row r="249" spans="1:21" s="107" customFormat="1" ht="18" customHeight="1" x14ac:dyDescent="0.25">
      <c r="A249" s="101"/>
      <c r="B249" s="102"/>
      <c r="C249" s="141"/>
      <c r="D249" s="103" t="s">
        <v>207</v>
      </c>
      <c r="E249" s="104" t="s">
        <v>262</v>
      </c>
      <c r="F249" s="105">
        <f t="shared" ref="F249:H251" si="190">+F250</f>
        <v>219414700</v>
      </c>
      <c r="G249" s="106">
        <f>+G250</f>
        <v>0</v>
      </c>
      <c r="H249" s="106">
        <f t="shared" si="190"/>
        <v>0</v>
      </c>
      <c r="I249" s="106">
        <f t="shared" ref="I249:I253" si="191">+G249+H249</f>
        <v>0</v>
      </c>
      <c r="J249" s="106">
        <f t="shared" ref="J249:K251" si="192">+J250</f>
        <v>0</v>
      </c>
      <c r="K249" s="106">
        <f t="shared" si="192"/>
        <v>0</v>
      </c>
      <c r="L249" s="106">
        <f t="shared" ref="L249:L251" si="193">+J249+K249</f>
        <v>0</v>
      </c>
      <c r="M249" s="106">
        <f t="shared" ref="M249:M252" si="194">+I249+L249</f>
        <v>0</v>
      </c>
      <c r="N249" s="105">
        <f t="shared" si="189"/>
        <v>219414700</v>
      </c>
      <c r="P249" s="191"/>
      <c r="R249" s="108"/>
      <c r="S249" s="284"/>
      <c r="T249" s="284"/>
      <c r="U249" s="241"/>
    </row>
    <row r="250" spans="1:21" s="49" customFormat="1" ht="18" customHeight="1" x14ac:dyDescent="0.25">
      <c r="A250" s="44"/>
      <c r="B250" s="82"/>
      <c r="C250" s="44"/>
      <c r="D250" s="45" t="s">
        <v>63</v>
      </c>
      <c r="E250" s="45" t="s">
        <v>30</v>
      </c>
      <c r="F250" s="47">
        <f t="shared" si="190"/>
        <v>219414700</v>
      </c>
      <c r="G250" s="70">
        <f>+G251</f>
        <v>0</v>
      </c>
      <c r="H250" s="70">
        <f t="shared" si="190"/>
        <v>0</v>
      </c>
      <c r="I250" s="70">
        <f t="shared" si="191"/>
        <v>0</v>
      </c>
      <c r="J250" s="70">
        <f t="shared" si="192"/>
        <v>0</v>
      </c>
      <c r="K250" s="70">
        <f t="shared" si="192"/>
        <v>0</v>
      </c>
      <c r="L250" s="70">
        <f t="shared" si="193"/>
        <v>0</v>
      </c>
      <c r="M250" s="70">
        <f t="shared" si="194"/>
        <v>0</v>
      </c>
      <c r="N250" s="47">
        <f t="shared" si="189"/>
        <v>219414700</v>
      </c>
      <c r="P250" s="192"/>
      <c r="S250" s="282"/>
      <c r="T250" s="282"/>
      <c r="U250" s="242"/>
    </row>
    <row r="251" spans="1:21" s="55" customFormat="1" ht="18" customHeight="1" x14ac:dyDescent="0.25">
      <c r="A251" s="50"/>
      <c r="B251" s="51"/>
      <c r="C251" s="50"/>
      <c r="D251" s="71" t="s">
        <v>263</v>
      </c>
      <c r="E251" s="51" t="s">
        <v>264</v>
      </c>
      <c r="F251" s="53">
        <f t="shared" si="190"/>
        <v>219414700</v>
      </c>
      <c r="G251" s="72">
        <f>+G252</f>
        <v>0</v>
      </c>
      <c r="H251" s="72">
        <f t="shared" si="190"/>
        <v>0</v>
      </c>
      <c r="I251" s="72">
        <f t="shared" si="191"/>
        <v>0</v>
      </c>
      <c r="J251" s="72">
        <f t="shared" si="192"/>
        <v>0</v>
      </c>
      <c r="K251" s="72">
        <f t="shared" si="192"/>
        <v>0</v>
      </c>
      <c r="L251" s="72">
        <f t="shared" si="193"/>
        <v>0</v>
      </c>
      <c r="M251" s="72">
        <f t="shared" si="194"/>
        <v>0</v>
      </c>
      <c r="N251" s="53">
        <f t="shared" si="189"/>
        <v>219414700</v>
      </c>
      <c r="P251" s="195"/>
      <c r="S251" s="282"/>
      <c r="T251" s="282"/>
      <c r="U251" s="243"/>
    </row>
    <row r="252" spans="1:21" s="49" customFormat="1" ht="18" customHeight="1" x14ac:dyDescent="0.25">
      <c r="A252" s="56"/>
      <c r="B252" s="84"/>
      <c r="C252" s="56"/>
      <c r="D252" s="57" t="s">
        <v>64</v>
      </c>
      <c r="E252" s="57" t="s">
        <v>65</v>
      </c>
      <c r="F252" s="58">
        <f>SUM(F253:F255)</f>
        <v>219414700</v>
      </c>
      <c r="G252" s="59">
        <f>SUM(G253:G255)</f>
        <v>0</v>
      </c>
      <c r="H252" s="59">
        <f>SUM(H253:H255)</f>
        <v>0</v>
      </c>
      <c r="I252" s="59">
        <f t="shared" si="191"/>
        <v>0</v>
      </c>
      <c r="J252" s="59">
        <f>SUM(J253:J255)</f>
        <v>0</v>
      </c>
      <c r="K252" s="59">
        <f>SUM(K253:K255)</f>
        <v>0</v>
      </c>
      <c r="L252" s="59">
        <f>+J252+K252</f>
        <v>0</v>
      </c>
      <c r="M252" s="59">
        <f t="shared" si="194"/>
        <v>0</v>
      </c>
      <c r="N252" s="58">
        <f t="shared" si="189"/>
        <v>219414700</v>
      </c>
      <c r="P252" s="192"/>
      <c r="S252" s="282"/>
      <c r="T252" s="282"/>
      <c r="U252" s="242"/>
    </row>
    <row r="253" spans="1:21" s="65" customFormat="1" ht="18" customHeight="1" x14ac:dyDescent="0.25">
      <c r="A253" s="61"/>
      <c r="B253" s="66"/>
      <c r="C253" s="61"/>
      <c r="D253" s="62" t="s">
        <v>337</v>
      </c>
      <c r="E253" s="62" t="s">
        <v>338</v>
      </c>
      <c r="F253" s="63">
        <v>875000</v>
      </c>
      <c r="G253" s="75"/>
      <c r="H253" s="75"/>
      <c r="I253" s="75">
        <f t="shared" si="191"/>
        <v>0</v>
      </c>
      <c r="J253" s="75"/>
      <c r="K253" s="75"/>
      <c r="L253" s="75">
        <f>+J253+K253</f>
        <v>0</v>
      </c>
      <c r="M253" s="75">
        <f>+I253+L253</f>
        <v>0</v>
      </c>
      <c r="N253" s="63">
        <f t="shared" si="189"/>
        <v>875000</v>
      </c>
      <c r="P253" s="194"/>
      <c r="S253" s="282"/>
      <c r="T253" s="282"/>
      <c r="U253" s="244"/>
    </row>
    <row r="254" spans="1:21" s="65" customFormat="1" ht="18" customHeight="1" x14ac:dyDescent="0.25">
      <c r="A254" s="61"/>
      <c r="B254" s="66"/>
      <c r="C254" s="61"/>
      <c r="D254" s="62" t="s">
        <v>68</v>
      </c>
      <c r="E254" s="62" t="s">
        <v>69</v>
      </c>
      <c r="F254" s="63">
        <v>182539700</v>
      </c>
      <c r="G254" s="75"/>
      <c r="H254" s="75"/>
      <c r="I254" s="75">
        <f>+G254+H254</f>
        <v>0</v>
      </c>
      <c r="J254" s="75"/>
      <c r="K254" s="75"/>
      <c r="L254" s="75">
        <f>+J254+K254</f>
        <v>0</v>
      </c>
      <c r="M254" s="75">
        <f>+I254+L254</f>
        <v>0</v>
      </c>
      <c r="N254" s="63">
        <f t="shared" si="189"/>
        <v>182539700</v>
      </c>
      <c r="P254" s="194"/>
      <c r="S254" s="281"/>
      <c r="T254" s="282"/>
      <c r="U254" s="244"/>
    </row>
    <row r="255" spans="1:21" s="127" customFormat="1" ht="18" customHeight="1" x14ac:dyDescent="0.25">
      <c r="A255" s="123"/>
      <c r="B255" s="143"/>
      <c r="C255" s="123"/>
      <c r="D255" s="124" t="s">
        <v>126</v>
      </c>
      <c r="E255" s="124" t="s">
        <v>127</v>
      </c>
      <c r="F255" s="125">
        <v>36000000</v>
      </c>
      <c r="G255" s="140">
        <v>0</v>
      </c>
      <c r="H255" s="140"/>
      <c r="I255" s="140">
        <f>+G255+H255</f>
        <v>0</v>
      </c>
      <c r="J255" s="140"/>
      <c r="K255" s="140"/>
      <c r="L255" s="140">
        <f>+J255+K255</f>
        <v>0</v>
      </c>
      <c r="M255" s="140">
        <f>+I255+L255</f>
        <v>0</v>
      </c>
      <c r="N255" s="125">
        <f t="shared" si="189"/>
        <v>36000000</v>
      </c>
      <c r="P255" s="196"/>
      <c r="S255" s="285"/>
      <c r="T255" s="286"/>
      <c r="U255" s="245"/>
    </row>
    <row r="256" spans="1:21" s="121" customFormat="1" ht="18" customHeight="1" x14ac:dyDescent="0.25">
      <c r="A256" s="116">
        <v>13</v>
      </c>
      <c r="B256" s="117"/>
      <c r="C256" s="117" t="s">
        <v>128</v>
      </c>
      <c r="D256" s="118"/>
      <c r="E256" s="128" t="s">
        <v>46</v>
      </c>
      <c r="F256" s="119">
        <f>+F257</f>
        <v>38400620000</v>
      </c>
      <c r="G256" s="120">
        <f>+G257</f>
        <v>0</v>
      </c>
      <c r="H256" s="120">
        <f>+H257</f>
        <v>3058644020</v>
      </c>
      <c r="I256" s="120">
        <f>+G256+H256</f>
        <v>3058644020</v>
      </c>
      <c r="J256" s="120">
        <f>+J257</f>
        <v>0</v>
      </c>
      <c r="K256" s="120">
        <f>+K257</f>
        <v>22194700</v>
      </c>
      <c r="L256" s="120">
        <f>+J256+K256</f>
        <v>22194700</v>
      </c>
      <c r="M256" s="120">
        <f>+I256+L256</f>
        <v>3080838720</v>
      </c>
      <c r="N256" s="119">
        <f>+F256-M256</f>
        <v>35319781280</v>
      </c>
      <c r="P256" s="190"/>
      <c r="R256" s="122"/>
      <c r="S256" s="283"/>
      <c r="T256" s="283"/>
      <c r="U256" s="246"/>
    </row>
    <row r="257" spans="1:21" s="107" customFormat="1" ht="18" customHeight="1" x14ac:dyDescent="0.25">
      <c r="A257" s="101"/>
      <c r="B257" s="102"/>
      <c r="C257" s="141"/>
      <c r="D257" s="103" t="s">
        <v>207</v>
      </c>
      <c r="E257" s="104" t="s">
        <v>262</v>
      </c>
      <c r="F257" s="105">
        <f>+F258</f>
        <v>38400620000</v>
      </c>
      <c r="G257" s="106">
        <f>+G258</f>
        <v>0</v>
      </c>
      <c r="H257" s="106">
        <f t="shared" ref="F257:H259" si="195">+H258</f>
        <v>3058644020</v>
      </c>
      <c r="I257" s="106">
        <f t="shared" ref="I257:I262" si="196">+G257+H257</f>
        <v>3058644020</v>
      </c>
      <c r="J257" s="106">
        <f t="shared" ref="J257:K259" si="197">+J258</f>
        <v>0</v>
      </c>
      <c r="K257" s="106">
        <f t="shared" si="197"/>
        <v>22194700</v>
      </c>
      <c r="L257" s="106">
        <f t="shared" ref="L257:L260" si="198">+J257+K257</f>
        <v>22194700</v>
      </c>
      <c r="M257" s="106">
        <f t="shared" ref="M257:M260" si="199">+I257+L257</f>
        <v>3080838720</v>
      </c>
      <c r="N257" s="105">
        <f>+F257-M257</f>
        <v>35319781280</v>
      </c>
      <c r="P257" s="191"/>
      <c r="R257" s="108"/>
      <c r="S257" s="284"/>
      <c r="T257" s="284"/>
      <c r="U257" s="241"/>
    </row>
    <row r="258" spans="1:21" s="49" customFormat="1" ht="18" customHeight="1" x14ac:dyDescent="0.25">
      <c r="A258" s="44"/>
      <c r="B258" s="82"/>
      <c r="C258" s="44"/>
      <c r="D258" s="45" t="s">
        <v>63</v>
      </c>
      <c r="E258" s="45" t="s">
        <v>30</v>
      </c>
      <c r="F258" s="47">
        <f>+F259+F262</f>
        <v>38400620000</v>
      </c>
      <c r="G258" s="70">
        <f>+G259+G262</f>
        <v>0</v>
      </c>
      <c r="H258" s="70">
        <f>+H259+H262</f>
        <v>3058644020</v>
      </c>
      <c r="I258" s="70">
        <f t="shared" si="196"/>
        <v>3058644020</v>
      </c>
      <c r="J258" s="70">
        <f>+J259+J262</f>
        <v>0</v>
      </c>
      <c r="K258" s="70">
        <f>+K259+K262</f>
        <v>22194700</v>
      </c>
      <c r="L258" s="70">
        <f t="shared" si="198"/>
        <v>22194700</v>
      </c>
      <c r="M258" s="70">
        <f t="shared" si="199"/>
        <v>3080838720</v>
      </c>
      <c r="N258" s="47">
        <f>+F258-M258</f>
        <v>35319781280</v>
      </c>
      <c r="P258" s="192"/>
      <c r="S258" s="282"/>
      <c r="T258" s="282"/>
      <c r="U258" s="242"/>
    </row>
    <row r="259" spans="1:21" s="55" customFormat="1" ht="18" customHeight="1" x14ac:dyDescent="0.25">
      <c r="A259" s="50"/>
      <c r="B259" s="51"/>
      <c r="C259" s="50"/>
      <c r="D259" s="71" t="s">
        <v>263</v>
      </c>
      <c r="E259" s="51" t="s">
        <v>264</v>
      </c>
      <c r="F259" s="53">
        <f t="shared" si="195"/>
        <v>35000000</v>
      </c>
      <c r="G259" s="72">
        <f>+G260</f>
        <v>0</v>
      </c>
      <c r="H259" s="72">
        <f t="shared" si="195"/>
        <v>0</v>
      </c>
      <c r="I259" s="72">
        <f t="shared" si="196"/>
        <v>0</v>
      </c>
      <c r="J259" s="72">
        <f t="shared" si="197"/>
        <v>0</v>
      </c>
      <c r="K259" s="72">
        <f t="shared" si="197"/>
        <v>0</v>
      </c>
      <c r="L259" s="72">
        <f t="shared" si="198"/>
        <v>0</v>
      </c>
      <c r="M259" s="72">
        <f t="shared" si="199"/>
        <v>0</v>
      </c>
      <c r="N259" s="53">
        <f>+F259-M259</f>
        <v>35000000</v>
      </c>
      <c r="P259" s="195"/>
      <c r="S259" s="282"/>
      <c r="T259" s="282"/>
      <c r="U259" s="243"/>
    </row>
    <row r="260" spans="1:21" s="49" customFormat="1" ht="18" customHeight="1" x14ac:dyDescent="0.25">
      <c r="A260" s="56"/>
      <c r="B260" s="84"/>
      <c r="C260" s="56"/>
      <c r="D260" s="57" t="s">
        <v>64</v>
      </c>
      <c r="E260" s="57" t="s">
        <v>65</v>
      </c>
      <c r="F260" s="58">
        <f>+F261</f>
        <v>35000000</v>
      </c>
      <c r="G260" s="59">
        <f>+G261</f>
        <v>0</v>
      </c>
      <c r="H260" s="59">
        <f>+H261+H265</f>
        <v>0</v>
      </c>
      <c r="I260" s="59">
        <f t="shared" si="196"/>
        <v>0</v>
      </c>
      <c r="J260" s="59">
        <f>J261</f>
        <v>0</v>
      </c>
      <c r="K260" s="59">
        <f>+K261</f>
        <v>0</v>
      </c>
      <c r="L260" s="59">
        <f t="shared" si="198"/>
        <v>0</v>
      </c>
      <c r="M260" s="59">
        <f t="shared" si="199"/>
        <v>0</v>
      </c>
      <c r="N260" s="58">
        <f>+F260-M260</f>
        <v>35000000</v>
      </c>
      <c r="P260" s="192"/>
      <c r="S260" s="282"/>
      <c r="T260" s="282"/>
      <c r="U260" s="242"/>
    </row>
    <row r="261" spans="1:21" s="65" customFormat="1" ht="18" customHeight="1" x14ac:dyDescent="0.25">
      <c r="A261" s="61"/>
      <c r="B261" s="66"/>
      <c r="C261" s="61"/>
      <c r="D261" s="62" t="s">
        <v>129</v>
      </c>
      <c r="E261" s="62" t="s">
        <v>130</v>
      </c>
      <c r="F261" s="63">
        <v>35000000</v>
      </c>
      <c r="G261" s="75"/>
      <c r="H261" s="75"/>
      <c r="I261" s="75">
        <f t="shared" si="196"/>
        <v>0</v>
      </c>
      <c r="J261" s="75"/>
      <c r="K261" s="75"/>
      <c r="L261" s="75">
        <f>+J261+K261</f>
        <v>0</v>
      </c>
      <c r="M261" s="75">
        <f>+I261+L261</f>
        <v>0</v>
      </c>
      <c r="N261" s="63">
        <f t="shared" ref="N261" si="200">+F261-M261</f>
        <v>35000000</v>
      </c>
      <c r="P261" s="194"/>
      <c r="S261" s="281"/>
      <c r="T261" s="282"/>
      <c r="U261" s="244"/>
    </row>
    <row r="262" spans="1:21" s="55" customFormat="1" ht="18" customHeight="1" x14ac:dyDescent="0.25">
      <c r="A262" s="50"/>
      <c r="B262" s="51"/>
      <c r="C262" s="50"/>
      <c r="D262" s="71" t="s">
        <v>271</v>
      </c>
      <c r="E262" s="51" t="s">
        <v>272</v>
      </c>
      <c r="F262" s="53">
        <f t="shared" ref="F262:H262" si="201">+F263</f>
        <v>38365620000</v>
      </c>
      <c r="G262" s="72">
        <f>+G263</f>
        <v>0</v>
      </c>
      <c r="H262" s="72">
        <f t="shared" si="201"/>
        <v>3058644020</v>
      </c>
      <c r="I262" s="72">
        <f t="shared" si="196"/>
        <v>3058644020</v>
      </c>
      <c r="J262" s="72">
        <f>+J263</f>
        <v>0</v>
      </c>
      <c r="K262" s="72">
        <f t="shared" ref="K262" si="202">+K263</f>
        <v>22194700</v>
      </c>
      <c r="L262" s="72">
        <f t="shared" ref="L262" si="203">+J262+K262</f>
        <v>22194700</v>
      </c>
      <c r="M262" s="72">
        <f t="shared" ref="M262:M263" si="204">+I262+L262</f>
        <v>3080838720</v>
      </c>
      <c r="N262" s="53">
        <f>+F262-M262</f>
        <v>35284781280</v>
      </c>
      <c r="P262" s="195"/>
      <c r="S262" s="281"/>
      <c r="T262" s="282"/>
      <c r="U262" s="243"/>
    </row>
    <row r="263" spans="1:21" s="49" customFormat="1" ht="18" customHeight="1" x14ac:dyDescent="0.25">
      <c r="A263" s="56"/>
      <c r="B263" s="84"/>
      <c r="C263" s="56"/>
      <c r="D263" s="57" t="s">
        <v>81</v>
      </c>
      <c r="E263" s="57" t="s">
        <v>31</v>
      </c>
      <c r="F263" s="58">
        <f>SUM(F264:F268)</f>
        <v>38365620000</v>
      </c>
      <c r="G263" s="59">
        <f>SUM(G264:G268)</f>
        <v>0</v>
      </c>
      <c r="H263" s="59">
        <f>SUM(H264:H268)</f>
        <v>3058644020</v>
      </c>
      <c r="I263" s="59">
        <f>+G263+H263</f>
        <v>3058644020</v>
      </c>
      <c r="J263" s="59">
        <f>SUM(J264:J268)</f>
        <v>0</v>
      </c>
      <c r="K263" s="59">
        <f>SUM(K264:K268)</f>
        <v>22194700</v>
      </c>
      <c r="L263" s="59">
        <f>+J263+K263</f>
        <v>22194700</v>
      </c>
      <c r="M263" s="59">
        <f t="shared" si="204"/>
        <v>3080838720</v>
      </c>
      <c r="N263" s="58">
        <f>+F263-M263</f>
        <v>35284781280</v>
      </c>
      <c r="P263" s="192"/>
      <c r="S263" s="281"/>
      <c r="T263" s="282"/>
      <c r="U263" s="242"/>
    </row>
    <row r="264" spans="1:21" s="65" customFormat="1" ht="18" customHeight="1" x14ac:dyDescent="0.25">
      <c r="A264" s="61"/>
      <c r="B264" s="66"/>
      <c r="C264" s="61"/>
      <c r="D264" s="62" t="s">
        <v>131</v>
      </c>
      <c r="E264" s="62" t="s">
        <v>132</v>
      </c>
      <c r="F264" s="63">
        <v>16800000</v>
      </c>
      <c r="G264" s="75"/>
      <c r="H264" s="75"/>
      <c r="I264" s="75">
        <f t="shared" ref="I264:I268" si="205">+G264+H264</f>
        <v>0</v>
      </c>
      <c r="J264" s="75"/>
      <c r="K264" s="75"/>
      <c r="L264" s="75">
        <f>+J264+K264</f>
        <v>0</v>
      </c>
      <c r="M264" s="75">
        <f>+I264+L264</f>
        <v>0</v>
      </c>
      <c r="N264" s="63">
        <f t="shared" ref="N264:N268" si="206">+F264-M264</f>
        <v>16800000</v>
      </c>
      <c r="P264" s="194"/>
      <c r="S264" s="281"/>
      <c r="T264" s="282"/>
      <c r="U264" s="244"/>
    </row>
    <row r="265" spans="1:21" s="65" customFormat="1" ht="18" customHeight="1" x14ac:dyDescent="0.25">
      <c r="A265" s="61"/>
      <c r="B265" s="66"/>
      <c r="C265" s="61"/>
      <c r="D265" s="62" t="s">
        <v>133</v>
      </c>
      <c r="E265" s="62" t="s">
        <v>134</v>
      </c>
      <c r="F265" s="63">
        <v>42000000</v>
      </c>
      <c r="G265" s="75">
        <v>0</v>
      </c>
      <c r="H265" s="75"/>
      <c r="I265" s="75">
        <f t="shared" si="205"/>
        <v>0</v>
      </c>
      <c r="J265" s="75"/>
      <c r="K265" s="75">
        <v>2344700</v>
      </c>
      <c r="L265" s="75">
        <f>+J265+K265</f>
        <v>2344700</v>
      </c>
      <c r="M265" s="75">
        <f>+I265+L265</f>
        <v>2344700</v>
      </c>
      <c r="N265" s="63">
        <f t="shared" si="206"/>
        <v>39655300</v>
      </c>
      <c r="P265" s="194"/>
      <c r="S265" s="281"/>
      <c r="T265" s="282"/>
      <c r="U265" s="244"/>
    </row>
    <row r="266" spans="1:21" s="65" customFormat="1" ht="18" customHeight="1" x14ac:dyDescent="0.25">
      <c r="A266" s="61"/>
      <c r="B266" s="66"/>
      <c r="C266" s="61"/>
      <c r="D266" s="62" t="s">
        <v>135</v>
      </c>
      <c r="E266" s="62" t="s">
        <v>136</v>
      </c>
      <c r="F266" s="63">
        <v>37992800000</v>
      </c>
      <c r="G266" s="75"/>
      <c r="H266" s="75">
        <f>33466948+3025177072</f>
        <v>3058644020</v>
      </c>
      <c r="I266" s="75">
        <f t="shared" si="205"/>
        <v>3058644020</v>
      </c>
      <c r="J266" s="75"/>
      <c r="K266" s="75"/>
      <c r="L266" s="75">
        <f>+J266+K266</f>
        <v>0</v>
      </c>
      <c r="M266" s="75">
        <f>+I266+L266</f>
        <v>3058644020</v>
      </c>
      <c r="N266" s="63">
        <f t="shared" si="206"/>
        <v>34934155980</v>
      </c>
      <c r="P266" s="194"/>
      <c r="S266" s="281"/>
      <c r="T266" s="281"/>
      <c r="U266" s="244"/>
    </row>
    <row r="267" spans="1:21" s="65" customFormat="1" ht="18" customHeight="1" x14ac:dyDescent="0.25">
      <c r="A267" s="61"/>
      <c r="B267" s="66"/>
      <c r="C267" s="61"/>
      <c r="D267" s="62" t="s">
        <v>137</v>
      </c>
      <c r="E267" s="62" t="s">
        <v>138</v>
      </c>
      <c r="F267" s="63">
        <v>12820000</v>
      </c>
      <c r="G267" s="75"/>
      <c r="H267" s="75"/>
      <c r="I267" s="75">
        <f t="shared" si="205"/>
        <v>0</v>
      </c>
      <c r="J267" s="75"/>
      <c r="K267" s="75"/>
      <c r="L267" s="75">
        <f t="shared" ref="L267:L272" si="207">+J267+K267</f>
        <v>0</v>
      </c>
      <c r="M267" s="75">
        <f t="shared" ref="M267:M268" si="208">+I267+L267</f>
        <v>0</v>
      </c>
      <c r="N267" s="63">
        <f t="shared" si="206"/>
        <v>12820000</v>
      </c>
      <c r="P267" s="194"/>
      <c r="S267" s="281"/>
      <c r="T267" s="281"/>
      <c r="U267" s="244"/>
    </row>
    <row r="268" spans="1:21" s="65" customFormat="1" ht="18" customHeight="1" x14ac:dyDescent="0.25">
      <c r="A268" s="61"/>
      <c r="B268" s="66"/>
      <c r="C268" s="61"/>
      <c r="D268" s="62" t="s">
        <v>139</v>
      </c>
      <c r="E268" s="62" t="s">
        <v>140</v>
      </c>
      <c r="F268" s="63">
        <v>301200000</v>
      </c>
      <c r="G268" s="75"/>
      <c r="H268" s="75"/>
      <c r="I268" s="75">
        <f t="shared" si="205"/>
        <v>0</v>
      </c>
      <c r="J268" s="75"/>
      <c r="K268" s="75">
        <v>19850000</v>
      </c>
      <c r="L268" s="75">
        <f t="shared" si="207"/>
        <v>19850000</v>
      </c>
      <c r="M268" s="75">
        <f t="shared" si="208"/>
        <v>19850000</v>
      </c>
      <c r="N268" s="63">
        <f t="shared" si="206"/>
        <v>281350000</v>
      </c>
      <c r="P268" s="194"/>
      <c r="S268" s="281"/>
      <c r="T268" s="281"/>
      <c r="U268" s="244"/>
    </row>
    <row r="269" spans="1:21" s="121" customFormat="1" ht="18" customHeight="1" x14ac:dyDescent="0.25">
      <c r="A269" s="116">
        <v>14</v>
      </c>
      <c r="B269" s="117"/>
      <c r="C269" s="117" t="s">
        <v>141</v>
      </c>
      <c r="D269" s="118"/>
      <c r="E269" s="128" t="s">
        <v>142</v>
      </c>
      <c r="F269" s="119">
        <f>+F270</f>
        <v>100000000</v>
      </c>
      <c r="G269" s="120">
        <f>+G270</f>
        <v>0</v>
      </c>
      <c r="H269" s="120">
        <f>+H270</f>
        <v>0</v>
      </c>
      <c r="I269" s="120">
        <f>+G269+H269</f>
        <v>0</v>
      </c>
      <c r="J269" s="120">
        <f>+J270</f>
        <v>0</v>
      </c>
      <c r="K269" s="120">
        <f>+K270</f>
        <v>0</v>
      </c>
      <c r="L269" s="120">
        <f t="shared" si="207"/>
        <v>0</v>
      </c>
      <c r="M269" s="120">
        <f>+I269+L269</f>
        <v>0</v>
      </c>
      <c r="N269" s="119">
        <f>+F269-M269</f>
        <v>100000000</v>
      </c>
      <c r="P269" s="190"/>
      <c r="R269" s="122"/>
      <c r="S269" s="283"/>
      <c r="T269" s="283"/>
      <c r="U269" s="246"/>
    </row>
    <row r="270" spans="1:21" s="107" customFormat="1" ht="16.5" customHeight="1" x14ac:dyDescent="0.25">
      <c r="A270" s="101"/>
      <c r="B270" s="102"/>
      <c r="C270" s="102"/>
      <c r="D270" s="103" t="s">
        <v>207</v>
      </c>
      <c r="E270" s="104" t="s">
        <v>262</v>
      </c>
      <c r="F270" s="105">
        <f>+F271</f>
        <v>100000000</v>
      </c>
      <c r="G270" s="106">
        <f>+G271</f>
        <v>0</v>
      </c>
      <c r="H270" s="106">
        <f t="shared" ref="F270:H272" si="209">+H271</f>
        <v>0</v>
      </c>
      <c r="I270" s="106">
        <f t="shared" ref="I270:I276" si="210">+G270+H270</f>
        <v>0</v>
      </c>
      <c r="J270" s="106">
        <f t="shared" ref="J270:J272" si="211">+J271</f>
        <v>0</v>
      </c>
      <c r="K270" s="106">
        <f>+K271</f>
        <v>0</v>
      </c>
      <c r="L270" s="106">
        <f t="shared" si="207"/>
        <v>0</v>
      </c>
      <c r="M270" s="106">
        <f t="shared" ref="M270:M273" si="212">+I270+L270</f>
        <v>0</v>
      </c>
      <c r="N270" s="105">
        <f>+F270-M270</f>
        <v>100000000</v>
      </c>
      <c r="P270" s="191"/>
      <c r="R270" s="108"/>
      <c r="S270" s="284"/>
      <c r="T270" s="284"/>
      <c r="U270" s="241"/>
    </row>
    <row r="271" spans="1:21" s="49" customFormat="1" ht="16.5" customHeight="1" x14ac:dyDescent="0.25">
      <c r="A271" s="44"/>
      <c r="B271" s="82"/>
      <c r="C271" s="44"/>
      <c r="D271" s="45" t="s">
        <v>63</v>
      </c>
      <c r="E271" s="45" t="s">
        <v>30</v>
      </c>
      <c r="F271" s="47">
        <f>F272</f>
        <v>100000000</v>
      </c>
      <c r="G271" s="70">
        <f>+G272</f>
        <v>0</v>
      </c>
      <c r="H271" s="70">
        <f t="shared" si="209"/>
        <v>0</v>
      </c>
      <c r="I271" s="70">
        <f t="shared" si="210"/>
        <v>0</v>
      </c>
      <c r="J271" s="70">
        <f t="shared" si="211"/>
        <v>0</v>
      </c>
      <c r="K271" s="70">
        <f>+K272</f>
        <v>0</v>
      </c>
      <c r="L271" s="70">
        <f t="shared" si="207"/>
        <v>0</v>
      </c>
      <c r="M271" s="70">
        <f t="shared" si="212"/>
        <v>0</v>
      </c>
      <c r="N271" s="47">
        <f>+F271-M271</f>
        <v>100000000</v>
      </c>
      <c r="P271" s="192"/>
      <c r="S271" s="282"/>
      <c r="T271" s="282"/>
      <c r="U271" s="242"/>
    </row>
    <row r="272" spans="1:21" s="55" customFormat="1" ht="16.5" customHeight="1" x14ac:dyDescent="0.25">
      <c r="A272" s="50"/>
      <c r="B272" s="51"/>
      <c r="C272" s="50"/>
      <c r="D272" s="71" t="s">
        <v>263</v>
      </c>
      <c r="E272" s="51" t="s">
        <v>264</v>
      </c>
      <c r="F272" s="53">
        <f t="shared" si="209"/>
        <v>100000000</v>
      </c>
      <c r="G272" s="72">
        <f>+G273</f>
        <v>0</v>
      </c>
      <c r="H272" s="72">
        <f t="shared" si="209"/>
        <v>0</v>
      </c>
      <c r="I272" s="72">
        <f t="shared" si="210"/>
        <v>0</v>
      </c>
      <c r="J272" s="72">
        <f t="shared" si="211"/>
        <v>0</v>
      </c>
      <c r="K272" s="72">
        <f>+K273</f>
        <v>0</v>
      </c>
      <c r="L272" s="72">
        <f t="shared" si="207"/>
        <v>0</v>
      </c>
      <c r="M272" s="72">
        <f t="shared" si="212"/>
        <v>0</v>
      </c>
      <c r="N272" s="53">
        <f>+F272-M272</f>
        <v>100000000</v>
      </c>
      <c r="P272" s="195"/>
      <c r="S272" s="282"/>
      <c r="T272" s="282"/>
      <c r="U272" s="243"/>
    </row>
    <row r="273" spans="1:21" s="49" customFormat="1" ht="16.5" customHeight="1" x14ac:dyDescent="0.25">
      <c r="A273" s="56"/>
      <c r="B273" s="84"/>
      <c r="C273" s="56"/>
      <c r="D273" s="57" t="s">
        <v>64</v>
      </c>
      <c r="E273" s="57" t="s">
        <v>65</v>
      </c>
      <c r="F273" s="58">
        <f>SUM(F274:F277)</f>
        <v>100000000</v>
      </c>
      <c r="G273" s="59">
        <f>SUM(G274:G277)</f>
        <v>0</v>
      </c>
      <c r="H273" s="59">
        <f>SUM(H274:H277)</f>
        <v>0</v>
      </c>
      <c r="I273" s="59">
        <f>+G273+H273</f>
        <v>0</v>
      </c>
      <c r="J273" s="59">
        <f>SUM(J274:J277)</f>
        <v>0</v>
      </c>
      <c r="K273" s="59">
        <f>SUM(K274:K277)</f>
        <v>0</v>
      </c>
      <c r="L273" s="59">
        <f>+J273+K273</f>
        <v>0</v>
      </c>
      <c r="M273" s="59">
        <f t="shared" si="212"/>
        <v>0</v>
      </c>
      <c r="N273" s="58">
        <f>+F273-M273</f>
        <v>100000000</v>
      </c>
      <c r="P273" s="192"/>
      <c r="S273" s="282"/>
      <c r="T273" s="282"/>
      <c r="U273" s="242"/>
    </row>
    <row r="274" spans="1:21" s="65" customFormat="1" ht="16.5" customHeight="1" x14ac:dyDescent="0.25">
      <c r="A274" s="61"/>
      <c r="B274" s="66"/>
      <c r="C274" s="61"/>
      <c r="D274" s="62" t="s">
        <v>66</v>
      </c>
      <c r="E274" s="62" t="s">
        <v>67</v>
      </c>
      <c r="F274" s="63">
        <v>57982150</v>
      </c>
      <c r="G274" s="75"/>
      <c r="H274" s="75"/>
      <c r="I274" s="75">
        <f t="shared" si="210"/>
        <v>0</v>
      </c>
      <c r="J274" s="75"/>
      <c r="K274" s="75"/>
      <c r="L274" s="75">
        <f>+J274+K274</f>
        <v>0</v>
      </c>
      <c r="M274" s="75">
        <f>+I274+L274</f>
        <v>0</v>
      </c>
      <c r="N274" s="63">
        <f t="shared" ref="N274:N277" si="213">+F274-M274</f>
        <v>57982150</v>
      </c>
      <c r="P274" s="194"/>
      <c r="S274" s="282"/>
      <c r="T274" s="282"/>
      <c r="U274" s="244"/>
    </row>
    <row r="275" spans="1:21" s="65" customFormat="1" ht="18" customHeight="1" x14ac:dyDescent="0.25">
      <c r="A275" s="61"/>
      <c r="B275" s="66"/>
      <c r="C275" s="61"/>
      <c r="D275" s="62" t="s">
        <v>337</v>
      </c>
      <c r="E275" s="62" t="s">
        <v>338</v>
      </c>
      <c r="F275" s="63">
        <v>29743300</v>
      </c>
      <c r="G275" s="75"/>
      <c r="H275" s="75"/>
      <c r="I275" s="75">
        <f t="shared" si="210"/>
        <v>0</v>
      </c>
      <c r="J275" s="75"/>
      <c r="K275" s="75"/>
      <c r="L275" s="75"/>
      <c r="M275" s="75">
        <f t="shared" ref="M275:M276" si="214">+I275+L275</f>
        <v>0</v>
      </c>
      <c r="N275" s="63">
        <f t="shared" si="213"/>
        <v>29743300</v>
      </c>
      <c r="P275" s="194"/>
      <c r="S275" s="282"/>
      <c r="T275" s="282"/>
      <c r="U275" s="244"/>
    </row>
    <row r="276" spans="1:21" s="65" customFormat="1" ht="18" customHeight="1" x14ac:dyDescent="0.25">
      <c r="A276" s="61"/>
      <c r="B276" s="66"/>
      <c r="C276" s="61"/>
      <c r="D276" s="62" t="s">
        <v>339</v>
      </c>
      <c r="E276" s="62" t="s">
        <v>340</v>
      </c>
      <c r="F276" s="63">
        <v>8842500</v>
      </c>
      <c r="G276" s="75"/>
      <c r="H276" s="75"/>
      <c r="I276" s="75">
        <f t="shared" si="210"/>
        <v>0</v>
      </c>
      <c r="J276" s="75"/>
      <c r="K276" s="75"/>
      <c r="L276" s="75"/>
      <c r="M276" s="75">
        <f t="shared" si="214"/>
        <v>0</v>
      </c>
      <c r="N276" s="63">
        <f t="shared" si="213"/>
        <v>8842500</v>
      </c>
      <c r="P276" s="194"/>
      <c r="S276" s="282"/>
      <c r="T276" s="282"/>
      <c r="U276" s="244"/>
    </row>
    <row r="277" spans="1:21" s="127" customFormat="1" ht="18" customHeight="1" x14ac:dyDescent="0.25">
      <c r="A277" s="123"/>
      <c r="B277" s="143"/>
      <c r="C277" s="123"/>
      <c r="D277" s="124" t="s">
        <v>361</v>
      </c>
      <c r="E277" s="124" t="s">
        <v>362</v>
      </c>
      <c r="F277" s="125">
        <v>3432050</v>
      </c>
      <c r="G277" s="140"/>
      <c r="H277" s="140"/>
      <c r="I277" s="140">
        <f>+G277+H277</f>
        <v>0</v>
      </c>
      <c r="J277" s="140"/>
      <c r="K277" s="140"/>
      <c r="L277" s="140">
        <f>+J277+K277</f>
        <v>0</v>
      </c>
      <c r="M277" s="140">
        <f>+I277+L277</f>
        <v>0</v>
      </c>
      <c r="N277" s="125">
        <f t="shared" si="213"/>
        <v>3432050</v>
      </c>
      <c r="P277" s="196"/>
      <c r="S277" s="286"/>
      <c r="T277" s="286"/>
      <c r="U277" s="245"/>
    </row>
    <row r="278" spans="1:21" s="121" customFormat="1" ht="18" customHeight="1" x14ac:dyDescent="0.25">
      <c r="A278" s="154">
        <v>15</v>
      </c>
      <c r="B278" s="117"/>
      <c r="C278" s="117" t="s">
        <v>363</v>
      </c>
      <c r="D278" s="118"/>
      <c r="E278" s="128" t="s">
        <v>364</v>
      </c>
      <c r="F278" s="119">
        <f t="shared" ref="F278:H279" si="215">+F279</f>
        <v>1060812675</v>
      </c>
      <c r="G278" s="120">
        <f t="shared" si="215"/>
        <v>0</v>
      </c>
      <c r="H278" s="120">
        <f t="shared" si="215"/>
        <v>0</v>
      </c>
      <c r="I278" s="120">
        <f>+G278+H278</f>
        <v>0</v>
      </c>
      <c r="J278" s="120">
        <f>+J279</f>
        <v>0</v>
      </c>
      <c r="K278" s="120">
        <f>+K279</f>
        <v>72760000</v>
      </c>
      <c r="L278" s="120">
        <f>+J278+K278</f>
        <v>72760000</v>
      </c>
      <c r="M278" s="120">
        <f>+I278+L278</f>
        <v>72760000</v>
      </c>
      <c r="N278" s="119">
        <f>+F278-M278</f>
        <v>988052675</v>
      </c>
      <c r="P278" s="190"/>
      <c r="R278" s="122"/>
      <c r="S278" s="283"/>
      <c r="T278" s="283"/>
      <c r="U278" s="246"/>
    </row>
    <row r="279" spans="1:21" s="107" customFormat="1" ht="18" customHeight="1" x14ac:dyDescent="0.25">
      <c r="A279" s="101"/>
      <c r="B279" s="102"/>
      <c r="C279" s="102"/>
      <c r="D279" s="103" t="s">
        <v>207</v>
      </c>
      <c r="E279" s="104" t="s">
        <v>262</v>
      </c>
      <c r="F279" s="105">
        <f t="shared" si="215"/>
        <v>1060812675</v>
      </c>
      <c r="G279" s="106">
        <f t="shared" si="215"/>
        <v>0</v>
      </c>
      <c r="H279" s="106">
        <f t="shared" si="215"/>
        <v>0</v>
      </c>
      <c r="I279" s="106">
        <f t="shared" ref="I279:I283" si="216">+G279+H279</f>
        <v>0</v>
      </c>
      <c r="J279" s="106">
        <f>+J280</f>
        <v>0</v>
      </c>
      <c r="K279" s="106">
        <f>+K280</f>
        <v>72760000</v>
      </c>
      <c r="L279" s="106">
        <f t="shared" ref="L279:L281" si="217">+J279+K279</f>
        <v>72760000</v>
      </c>
      <c r="M279" s="106">
        <f t="shared" ref="M279:M282" si="218">+I279+L279</f>
        <v>72760000</v>
      </c>
      <c r="N279" s="105">
        <f>+F279-M279</f>
        <v>988052675</v>
      </c>
      <c r="P279" s="191"/>
      <c r="R279" s="108"/>
      <c r="S279" s="284"/>
      <c r="T279" s="284"/>
      <c r="U279" s="241"/>
    </row>
    <row r="280" spans="1:21" s="49" customFormat="1" ht="18" customHeight="1" x14ac:dyDescent="0.25">
      <c r="A280" s="44"/>
      <c r="B280" s="82"/>
      <c r="C280" s="44"/>
      <c r="D280" s="45" t="s">
        <v>63</v>
      </c>
      <c r="E280" s="45" t="s">
        <v>30</v>
      </c>
      <c r="F280" s="47">
        <f>+F281+F291</f>
        <v>1060812675</v>
      </c>
      <c r="G280" s="70">
        <f>+G281+G291</f>
        <v>0</v>
      </c>
      <c r="H280" s="70">
        <f>+H281+H291</f>
        <v>0</v>
      </c>
      <c r="I280" s="70">
        <f t="shared" si="216"/>
        <v>0</v>
      </c>
      <c r="J280" s="70">
        <f>+J281+J291</f>
        <v>0</v>
      </c>
      <c r="K280" s="70">
        <f>+K281+K291</f>
        <v>72760000</v>
      </c>
      <c r="L280" s="70">
        <f t="shared" si="217"/>
        <v>72760000</v>
      </c>
      <c r="M280" s="70">
        <f t="shared" si="218"/>
        <v>72760000</v>
      </c>
      <c r="N280" s="47">
        <f>+F280-M280</f>
        <v>988052675</v>
      </c>
      <c r="P280" s="192"/>
      <c r="S280" s="282"/>
      <c r="T280" s="282"/>
      <c r="U280" s="242"/>
    </row>
    <row r="281" spans="1:21" s="55" customFormat="1" ht="18" customHeight="1" x14ac:dyDescent="0.25">
      <c r="A281" s="50"/>
      <c r="B281" s="51"/>
      <c r="C281" s="50"/>
      <c r="D281" s="71" t="s">
        <v>263</v>
      </c>
      <c r="E281" s="51" t="s">
        <v>264</v>
      </c>
      <c r="F281" s="53">
        <f>+F282</f>
        <v>105412675</v>
      </c>
      <c r="G281" s="72">
        <f t="shared" ref="G281:J281" si="219">+G282</f>
        <v>0</v>
      </c>
      <c r="H281" s="72">
        <f>+H282</f>
        <v>0</v>
      </c>
      <c r="I281" s="72">
        <f t="shared" si="216"/>
        <v>0</v>
      </c>
      <c r="J281" s="72">
        <f t="shared" si="219"/>
        <v>0</v>
      </c>
      <c r="K281" s="72">
        <f>+K282</f>
        <v>0</v>
      </c>
      <c r="L281" s="72">
        <f t="shared" si="217"/>
        <v>0</v>
      </c>
      <c r="M281" s="72">
        <f t="shared" si="218"/>
        <v>0</v>
      </c>
      <c r="N281" s="53">
        <f>+F281-M281</f>
        <v>105412675</v>
      </c>
      <c r="P281" s="195"/>
      <c r="S281" s="282"/>
      <c r="T281" s="282"/>
      <c r="U281" s="243"/>
    </row>
    <row r="282" spans="1:21" s="49" customFormat="1" ht="18" customHeight="1" x14ac:dyDescent="0.25">
      <c r="A282" s="56"/>
      <c r="B282" s="84"/>
      <c r="C282" s="56"/>
      <c r="D282" s="57" t="s">
        <v>64</v>
      </c>
      <c r="E282" s="57" t="s">
        <v>65</v>
      </c>
      <c r="F282" s="58">
        <f>SUM(F283:F290)</f>
        <v>105412675</v>
      </c>
      <c r="G282" s="59">
        <f>SUM(G283:G290)</f>
        <v>0</v>
      </c>
      <c r="H282" s="59">
        <f>SUM(H283:H290)</f>
        <v>0</v>
      </c>
      <c r="I282" s="59">
        <f>+G282+H282</f>
        <v>0</v>
      </c>
      <c r="J282" s="59">
        <f>SUM(J283:J290)</f>
        <v>0</v>
      </c>
      <c r="K282" s="59">
        <f>SUM(K283:K290)</f>
        <v>0</v>
      </c>
      <c r="L282" s="59">
        <f>+J282+K282</f>
        <v>0</v>
      </c>
      <c r="M282" s="59">
        <f t="shared" si="218"/>
        <v>0</v>
      </c>
      <c r="N282" s="58">
        <f>+F282-M282</f>
        <v>105412675</v>
      </c>
      <c r="P282" s="192"/>
      <c r="S282" s="282"/>
      <c r="T282" s="282"/>
      <c r="U282" s="242"/>
    </row>
    <row r="283" spans="1:21" s="65" customFormat="1" ht="18" customHeight="1" x14ac:dyDescent="0.25">
      <c r="A283" s="171"/>
      <c r="C283" s="171"/>
      <c r="D283" s="162" t="s">
        <v>365</v>
      </c>
      <c r="E283" s="162" t="s">
        <v>366</v>
      </c>
      <c r="F283" s="173">
        <v>9228650</v>
      </c>
      <c r="G283" s="163"/>
      <c r="H283" s="163"/>
      <c r="I283" s="163">
        <f t="shared" si="216"/>
        <v>0</v>
      </c>
      <c r="J283" s="163"/>
      <c r="K283" s="163"/>
      <c r="L283" s="163">
        <f>+J283+K283</f>
        <v>0</v>
      </c>
      <c r="M283" s="163">
        <f>+I283+L283</f>
        <v>0</v>
      </c>
      <c r="N283" s="173">
        <f t="shared" ref="N283:N290" si="220">+F283-M283</f>
        <v>9228650</v>
      </c>
      <c r="P283" s="194"/>
      <c r="S283" s="282"/>
      <c r="T283" s="282"/>
      <c r="U283" s="244"/>
    </row>
    <row r="284" spans="1:21" s="65" customFormat="1" ht="18" customHeight="1" x14ac:dyDescent="0.25">
      <c r="A284" s="171"/>
      <c r="C284" s="171"/>
      <c r="D284" s="162" t="s">
        <v>66</v>
      </c>
      <c r="E284" s="162" t="s">
        <v>67</v>
      </c>
      <c r="F284" s="173">
        <v>4831925</v>
      </c>
      <c r="G284" s="163"/>
      <c r="H284" s="163"/>
      <c r="I284" s="163"/>
      <c r="J284" s="163"/>
      <c r="K284" s="163"/>
      <c r="L284" s="163">
        <f t="shared" ref="L284:L290" si="221">+J284+K284</f>
        <v>0</v>
      </c>
      <c r="M284" s="163">
        <f t="shared" ref="M284:M292" si="222">+I284+L284</f>
        <v>0</v>
      </c>
      <c r="N284" s="173">
        <f t="shared" si="220"/>
        <v>4831925</v>
      </c>
      <c r="P284" s="194"/>
      <c r="S284" s="282"/>
      <c r="T284" s="282"/>
      <c r="U284" s="244"/>
    </row>
    <row r="285" spans="1:21" s="65" customFormat="1" ht="18" customHeight="1" x14ac:dyDescent="0.25">
      <c r="A285" s="171"/>
      <c r="C285" s="171"/>
      <c r="D285" s="162" t="s">
        <v>337</v>
      </c>
      <c r="E285" s="162" t="s">
        <v>338</v>
      </c>
      <c r="F285" s="173">
        <v>18985000</v>
      </c>
      <c r="G285" s="163"/>
      <c r="H285" s="163"/>
      <c r="I285" s="163"/>
      <c r="J285" s="163"/>
      <c r="K285" s="163"/>
      <c r="L285" s="163">
        <f t="shared" si="221"/>
        <v>0</v>
      </c>
      <c r="M285" s="163">
        <f t="shared" si="222"/>
        <v>0</v>
      </c>
      <c r="N285" s="173">
        <f t="shared" si="220"/>
        <v>18985000</v>
      </c>
      <c r="P285" s="194"/>
      <c r="S285" s="282"/>
      <c r="T285" s="282"/>
      <c r="U285" s="244"/>
    </row>
    <row r="286" spans="1:21" s="65" customFormat="1" ht="18" customHeight="1" x14ac:dyDescent="0.25">
      <c r="A286" s="171"/>
      <c r="C286" s="171"/>
      <c r="D286" s="162" t="s">
        <v>339</v>
      </c>
      <c r="E286" s="162" t="s">
        <v>340</v>
      </c>
      <c r="F286" s="173">
        <v>2175000</v>
      </c>
      <c r="G286" s="163"/>
      <c r="H286" s="163"/>
      <c r="I286" s="163"/>
      <c r="J286" s="163"/>
      <c r="K286" s="163"/>
      <c r="L286" s="163">
        <f t="shared" si="221"/>
        <v>0</v>
      </c>
      <c r="M286" s="163">
        <f t="shared" si="222"/>
        <v>0</v>
      </c>
      <c r="N286" s="173">
        <f t="shared" si="220"/>
        <v>2175000</v>
      </c>
      <c r="P286" s="194"/>
      <c r="S286" s="282"/>
      <c r="T286" s="282"/>
      <c r="U286" s="244"/>
    </row>
    <row r="287" spans="1:21" s="65" customFormat="1" ht="18" customHeight="1" x14ac:dyDescent="0.25">
      <c r="A287" s="171"/>
      <c r="C287" s="171"/>
      <c r="D287" s="162" t="s">
        <v>367</v>
      </c>
      <c r="E287" s="162" t="s">
        <v>368</v>
      </c>
      <c r="F287" s="173">
        <v>55592100</v>
      </c>
      <c r="G287" s="163"/>
      <c r="H287" s="163"/>
      <c r="I287" s="163">
        <f>+G287+H287</f>
        <v>0</v>
      </c>
      <c r="J287" s="163"/>
      <c r="K287" s="163"/>
      <c r="L287" s="163">
        <f t="shared" si="221"/>
        <v>0</v>
      </c>
      <c r="M287" s="163">
        <f t="shared" si="222"/>
        <v>0</v>
      </c>
      <c r="N287" s="173">
        <f t="shared" si="220"/>
        <v>55592100</v>
      </c>
      <c r="P287" s="194"/>
      <c r="S287" s="282"/>
      <c r="T287" s="282"/>
      <c r="U287" s="244"/>
    </row>
    <row r="288" spans="1:21" s="65" customFormat="1" ht="22.5" customHeight="1" x14ac:dyDescent="0.25">
      <c r="A288" s="171"/>
      <c r="C288" s="171"/>
      <c r="D288" s="162" t="s">
        <v>369</v>
      </c>
      <c r="E288" s="162" t="s">
        <v>370</v>
      </c>
      <c r="F288" s="173">
        <v>7200000</v>
      </c>
      <c r="G288" s="163"/>
      <c r="H288" s="163"/>
      <c r="I288" s="163"/>
      <c r="J288" s="163"/>
      <c r="K288" s="163"/>
      <c r="L288" s="163">
        <f t="shared" si="221"/>
        <v>0</v>
      </c>
      <c r="M288" s="163">
        <f t="shared" si="222"/>
        <v>0</v>
      </c>
      <c r="N288" s="173">
        <f t="shared" si="220"/>
        <v>7200000</v>
      </c>
      <c r="P288" s="194"/>
      <c r="S288" s="282"/>
      <c r="T288" s="282"/>
      <c r="U288" s="244"/>
    </row>
    <row r="289" spans="1:21" s="65" customFormat="1" ht="18" customHeight="1" x14ac:dyDescent="0.25">
      <c r="A289" s="171"/>
      <c r="C289" s="171"/>
      <c r="D289" s="162" t="s">
        <v>70</v>
      </c>
      <c r="E289" s="162" t="s">
        <v>33</v>
      </c>
      <c r="F289" s="173">
        <v>5000000</v>
      </c>
      <c r="G289" s="163"/>
      <c r="H289" s="163"/>
      <c r="I289" s="163"/>
      <c r="J289" s="163"/>
      <c r="K289" s="163"/>
      <c r="L289" s="163">
        <f t="shared" si="221"/>
        <v>0</v>
      </c>
      <c r="M289" s="163">
        <f t="shared" si="222"/>
        <v>0</v>
      </c>
      <c r="N289" s="173">
        <f t="shared" si="220"/>
        <v>5000000</v>
      </c>
      <c r="P289" s="194"/>
      <c r="S289" s="282"/>
      <c r="T289" s="282"/>
      <c r="U289" s="244"/>
    </row>
    <row r="290" spans="1:21" s="65" customFormat="1" ht="18" customHeight="1" x14ac:dyDescent="0.25">
      <c r="A290" s="171"/>
      <c r="C290" s="171"/>
      <c r="D290" s="162" t="s">
        <v>374</v>
      </c>
      <c r="E290" s="162" t="s">
        <v>375</v>
      </c>
      <c r="F290" s="173">
        <v>2400000</v>
      </c>
      <c r="G290" s="163"/>
      <c r="H290" s="163"/>
      <c r="I290" s="163"/>
      <c r="J290" s="163"/>
      <c r="K290" s="163"/>
      <c r="L290" s="163">
        <f t="shared" si="221"/>
        <v>0</v>
      </c>
      <c r="M290" s="163">
        <f t="shared" si="222"/>
        <v>0</v>
      </c>
      <c r="N290" s="173">
        <f t="shared" si="220"/>
        <v>2400000</v>
      </c>
      <c r="P290" s="194"/>
      <c r="S290" s="282"/>
      <c r="T290" s="282"/>
      <c r="U290" s="244"/>
    </row>
    <row r="291" spans="1:21" s="55" customFormat="1" ht="18" customHeight="1" x14ac:dyDescent="0.25">
      <c r="A291" s="50"/>
      <c r="B291" s="51"/>
      <c r="C291" s="50"/>
      <c r="D291" s="71" t="s">
        <v>271</v>
      </c>
      <c r="E291" s="51" t="s">
        <v>272</v>
      </c>
      <c r="F291" s="53">
        <f t="shared" ref="F291:J291" si="223">+F292</f>
        <v>955400000</v>
      </c>
      <c r="G291" s="72">
        <f t="shared" si="223"/>
        <v>0</v>
      </c>
      <c r="H291" s="72">
        <f>+H292</f>
        <v>0</v>
      </c>
      <c r="I291" s="72">
        <f>+G291+H291</f>
        <v>0</v>
      </c>
      <c r="J291" s="72">
        <f t="shared" si="223"/>
        <v>0</v>
      </c>
      <c r="K291" s="72">
        <f>+K292</f>
        <v>72760000</v>
      </c>
      <c r="L291" s="72">
        <f t="shared" ref="L291:L296" si="224">+J291+K291</f>
        <v>72760000</v>
      </c>
      <c r="M291" s="72">
        <f t="shared" si="222"/>
        <v>72760000</v>
      </c>
      <c r="N291" s="53">
        <f>+F291-M291</f>
        <v>882640000</v>
      </c>
      <c r="P291" s="195"/>
      <c r="S291" s="282"/>
      <c r="T291" s="282"/>
      <c r="U291" s="243"/>
    </row>
    <row r="292" spans="1:21" s="49" customFormat="1" ht="18" customHeight="1" x14ac:dyDescent="0.25">
      <c r="A292" s="56"/>
      <c r="B292" s="84"/>
      <c r="C292" s="56"/>
      <c r="D292" s="57" t="s">
        <v>81</v>
      </c>
      <c r="E292" s="57" t="s">
        <v>31</v>
      </c>
      <c r="F292" s="58">
        <f>SUM(F293:F296)</f>
        <v>955400000</v>
      </c>
      <c r="G292" s="59">
        <f>SUM(G293:G296)</f>
        <v>0</v>
      </c>
      <c r="H292" s="59">
        <f>SUM(H293:H296)</f>
        <v>0</v>
      </c>
      <c r="I292" s="59">
        <f>+G292+H292</f>
        <v>0</v>
      </c>
      <c r="J292" s="59">
        <f>SUM(J293:J296)</f>
        <v>0</v>
      </c>
      <c r="K292" s="59">
        <f>SUM(K293:K296)</f>
        <v>72760000</v>
      </c>
      <c r="L292" s="59">
        <f t="shared" si="224"/>
        <v>72760000</v>
      </c>
      <c r="M292" s="59">
        <f t="shared" si="222"/>
        <v>72760000</v>
      </c>
      <c r="N292" s="58">
        <f>+F292-M292</f>
        <v>882640000</v>
      </c>
      <c r="P292" s="192"/>
      <c r="S292" s="282"/>
      <c r="T292" s="282"/>
      <c r="U292" s="242"/>
    </row>
    <row r="293" spans="1:21" s="65" customFormat="1" ht="18" customHeight="1" x14ac:dyDescent="0.25">
      <c r="A293" s="61"/>
      <c r="B293" s="66"/>
      <c r="C293" s="61"/>
      <c r="D293" s="62" t="s">
        <v>100</v>
      </c>
      <c r="E293" s="62" t="s">
        <v>101</v>
      </c>
      <c r="F293" s="63">
        <v>336000000</v>
      </c>
      <c r="G293" s="75"/>
      <c r="H293" s="75"/>
      <c r="I293" s="75">
        <f t="shared" ref="I293" si="225">+G293+H293</f>
        <v>0</v>
      </c>
      <c r="J293" s="75"/>
      <c r="K293" s="75"/>
      <c r="L293" s="75">
        <f t="shared" si="224"/>
        <v>0</v>
      </c>
      <c r="M293" s="75">
        <f>+I293+L293</f>
        <v>0</v>
      </c>
      <c r="N293" s="63">
        <f t="shared" ref="N293:N296" si="226">+F293-M293</f>
        <v>336000000</v>
      </c>
      <c r="P293" s="194"/>
      <c r="S293" s="282"/>
      <c r="T293" s="282"/>
      <c r="U293" s="244"/>
    </row>
    <row r="294" spans="1:21" s="65" customFormat="1" ht="18" customHeight="1" x14ac:dyDescent="0.25">
      <c r="A294" s="61"/>
      <c r="B294" s="66"/>
      <c r="C294" s="61"/>
      <c r="D294" s="62" t="s">
        <v>474</v>
      </c>
      <c r="E294" s="62" t="s">
        <v>475</v>
      </c>
      <c r="F294" s="63">
        <v>350000000</v>
      </c>
      <c r="G294" s="75"/>
      <c r="H294" s="75"/>
      <c r="I294" s="75">
        <f t="shared" ref="I294" si="227">+G294+H294</f>
        <v>0</v>
      </c>
      <c r="J294" s="75"/>
      <c r="K294" s="75"/>
      <c r="L294" s="75">
        <f t="shared" ref="L294" si="228">+J294+K294</f>
        <v>0</v>
      </c>
      <c r="M294" s="75">
        <f>+I294+L294</f>
        <v>0</v>
      </c>
      <c r="N294" s="63">
        <f t="shared" ref="N294" si="229">+F294-M294</f>
        <v>350000000</v>
      </c>
      <c r="P294" s="194"/>
      <c r="S294" s="282"/>
      <c r="T294" s="282"/>
      <c r="U294" s="244"/>
    </row>
    <row r="295" spans="1:21" s="65" customFormat="1" ht="18" customHeight="1" x14ac:dyDescent="0.25">
      <c r="A295" s="61"/>
      <c r="B295" s="66"/>
      <c r="C295" s="61"/>
      <c r="D295" s="62" t="s">
        <v>376</v>
      </c>
      <c r="E295" s="62" t="s">
        <v>377</v>
      </c>
      <c r="F295" s="63">
        <v>268800000</v>
      </c>
      <c r="G295" s="75">
        <v>0</v>
      </c>
      <c r="H295" s="75"/>
      <c r="I295" s="75">
        <f>+G295+H295</f>
        <v>0</v>
      </c>
      <c r="J295" s="75"/>
      <c r="K295" s="75">
        <v>72760000</v>
      </c>
      <c r="L295" s="75">
        <f t="shared" si="224"/>
        <v>72760000</v>
      </c>
      <c r="M295" s="75">
        <f>+I295+L295</f>
        <v>72760000</v>
      </c>
      <c r="N295" s="63">
        <f t="shared" si="226"/>
        <v>196040000</v>
      </c>
      <c r="P295" s="194"/>
      <c r="S295" s="281"/>
      <c r="T295" s="282"/>
      <c r="U295" s="244"/>
    </row>
    <row r="296" spans="1:21" s="65" customFormat="1" ht="18" customHeight="1" x14ac:dyDescent="0.25">
      <c r="A296" s="61"/>
      <c r="B296" s="66"/>
      <c r="C296" s="61"/>
      <c r="D296" s="62" t="s">
        <v>378</v>
      </c>
      <c r="E296" s="62" t="s">
        <v>379</v>
      </c>
      <c r="F296" s="63">
        <v>600000</v>
      </c>
      <c r="G296" s="75"/>
      <c r="H296" s="75"/>
      <c r="I296" s="75"/>
      <c r="J296" s="75"/>
      <c r="K296" s="75"/>
      <c r="L296" s="75">
        <f t="shared" si="224"/>
        <v>0</v>
      </c>
      <c r="M296" s="75">
        <f>+I296+L296</f>
        <v>0</v>
      </c>
      <c r="N296" s="63">
        <f t="shared" si="226"/>
        <v>600000</v>
      </c>
      <c r="P296" s="194"/>
      <c r="S296" s="281"/>
      <c r="T296" s="282"/>
      <c r="U296" s="244"/>
    </row>
    <row r="297" spans="1:21" s="146" customFormat="1" ht="18" customHeight="1" x14ac:dyDescent="0.25">
      <c r="A297" s="147"/>
      <c r="B297" s="147"/>
      <c r="C297" s="147"/>
      <c r="D297" s="147"/>
      <c r="E297" s="147"/>
      <c r="F297" s="148"/>
      <c r="G297" s="149"/>
      <c r="H297" s="149"/>
      <c r="I297" s="149"/>
      <c r="J297" s="149"/>
      <c r="K297" s="149"/>
      <c r="L297" s="149"/>
      <c r="M297" s="149"/>
      <c r="N297" s="148"/>
      <c r="P297" s="197"/>
      <c r="S297" s="286"/>
      <c r="T297" s="286"/>
      <c r="U297" s="253"/>
    </row>
    <row r="298" spans="1:21" s="137" customFormat="1" ht="21" customHeight="1" x14ac:dyDescent="0.25">
      <c r="A298" s="109"/>
      <c r="B298" s="110" t="s">
        <v>342</v>
      </c>
      <c r="C298" s="110"/>
      <c r="D298" s="110"/>
      <c r="E298" s="150" t="s">
        <v>341</v>
      </c>
      <c r="F298" s="135">
        <f>+F299+F312+F331+F337+F343</f>
        <v>2394721000</v>
      </c>
      <c r="G298" s="136">
        <f>+G299+G312+G331+G337+G343</f>
        <v>0</v>
      </c>
      <c r="H298" s="136">
        <f>+H299+H312+H331+H337+H343</f>
        <v>0</v>
      </c>
      <c r="I298" s="136">
        <f t="shared" ref="I298:I303" si="230">+G298+H298</f>
        <v>0</v>
      </c>
      <c r="J298" s="136">
        <f>+J299+J312+J331+J337+J343</f>
        <v>0</v>
      </c>
      <c r="K298" s="136">
        <f>+K299+K312+K331+K337+K343</f>
        <v>3000000</v>
      </c>
      <c r="L298" s="136">
        <f>+J298+K298</f>
        <v>3000000</v>
      </c>
      <c r="M298" s="136">
        <f t="shared" ref="M298" si="231">+I298+L298</f>
        <v>3000000</v>
      </c>
      <c r="N298" s="135">
        <f t="shared" ref="N298" si="232">+F298-M298</f>
        <v>2391721000</v>
      </c>
      <c r="P298" s="198"/>
      <c r="S298" s="287"/>
      <c r="T298" s="287"/>
      <c r="U298" s="248"/>
    </row>
    <row r="299" spans="1:21" s="121" customFormat="1" ht="35.25" customHeight="1" x14ac:dyDescent="0.25">
      <c r="A299" s="154">
        <v>16</v>
      </c>
      <c r="B299" s="155"/>
      <c r="C299" s="155" t="s">
        <v>476</v>
      </c>
      <c r="D299" s="156"/>
      <c r="E299" s="164" t="s">
        <v>477</v>
      </c>
      <c r="F299" s="158">
        <f t="shared" ref="F299:H300" si="233">+F300</f>
        <v>690000000</v>
      </c>
      <c r="G299" s="159">
        <f t="shared" si="233"/>
        <v>0</v>
      </c>
      <c r="H299" s="159">
        <f t="shared" si="233"/>
        <v>0</v>
      </c>
      <c r="I299" s="159">
        <f t="shared" si="230"/>
        <v>0</v>
      </c>
      <c r="J299" s="159">
        <f>+J300</f>
        <v>0</v>
      </c>
      <c r="K299" s="159">
        <f>+K300</f>
        <v>1400000</v>
      </c>
      <c r="L299" s="159">
        <f>+J299+K299</f>
        <v>1400000</v>
      </c>
      <c r="M299" s="159">
        <f>+I299+L299</f>
        <v>1400000</v>
      </c>
      <c r="N299" s="158">
        <f>+F299-M299</f>
        <v>688600000</v>
      </c>
      <c r="P299" s="190"/>
      <c r="R299" s="122"/>
      <c r="S299" s="283"/>
      <c r="T299" s="283"/>
      <c r="U299" s="246"/>
    </row>
    <row r="300" spans="1:21" s="107" customFormat="1" ht="18" customHeight="1" x14ac:dyDescent="0.25">
      <c r="A300" s="101"/>
      <c r="B300" s="102"/>
      <c r="C300" s="102"/>
      <c r="D300" s="103" t="s">
        <v>207</v>
      </c>
      <c r="E300" s="104" t="s">
        <v>262</v>
      </c>
      <c r="F300" s="105">
        <f t="shared" si="233"/>
        <v>690000000</v>
      </c>
      <c r="G300" s="106">
        <f t="shared" si="233"/>
        <v>0</v>
      </c>
      <c r="H300" s="106">
        <f t="shared" si="233"/>
        <v>0</v>
      </c>
      <c r="I300" s="106">
        <f t="shared" si="230"/>
        <v>0</v>
      </c>
      <c r="J300" s="106">
        <f>+J301</f>
        <v>0</v>
      </c>
      <c r="K300" s="106">
        <f>+K301</f>
        <v>1400000</v>
      </c>
      <c r="L300" s="106">
        <f t="shared" ref="L300:L304" si="234">+J300+K300</f>
        <v>1400000</v>
      </c>
      <c r="M300" s="106">
        <f t="shared" ref="M300:M311" si="235">+I300+L300</f>
        <v>1400000</v>
      </c>
      <c r="N300" s="105">
        <f t="shared" ref="N300:N311" si="236">+F300-M300</f>
        <v>688600000</v>
      </c>
      <c r="P300" s="191"/>
      <c r="R300" s="108"/>
      <c r="S300" s="284"/>
      <c r="T300" s="284"/>
      <c r="U300" s="241"/>
    </row>
    <row r="301" spans="1:21" s="67" customFormat="1" ht="18" customHeight="1" x14ac:dyDescent="0.25">
      <c r="A301" s="88"/>
      <c r="B301" s="89"/>
      <c r="C301" s="88"/>
      <c r="D301" s="45" t="s">
        <v>63</v>
      </c>
      <c r="E301" s="45" t="s">
        <v>30</v>
      </c>
      <c r="F301" s="47">
        <f>+F302+F305+F309</f>
        <v>690000000</v>
      </c>
      <c r="G301" s="70">
        <f>+G302+G305+G309</f>
        <v>0</v>
      </c>
      <c r="H301" s="70">
        <f>+H302+H305+H309</f>
        <v>0</v>
      </c>
      <c r="I301" s="70">
        <f t="shared" si="230"/>
        <v>0</v>
      </c>
      <c r="J301" s="70">
        <f>+J302+J305+J309</f>
        <v>0</v>
      </c>
      <c r="K301" s="70">
        <f>+K302+K305+K309</f>
        <v>1400000</v>
      </c>
      <c r="L301" s="70">
        <f t="shared" si="234"/>
        <v>1400000</v>
      </c>
      <c r="M301" s="70">
        <f t="shared" si="235"/>
        <v>1400000</v>
      </c>
      <c r="N301" s="47">
        <f t="shared" si="236"/>
        <v>688600000</v>
      </c>
      <c r="P301" s="192"/>
      <c r="S301" s="282"/>
      <c r="T301" s="282"/>
      <c r="U301" s="249"/>
    </row>
    <row r="302" spans="1:21" s="55" customFormat="1" ht="18" customHeight="1" x14ac:dyDescent="0.25">
      <c r="A302" s="50"/>
      <c r="B302" s="51"/>
      <c r="C302" s="51"/>
      <c r="D302" s="71" t="s">
        <v>263</v>
      </c>
      <c r="E302" s="51" t="s">
        <v>264</v>
      </c>
      <c r="F302" s="53">
        <f>+F303</f>
        <v>435000000</v>
      </c>
      <c r="G302" s="72">
        <f>+G303</f>
        <v>0</v>
      </c>
      <c r="H302" s="72">
        <f>+H303</f>
        <v>0</v>
      </c>
      <c r="I302" s="72">
        <f t="shared" si="230"/>
        <v>0</v>
      </c>
      <c r="J302" s="72">
        <f>+J303</f>
        <v>0</v>
      </c>
      <c r="K302" s="72">
        <f>+K303</f>
        <v>0</v>
      </c>
      <c r="L302" s="72">
        <f t="shared" si="234"/>
        <v>0</v>
      </c>
      <c r="M302" s="72">
        <f t="shared" si="235"/>
        <v>0</v>
      </c>
      <c r="N302" s="53">
        <f t="shared" si="236"/>
        <v>435000000</v>
      </c>
      <c r="P302" s="195"/>
      <c r="S302" s="282"/>
      <c r="T302" s="282"/>
      <c r="U302" s="243"/>
    </row>
    <row r="303" spans="1:21" s="67" customFormat="1" ht="18" customHeight="1" x14ac:dyDescent="0.25">
      <c r="A303" s="90"/>
      <c r="B303" s="91"/>
      <c r="C303" s="90"/>
      <c r="D303" s="57" t="s">
        <v>64</v>
      </c>
      <c r="E303" s="57" t="s">
        <v>65</v>
      </c>
      <c r="F303" s="58">
        <f>F304</f>
        <v>435000000</v>
      </c>
      <c r="G303" s="59">
        <f>+G304</f>
        <v>0</v>
      </c>
      <c r="H303" s="59">
        <f>+H304</f>
        <v>0</v>
      </c>
      <c r="I303" s="59">
        <f t="shared" si="230"/>
        <v>0</v>
      </c>
      <c r="J303" s="59">
        <f>+J304</f>
        <v>0</v>
      </c>
      <c r="K303" s="59">
        <f>+K304</f>
        <v>0</v>
      </c>
      <c r="L303" s="59">
        <f t="shared" si="234"/>
        <v>0</v>
      </c>
      <c r="M303" s="59">
        <f t="shared" si="235"/>
        <v>0</v>
      </c>
      <c r="N303" s="58">
        <f t="shared" si="236"/>
        <v>435000000</v>
      </c>
      <c r="P303" s="192"/>
      <c r="S303" s="282"/>
      <c r="T303" s="282"/>
      <c r="U303" s="249"/>
    </row>
    <row r="304" spans="1:21" s="49" customFormat="1" ht="18" customHeight="1" x14ac:dyDescent="0.25">
      <c r="A304" s="92"/>
      <c r="B304" s="93"/>
      <c r="C304" s="61"/>
      <c r="D304" s="62" t="s">
        <v>129</v>
      </c>
      <c r="E304" s="62" t="s">
        <v>130</v>
      </c>
      <c r="F304" s="63">
        <v>435000000</v>
      </c>
      <c r="G304" s="94"/>
      <c r="H304" s="94"/>
      <c r="I304" s="94"/>
      <c r="J304" s="75"/>
      <c r="K304" s="75"/>
      <c r="L304" s="75">
        <f t="shared" si="234"/>
        <v>0</v>
      </c>
      <c r="M304" s="75">
        <f t="shared" si="235"/>
        <v>0</v>
      </c>
      <c r="N304" s="63">
        <f t="shared" si="236"/>
        <v>435000000</v>
      </c>
      <c r="P304" s="192"/>
      <c r="S304" s="281"/>
      <c r="T304" s="282"/>
      <c r="U304" s="242"/>
    </row>
    <row r="305" spans="1:21" s="55" customFormat="1" ht="20.25" x14ac:dyDescent="0.25">
      <c r="A305" s="50"/>
      <c r="B305" s="51"/>
      <c r="C305" s="51"/>
      <c r="D305" s="71" t="s">
        <v>271</v>
      </c>
      <c r="E305" s="51" t="s">
        <v>272</v>
      </c>
      <c r="F305" s="53">
        <f>+F306</f>
        <v>79500000</v>
      </c>
      <c r="G305" s="72">
        <f>+G306</f>
        <v>0</v>
      </c>
      <c r="H305" s="72">
        <f>+H306</f>
        <v>0</v>
      </c>
      <c r="I305" s="72">
        <f t="shared" ref="I305:I316" si="237">+G305+H305</f>
        <v>0</v>
      </c>
      <c r="J305" s="72">
        <f>+J306</f>
        <v>0</v>
      </c>
      <c r="K305" s="72">
        <f>+K306</f>
        <v>1400000</v>
      </c>
      <c r="L305" s="72">
        <f>+J305+K305</f>
        <v>1400000</v>
      </c>
      <c r="M305" s="72">
        <f t="shared" si="235"/>
        <v>1400000</v>
      </c>
      <c r="N305" s="53">
        <f t="shared" si="236"/>
        <v>78100000</v>
      </c>
      <c r="P305" s="195"/>
      <c r="S305" s="281"/>
      <c r="T305" s="282"/>
      <c r="U305" s="243"/>
    </row>
    <row r="306" spans="1:21" s="67" customFormat="1" ht="18" customHeight="1" x14ac:dyDescent="0.25">
      <c r="A306" s="56"/>
      <c r="B306" s="84"/>
      <c r="C306" s="56"/>
      <c r="D306" s="57" t="s">
        <v>81</v>
      </c>
      <c r="E306" s="57" t="s">
        <v>31</v>
      </c>
      <c r="F306" s="58">
        <f>F308+F307</f>
        <v>79500000</v>
      </c>
      <c r="G306" s="59">
        <f>SUM(G307:G308)</f>
        <v>0</v>
      </c>
      <c r="H306" s="59">
        <f>SUM(H307:H308)</f>
        <v>0</v>
      </c>
      <c r="I306" s="59">
        <f t="shared" si="237"/>
        <v>0</v>
      </c>
      <c r="J306" s="59">
        <f>SUM(J307:J308)</f>
        <v>0</v>
      </c>
      <c r="K306" s="59">
        <f>SUM(K307:K308)</f>
        <v>1400000</v>
      </c>
      <c r="L306" s="59">
        <f>+J306+K306</f>
        <v>1400000</v>
      </c>
      <c r="M306" s="59">
        <f t="shared" si="235"/>
        <v>1400000</v>
      </c>
      <c r="N306" s="58">
        <f t="shared" si="236"/>
        <v>78100000</v>
      </c>
      <c r="P306" s="192"/>
      <c r="R306" s="68"/>
      <c r="S306" s="281"/>
      <c r="T306" s="282"/>
      <c r="U306" s="249"/>
    </row>
    <row r="307" spans="1:21" s="67" customFormat="1" ht="18" customHeight="1" x14ac:dyDescent="0.25">
      <c r="A307" s="61"/>
      <c r="B307" s="66"/>
      <c r="C307" s="61"/>
      <c r="D307" s="62" t="s">
        <v>82</v>
      </c>
      <c r="E307" s="62" t="s">
        <v>83</v>
      </c>
      <c r="F307" s="63">
        <v>18000000</v>
      </c>
      <c r="G307" s="75"/>
      <c r="H307" s="75"/>
      <c r="I307" s="75">
        <f t="shared" si="237"/>
        <v>0</v>
      </c>
      <c r="J307" s="75"/>
      <c r="K307" s="75">
        <v>1400000</v>
      </c>
      <c r="L307" s="75">
        <f>J307+K307</f>
        <v>1400000</v>
      </c>
      <c r="M307" s="75">
        <f t="shared" si="235"/>
        <v>1400000</v>
      </c>
      <c r="N307" s="63">
        <f t="shared" si="236"/>
        <v>16600000</v>
      </c>
      <c r="P307" s="192"/>
      <c r="S307" s="281"/>
      <c r="T307" s="282"/>
      <c r="U307" s="249"/>
    </row>
    <row r="308" spans="1:21" s="67" customFormat="1" ht="18" customHeight="1" x14ac:dyDescent="0.25">
      <c r="A308" s="61"/>
      <c r="B308" s="66"/>
      <c r="C308" s="61"/>
      <c r="D308" s="62" t="s">
        <v>343</v>
      </c>
      <c r="E308" s="62" t="s">
        <v>344</v>
      </c>
      <c r="F308" s="63">
        <v>61500000</v>
      </c>
      <c r="G308" s="75"/>
      <c r="H308" s="75"/>
      <c r="I308" s="75">
        <f t="shared" si="237"/>
        <v>0</v>
      </c>
      <c r="J308" s="75"/>
      <c r="K308" s="75"/>
      <c r="L308" s="75">
        <f>J308+K308</f>
        <v>0</v>
      </c>
      <c r="M308" s="75">
        <f t="shared" si="235"/>
        <v>0</v>
      </c>
      <c r="N308" s="63">
        <f t="shared" si="236"/>
        <v>61500000</v>
      </c>
      <c r="P308" s="192"/>
      <c r="S308" s="281"/>
      <c r="T308" s="282"/>
      <c r="U308" s="249"/>
    </row>
    <row r="309" spans="1:21" s="55" customFormat="1" ht="20.25" x14ac:dyDescent="0.25">
      <c r="A309" s="50"/>
      <c r="B309" s="51"/>
      <c r="C309" s="50"/>
      <c r="D309" s="71" t="s">
        <v>275</v>
      </c>
      <c r="E309" s="51" t="s">
        <v>276</v>
      </c>
      <c r="F309" s="53">
        <f>+F310</f>
        <v>175500000</v>
      </c>
      <c r="G309" s="72">
        <f>+G310</f>
        <v>0</v>
      </c>
      <c r="H309" s="72">
        <f>+H310</f>
        <v>0</v>
      </c>
      <c r="I309" s="72">
        <f t="shared" si="237"/>
        <v>0</v>
      </c>
      <c r="J309" s="72">
        <f>+J310</f>
        <v>0</v>
      </c>
      <c r="K309" s="72">
        <f>+K310</f>
        <v>0</v>
      </c>
      <c r="L309" s="72">
        <f>+J309+K309</f>
        <v>0</v>
      </c>
      <c r="M309" s="72">
        <f t="shared" si="235"/>
        <v>0</v>
      </c>
      <c r="N309" s="53">
        <f t="shared" si="236"/>
        <v>175500000</v>
      </c>
      <c r="P309" s="195"/>
      <c r="S309" s="281"/>
      <c r="T309" s="282"/>
      <c r="U309" s="243"/>
    </row>
    <row r="310" spans="1:21" s="67" customFormat="1" ht="18" customHeight="1" x14ac:dyDescent="0.25">
      <c r="A310" s="56"/>
      <c r="B310" s="84"/>
      <c r="C310" s="56"/>
      <c r="D310" s="57" t="s">
        <v>114</v>
      </c>
      <c r="E310" s="57" t="s">
        <v>43</v>
      </c>
      <c r="F310" s="58">
        <f>+F311</f>
        <v>175500000</v>
      </c>
      <c r="G310" s="59">
        <f>SUM(G311)</f>
        <v>0</v>
      </c>
      <c r="H310" s="59">
        <f>SUM(H311)</f>
        <v>0</v>
      </c>
      <c r="I310" s="59">
        <f t="shared" si="237"/>
        <v>0</v>
      </c>
      <c r="J310" s="59">
        <f>SUM(J311)</f>
        <v>0</v>
      </c>
      <c r="K310" s="59">
        <f>SUM(K311)</f>
        <v>0</v>
      </c>
      <c r="L310" s="59">
        <f>+J310+K310</f>
        <v>0</v>
      </c>
      <c r="M310" s="59">
        <f t="shared" si="235"/>
        <v>0</v>
      </c>
      <c r="N310" s="58">
        <f t="shared" si="236"/>
        <v>175500000</v>
      </c>
      <c r="P310" s="192"/>
      <c r="R310" s="68"/>
      <c r="S310" s="281"/>
      <c r="T310" s="282"/>
      <c r="U310" s="249"/>
    </row>
    <row r="311" spans="1:21" s="146" customFormat="1" ht="33.75" customHeight="1" x14ac:dyDescent="0.25">
      <c r="A311" s="165"/>
      <c r="B311" s="127"/>
      <c r="C311" s="165"/>
      <c r="D311" s="166" t="s">
        <v>345</v>
      </c>
      <c r="E311" s="167" t="s">
        <v>346</v>
      </c>
      <c r="F311" s="168">
        <v>175500000</v>
      </c>
      <c r="G311" s="169"/>
      <c r="H311" s="169"/>
      <c r="I311" s="163">
        <f t="shared" si="237"/>
        <v>0</v>
      </c>
      <c r="J311" s="169"/>
      <c r="K311" s="169"/>
      <c r="L311" s="169">
        <f>J311+K311</f>
        <v>0</v>
      </c>
      <c r="M311" s="169">
        <f t="shared" si="235"/>
        <v>0</v>
      </c>
      <c r="N311" s="168">
        <f t="shared" si="236"/>
        <v>175500000</v>
      </c>
      <c r="P311" s="197"/>
      <c r="S311" s="285"/>
      <c r="T311" s="286"/>
      <c r="U311" s="253"/>
    </row>
    <row r="312" spans="1:21" s="121" customFormat="1" ht="22.5" customHeight="1" x14ac:dyDescent="0.25">
      <c r="A312" s="154">
        <v>17</v>
      </c>
      <c r="B312" s="155"/>
      <c r="C312" s="155" t="s">
        <v>143</v>
      </c>
      <c r="D312" s="156"/>
      <c r="E312" s="164" t="s">
        <v>144</v>
      </c>
      <c r="F312" s="158">
        <f t="shared" ref="F312:H313" si="238">+F313</f>
        <v>1024733000</v>
      </c>
      <c r="G312" s="159">
        <f t="shared" si="238"/>
        <v>0</v>
      </c>
      <c r="H312" s="159">
        <f t="shared" si="238"/>
        <v>0</v>
      </c>
      <c r="I312" s="159">
        <f t="shared" si="237"/>
        <v>0</v>
      </c>
      <c r="J312" s="159">
        <f>+J313</f>
        <v>0</v>
      </c>
      <c r="K312" s="159">
        <f>+K313</f>
        <v>1600000</v>
      </c>
      <c r="L312" s="159">
        <f>+J312+K312</f>
        <v>1600000</v>
      </c>
      <c r="M312" s="159">
        <f>+I312+L312</f>
        <v>1600000</v>
      </c>
      <c r="N312" s="158">
        <f>+F312-M312</f>
        <v>1023133000</v>
      </c>
      <c r="P312" s="190"/>
      <c r="R312" s="122"/>
      <c r="S312" s="283"/>
      <c r="T312" s="283"/>
      <c r="U312" s="246"/>
    </row>
    <row r="313" spans="1:21" s="107" customFormat="1" ht="18" customHeight="1" x14ac:dyDescent="0.25">
      <c r="A313" s="101"/>
      <c r="B313" s="102"/>
      <c r="C313" s="102"/>
      <c r="D313" s="103" t="s">
        <v>207</v>
      </c>
      <c r="E313" s="104" t="s">
        <v>262</v>
      </c>
      <c r="F313" s="105">
        <f t="shared" si="238"/>
        <v>1024733000</v>
      </c>
      <c r="G313" s="106">
        <f t="shared" si="238"/>
        <v>0</v>
      </c>
      <c r="H313" s="106">
        <f t="shared" si="238"/>
        <v>0</v>
      </c>
      <c r="I313" s="106">
        <f t="shared" si="237"/>
        <v>0</v>
      </c>
      <c r="J313" s="106">
        <f>+J314</f>
        <v>0</v>
      </c>
      <c r="K313" s="106">
        <f>+K314</f>
        <v>1600000</v>
      </c>
      <c r="L313" s="106">
        <f>+J313+K313</f>
        <v>1600000</v>
      </c>
      <c r="M313" s="106">
        <f t="shared" ref="M313:M330" si="239">+I313+L313</f>
        <v>1600000</v>
      </c>
      <c r="N313" s="105">
        <f t="shared" ref="N313:N330" si="240">+F313-M313</f>
        <v>1023133000</v>
      </c>
      <c r="P313" s="191"/>
      <c r="R313" s="108"/>
      <c r="S313" s="284"/>
      <c r="T313" s="284"/>
      <c r="U313" s="241"/>
    </row>
    <row r="314" spans="1:21" s="67" customFormat="1" ht="18" customHeight="1" x14ac:dyDescent="0.25">
      <c r="A314" s="88"/>
      <c r="B314" s="89"/>
      <c r="C314" s="88"/>
      <c r="D314" s="45" t="s">
        <v>63</v>
      </c>
      <c r="E314" s="45" t="s">
        <v>30</v>
      </c>
      <c r="F314" s="47">
        <f>+F315+F319+F322</f>
        <v>1024733000</v>
      </c>
      <c r="G314" s="70">
        <f>+G315+G319+G322</f>
        <v>0</v>
      </c>
      <c r="H314" s="70">
        <f>+H315+H319+H322</f>
        <v>0</v>
      </c>
      <c r="I314" s="70">
        <f t="shared" si="237"/>
        <v>0</v>
      </c>
      <c r="J314" s="70">
        <f>+J315+J319+J322</f>
        <v>0</v>
      </c>
      <c r="K314" s="70">
        <f>+K315+K319+K322</f>
        <v>1600000</v>
      </c>
      <c r="L314" s="70">
        <f>+J314+K314</f>
        <v>1600000</v>
      </c>
      <c r="M314" s="70">
        <f t="shared" si="239"/>
        <v>1600000</v>
      </c>
      <c r="N314" s="47">
        <f t="shared" si="240"/>
        <v>1023133000</v>
      </c>
      <c r="P314" s="192"/>
      <c r="S314" s="282"/>
      <c r="T314" s="282"/>
      <c r="U314" s="249"/>
    </row>
    <row r="315" spans="1:21" s="55" customFormat="1" ht="18" customHeight="1" x14ac:dyDescent="0.25">
      <c r="A315" s="50"/>
      <c r="B315" s="51"/>
      <c r="C315" s="51"/>
      <c r="D315" s="71" t="s">
        <v>263</v>
      </c>
      <c r="E315" s="51" t="s">
        <v>264</v>
      </c>
      <c r="F315" s="53">
        <f>+F316</f>
        <v>160643000</v>
      </c>
      <c r="G315" s="72">
        <f>+G316</f>
        <v>0</v>
      </c>
      <c r="H315" s="72">
        <f>+H316</f>
        <v>0</v>
      </c>
      <c r="I315" s="72">
        <f t="shared" si="237"/>
        <v>0</v>
      </c>
      <c r="J315" s="72">
        <f>+J316</f>
        <v>0</v>
      </c>
      <c r="K315" s="72">
        <f>+K316</f>
        <v>0</v>
      </c>
      <c r="L315" s="72">
        <f>+J315+K315</f>
        <v>0</v>
      </c>
      <c r="M315" s="72">
        <f t="shared" si="239"/>
        <v>0</v>
      </c>
      <c r="N315" s="53">
        <f t="shared" si="240"/>
        <v>160643000</v>
      </c>
      <c r="P315" s="195"/>
      <c r="S315" s="282"/>
      <c r="T315" s="282"/>
      <c r="U315" s="243"/>
    </row>
    <row r="316" spans="1:21" s="67" customFormat="1" ht="18" customHeight="1" x14ac:dyDescent="0.25">
      <c r="A316" s="90"/>
      <c r="B316" s="91"/>
      <c r="C316" s="90"/>
      <c r="D316" s="57" t="s">
        <v>64</v>
      </c>
      <c r="E316" s="57" t="s">
        <v>65</v>
      </c>
      <c r="F316" s="58">
        <f>F317+F318</f>
        <v>160643000</v>
      </c>
      <c r="G316" s="59">
        <f>+G317</f>
        <v>0</v>
      </c>
      <c r="H316" s="59">
        <f>+H317</f>
        <v>0</v>
      </c>
      <c r="I316" s="59">
        <f t="shared" si="237"/>
        <v>0</v>
      </c>
      <c r="J316" s="59">
        <f>+J317</f>
        <v>0</v>
      </c>
      <c r="K316" s="59">
        <f>+K317</f>
        <v>0</v>
      </c>
      <c r="L316" s="59">
        <f>+J316+K316</f>
        <v>0</v>
      </c>
      <c r="M316" s="59">
        <f t="shared" si="239"/>
        <v>0</v>
      </c>
      <c r="N316" s="58">
        <f t="shared" si="240"/>
        <v>160643000</v>
      </c>
      <c r="P316" s="192"/>
      <c r="S316" s="282"/>
      <c r="T316" s="282"/>
      <c r="U316" s="249"/>
    </row>
    <row r="317" spans="1:21" s="49" customFormat="1" ht="18" customHeight="1" x14ac:dyDescent="0.25">
      <c r="A317" s="92"/>
      <c r="B317" s="93"/>
      <c r="C317" s="61"/>
      <c r="D317" s="62" t="s">
        <v>339</v>
      </c>
      <c r="E317" s="62" t="s">
        <v>340</v>
      </c>
      <c r="F317" s="63">
        <v>99000000</v>
      </c>
      <c r="G317" s="94"/>
      <c r="H317" s="94"/>
      <c r="I317" s="94"/>
      <c r="J317" s="75"/>
      <c r="K317" s="75"/>
      <c r="L317" s="75">
        <f t="shared" ref="L317:L330" si="241">+J317+K317</f>
        <v>0</v>
      </c>
      <c r="M317" s="75">
        <f t="shared" si="239"/>
        <v>0</v>
      </c>
      <c r="N317" s="63">
        <f t="shared" si="240"/>
        <v>99000000</v>
      </c>
      <c r="P317" s="203"/>
      <c r="S317" s="281"/>
      <c r="T317" s="282"/>
      <c r="U317" s="242"/>
    </row>
    <row r="318" spans="1:21" s="49" customFormat="1" ht="18" customHeight="1" x14ac:dyDescent="0.25">
      <c r="A318" s="92"/>
      <c r="B318" s="93"/>
      <c r="C318" s="61"/>
      <c r="D318" s="62" t="s">
        <v>361</v>
      </c>
      <c r="E318" s="62" t="s">
        <v>362</v>
      </c>
      <c r="F318" s="63">
        <v>61643000</v>
      </c>
      <c r="G318" s="94"/>
      <c r="H318" s="94"/>
      <c r="I318" s="94"/>
      <c r="J318" s="75"/>
      <c r="K318" s="75"/>
      <c r="L318" s="75">
        <f t="shared" ref="L318" si="242">+J318+K318</f>
        <v>0</v>
      </c>
      <c r="M318" s="75">
        <f t="shared" ref="M318" si="243">+I318+L318</f>
        <v>0</v>
      </c>
      <c r="N318" s="63">
        <f t="shared" ref="N318" si="244">+F318-M318</f>
        <v>61643000</v>
      </c>
      <c r="P318" s="203"/>
      <c r="S318" s="281"/>
      <c r="T318" s="282"/>
      <c r="U318" s="242"/>
    </row>
    <row r="319" spans="1:21" s="55" customFormat="1" ht="18" customHeight="1" x14ac:dyDescent="0.25">
      <c r="A319" s="50"/>
      <c r="B319" s="51"/>
      <c r="C319" s="51"/>
      <c r="D319" s="71" t="s">
        <v>271</v>
      </c>
      <c r="E319" s="51" t="s">
        <v>272</v>
      </c>
      <c r="F319" s="53">
        <f>+F320</f>
        <v>36480000</v>
      </c>
      <c r="G319" s="72">
        <f>+G320</f>
        <v>0</v>
      </c>
      <c r="H319" s="72">
        <f>+H320</f>
        <v>0</v>
      </c>
      <c r="I319" s="72">
        <f>+G319+H319</f>
        <v>0</v>
      </c>
      <c r="J319" s="72">
        <f>+J320</f>
        <v>0</v>
      </c>
      <c r="K319" s="72">
        <f>+K320</f>
        <v>1600000</v>
      </c>
      <c r="L319" s="72">
        <f t="shared" si="241"/>
        <v>1600000</v>
      </c>
      <c r="M319" s="72">
        <f t="shared" si="239"/>
        <v>1600000</v>
      </c>
      <c r="N319" s="53">
        <f t="shared" si="240"/>
        <v>34880000</v>
      </c>
      <c r="P319" s="204"/>
      <c r="S319" s="281"/>
      <c r="T319" s="282"/>
      <c r="U319" s="243"/>
    </row>
    <row r="320" spans="1:21" s="67" customFormat="1" ht="18" customHeight="1" x14ac:dyDescent="0.25">
      <c r="A320" s="90"/>
      <c r="B320" s="91"/>
      <c r="C320" s="90"/>
      <c r="D320" s="57" t="s">
        <v>81</v>
      </c>
      <c r="E320" s="57" t="s">
        <v>31</v>
      </c>
      <c r="F320" s="58">
        <f>F321</f>
        <v>36480000</v>
      </c>
      <c r="G320" s="59">
        <f>+G321</f>
        <v>0</v>
      </c>
      <c r="H320" s="59">
        <f>+H321</f>
        <v>0</v>
      </c>
      <c r="I320" s="59">
        <f>+G320+H320</f>
        <v>0</v>
      </c>
      <c r="J320" s="59">
        <f>+J321</f>
        <v>0</v>
      </c>
      <c r="K320" s="59">
        <f>+K321</f>
        <v>1600000</v>
      </c>
      <c r="L320" s="59">
        <f t="shared" si="241"/>
        <v>1600000</v>
      </c>
      <c r="M320" s="59">
        <f t="shared" si="239"/>
        <v>1600000</v>
      </c>
      <c r="N320" s="58">
        <f t="shared" si="240"/>
        <v>34880000</v>
      </c>
      <c r="P320" s="203"/>
      <c r="S320" s="281"/>
      <c r="T320" s="282"/>
      <c r="U320" s="249"/>
    </row>
    <row r="321" spans="1:21" s="49" customFormat="1" ht="18" customHeight="1" x14ac:dyDescent="0.25">
      <c r="A321" s="92"/>
      <c r="B321" s="93"/>
      <c r="C321" s="61"/>
      <c r="D321" s="62" t="s">
        <v>82</v>
      </c>
      <c r="E321" s="62" t="s">
        <v>83</v>
      </c>
      <c r="F321" s="63">
        <v>36480000</v>
      </c>
      <c r="G321" s="94"/>
      <c r="H321" s="75"/>
      <c r="I321" s="94"/>
      <c r="J321" s="75"/>
      <c r="K321" s="75">
        <v>1600000</v>
      </c>
      <c r="L321" s="75">
        <f t="shared" si="241"/>
        <v>1600000</v>
      </c>
      <c r="M321" s="75">
        <f t="shared" si="239"/>
        <v>1600000</v>
      </c>
      <c r="N321" s="63">
        <f t="shared" si="240"/>
        <v>34880000</v>
      </c>
      <c r="P321" s="203"/>
      <c r="S321" s="281"/>
      <c r="T321" s="282"/>
      <c r="U321" s="242"/>
    </row>
    <row r="322" spans="1:21" s="55" customFormat="1" ht="18" customHeight="1" x14ac:dyDescent="0.25">
      <c r="A322" s="50"/>
      <c r="B322" s="51"/>
      <c r="C322" s="51"/>
      <c r="D322" s="71" t="s">
        <v>275</v>
      </c>
      <c r="E322" s="51" t="s">
        <v>276</v>
      </c>
      <c r="F322" s="53">
        <f>+F323</f>
        <v>827610000</v>
      </c>
      <c r="G322" s="72">
        <f>+G323</f>
        <v>0</v>
      </c>
      <c r="H322" s="72">
        <f>+H323</f>
        <v>0</v>
      </c>
      <c r="I322" s="72">
        <f>+G322+H322</f>
        <v>0</v>
      </c>
      <c r="J322" s="72">
        <f>+J323</f>
        <v>0</v>
      </c>
      <c r="K322" s="72">
        <f>+K323</f>
        <v>0</v>
      </c>
      <c r="L322" s="72">
        <f>+J322+K322</f>
        <v>0</v>
      </c>
      <c r="M322" s="72">
        <f t="shared" si="239"/>
        <v>0</v>
      </c>
      <c r="N322" s="53">
        <f t="shared" si="240"/>
        <v>827610000</v>
      </c>
      <c r="P322" s="204"/>
      <c r="S322" s="281"/>
      <c r="T322" s="282"/>
      <c r="U322" s="243"/>
    </row>
    <row r="323" spans="1:21" s="67" customFormat="1" ht="18" customHeight="1" x14ac:dyDescent="0.25">
      <c r="A323" s="90"/>
      <c r="B323" s="91"/>
      <c r="C323" s="90"/>
      <c r="D323" s="57" t="s">
        <v>114</v>
      </c>
      <c r="E323" s="57" t="s">
        <v>43</v>
      </c>
      <c r="F323" s="58">
        <f>SUM(F324:F330)</f>
        <v>827610000</v>
      </c>
      <c r="G323" s="59">
        <f>SUM(G325:G330)</f>
        <v>0</v>
      </c>
      <c r="H323" s="59">
        <f>SUM(H325:H330)</f>
        <v>0</v>
      </c>
      <c r="I323" s="59">
        <f>+G323+H323</f>
        <v>0</v>
      </c>
      <c r="J323" s="59">
        <f>SUM(J325:J330)</f>
        <v>0</v>
      </c>
      <c r="K323" s="59">
        <f>SUM(K325:K330)</f>
        <v>0</v>
      </c>
      <c r="L323" s="59">
        <f>+J323+K323</f>
        <v>0</v>
      </c>
      <c r="M323" s="59">
        <f t="shared" si="239"/>
        <v>0</v>
      </c>
      <c r="N323" s="58">
        <f t="shared" si="240"/>
        <v>827610000</v>
      </c>
      <c r="P323" s="203"/>
      <c r="S323" s="281"/>
      <c r="T323" s="282"/>
      <c r="U323" s="249"/>
    </row>
    <row r="324" spans="1:21" s="49" customFormat="1" ht="35.25" customHeight="1" x14ac:dyDescent="0.25">
      <c r="A324" s="170"/>
      <c r="B324" s="86"/>
      <c r="C324" s="171"/>
      <c r="D324" s="162" t="s">
        <v>478</v>
      </c>
      <c r="E324" s="172" t="s">
        <v>479</v>
      </c>
      <c r="F324" s="173">
        <v>31700000</v>
      </c>
      <c r="G324" s="174"/>
      <c r="H324" s="174"/>
      <c r="I324" s="174"/>
      <c r="J324" s="163"/>
      <c r="K324" s="163"/>
      <c r="L324" s="163">
        <f t="shared" ref="L324" si="245">+J324+K324</f>
        <v>0</v>
      </c>
      <c r="M324" s="163">
        <f t="shared" ref="M324" si="246">+I324+L324</f>
        <v>0</v>
      </c>
      <c r="N324" s="173">
        <f t="shared" ref="N324" si="247">+F324-M324</f>
        <v>31700000</v>
      </c>
      <c r="P324" s="203"/>
      <c r="S324" s="281"/>
      <c r="T324" s="282"/>
      <c r="U324" s="242"/>
    </row>
    <row r="325" spans="1:21" s="49" customFormat="1" ht="35.25" customHeight="1" x14ac:dyDescent="0.25">
      <c r="A325" s="170"/>
      <c r="B325" s="86"/>
      <c r="C325" s="171"/>
      <c r="D325" s="162" t="s">
        <v>347</v>
      </c>
      <c r="E325" s="172" t="s">
        <v>348</v>
      </c>
      <c r="F325" s="173">
        <v>8500000</v>
      </c>
      <c r="G325" s="174"/>
      <c r="H325" s="174"/>
      <c r="I325" s="174"/>
      <c r="J325" s="163"/>
      <c r="K325" s="163"/>
      <c r="L325" s="163">
        <f t="shared" si="241"/>
        <v>0</v>
      </c>
      <c r="M325" s="163">
        <f t="shared" si="239"/>
        <v>0</v>
      </c>
      <c r="N325" s="173">
        <f t="shared" si="240"/>
        <v>8500000</v>
      </c>
      <c r="P325" s="203"/>
      <c r="S325" s="281"/>
      <c r="T325" s="282"/>
      <c r="U325" s="242"/>
    </row>
    <row r="326" spans="1:21" s="49" customFormat="1" ht="35.25" customHeight="1" x14ac:dyDescent="0.25">
      <c r="A326" s="170"/>
      <c r="B326" s="86"/>
      <c r="C326" s="162"/>
      <c r="D326" s="162" t="s">
        <v>349</v>
      </c>
      <c r="E326" s="172" t="s">
        <v>350</v>
      </c>
      <c r="F326" s="173">
        <v>99960000</v>
      </c>
      <c r="G326" s="174"/>
      <c r="H326" s="174"/>
      <c r="I326" s="174"/>
      <c r="J326" s="163"/>
      <c r="K326" s="163"/>
      <c r="L326" s="163">
        <f t="shared" si="241"/>
        <v>0</v>
      </c>
      <c r="M326" s="163">
        <f t="shared" si="239"/>
        <v>0</v>
      </c>
      <c r="N326" s="173">
        <f>+F326-M326</f>
        <v>99960000</v>
      </c>
      <c r="P326" s="203"/>
      <c r="S326" s="281"/>
      <c r="T326" s="282"/>
      <c r="U326" s="242"/>
    </row>
    <row r="327" spans="1:21" s="49" customFormat="1" ht="35.25" customHeight="1" x14ac:dyDescent="0.25">
      <c r="A327" s="170"/>
      <c r="B327" s="86"/>
      <c r="C327" s="162"/>
      <c r="D327" s="162" t="s">
        <v>145</v>
      </c>
      <c r="E327" s="172" t="s">
        <v>351</v>
      </c>
      <c r="F327" s="173">
        <v>73200000</v>
      </c>
      <c r="G327" s="174"/>
      <c r="H327" s="174"/>
      <c r="I327" s="174"/>
      <c r="J327" s="163"/>
      <c r="K327" s="163"/>
      <c r="L327" s="163">
        <f t="shared" si="241"/>
        <v>0</v>
      </c>
      <c r="M327" s="163">
        <f t="shared" si="239"/>
        <v>0</v>
      </c>
      <c r="N327" s="173">
        <f>+F327-M327</f>
        <v>73200000</v>
      </c>
      <c r="P327" s="203"/>
      <c r="S327" s="281"/>
      <c r="T327" s="282"/>
      <c r="U327" s="242"/>
    </row>
    <row r="328" spans="1:21" s="49" customFormat="1" ht="26.25" customHeight="1" x14ac:dyDescent="0.25">
      <c r="A328" s="170"/>
      <c r="B328" s="86"/>
      <c r="C328" s="162"/>
      <c r="D328" s="162" t="s">
        <v>115</v>
      </c>
      <c r="E328" s="172" t="s">
        <v>116</v>
      </c>
      <c r="F328" s="173">
        <v>109500000</v>
      </c>
      <c r="G328" s="174"/>
      <c r="H328" s="174"/>
      <c r="I328" s="174"/>
      <c r="J328" s="163"/>
      <c r="K328" s="163"/>
      <c r="L328" s="163">
        <f t="shared" si="241"/>
        <v>0</v>
      </c>
      <c r="M328" s="163">
        <f t="shared" si="239"/>
        <v>0</v>
      </c>
      <c r="N328" s="173">
        <f>+F328-M328</f>
        <v>109500000</v>
      </c>
      <c r="P328" s="192"/>
      <c r="S328" s="281"/>
      <c r="T328" s="282"/>
      <c r="U328" s="242"/>
    </row>
    <row r="329" spans="1:21" s="49" customFormat="1" ht="33.75" customHeight="1" x14ac:dyDescent="0.25">
      <c r="A329" s="170"/>
      <c r="B329" s="86"/>
      <c r="C329" s="162"/>
      <c r="D329" s="162" t="s">
        <v>352</v>
      </c>
      <c r="E329" s="172" t="s">
        <v>353</v>
      </c>
      <c r="F329" s="173">
        <v>108500000</v>
      </c>
      <c r="G329" s="174"/>
      <c r="H329" s="174"/>
      <c r="I329" s="174"/>
      <c r="J329" s="163"/>
      <c r="K329" s="163"/>
      <c r="L329" s="163">
        <f t="shared" si="241"/>
        <v>0</v>
      </c>
      <c r="M329" s="163">
        <f t="shared" si="239"/>
        <v>0</v>
      </c>
      <c r="N329" s="173">
        <f t="shared" si="240"/>
        <v>108500000</v>
      </c>
      <c r="P329" s="192"/>
      <c r="S329" s="281"/>
      <c r="T329" s="282"/>
      <c r="U329" s="242"/>
    </row>
    <row r="330" spans="1:21" s="134" customFormat="1" ht="18" customHeight="1" x14ac:dyDescent="0.25">
      <c r="A330" s="151"/>
      <c r="B330" s="152"/>
      <c r="C330" s="124"/>
      <c r="D330" s="124" t="s">
        <v>354</v>
      </c>
      <c r="E330" s="139" t="s">
        <v>355</v>
      </c>
      <c r="F330" s="125">
        <v>396250000</v>
      </c>
      <c r="G330" s="140"/>
      <c r="H330" s="140"/>
      <c r="I330" s="140">
        <f t="shared" ref="I330:I335" si="248">+G330+H330</f>
        <v>0</v>
      </c>
      <c r="J330" s="140"/>
      <c r="K330" s="140"/>
      <c r="L330" s="140">
        <f t="shared" si="241"/>
        <v>0</v>
      </c>
      <c r="M330" s="140">
        <f t="shared" si="239"/>
        <v>0</v>
      </c>
      <c r="N330" s="125">
        <f t="shared" si="240"/>
        <v>396250000</v>
      </c>
      <c r="P330" s="197"/>
      <c r="S330" s="286"/>
      <c r="T330" s="285"/>
      <c r="U330" s="247"/>
    </row>
    <row r="331" spans="1:21" s="121" customFormat="1" ht="22.5" customHeight="1" x14ac:dyDescent="0.25">
      <c r="A331" s="154">
        <v>18</v>
      </c>
      <c r="B331" s="155"/>
      <c r="C331" s="155" t="s">
        <v>146</v>
      </c>
      <c r="D331" s="156"/>
      <c r="E331" s="164" t="s">
        <v>356</v>
      </c>
      <c r="F331" s="158">
        <f t="shared" ref="F331:H334" si="249">+F332</f>
        <v>399988000</v>
      </c>
      <c r="G331" s="159">
        <f t="shared" si="249"/>
        <v>0</v>
      </c>
      <c r="H331" s="159">
        <f t="shared" si="249"/>
        <v>0</v>
      </c>
      <c r="I331" s="159">
        <f t="shared" si="248"/>
        <v>0</v>
      </c>
      <c r="J331" s="159">
        <f t="shared" ref="J331:K335" si="250">+J332</f>
        <v>0</v>
      </c>
      <c r="K331" s="159">
        <f t="shared" si="250"/>
        <v>0</v>
      </c>
      <c r="L331" s="159">
        <f>+J331+K331</f>
        <v>0</v>
      </c>
      <c r="M331" s="159">
        <f>+I331+L331</f>
        <v>0</v>
      </c>
      <c r="N331" s="158">
        <f>+F331-M331</f>
        <v>399988000</v>
      </c>
      <c r="P331" s="190"/>
      <c r="R331" s="122"/>
      <c r="S331" s="283"/>
      <c r="T331" s="283"/>
      <c r="U331" s="246"/>
    </row>
    <row r="332" spans="1:21" s="107" customFormat="1" ht="18" customHeight="1" x14ac:dyDescent="0.25">
      <c r="A332" s="101"/>
      <c r="B332" s="102"/>
      <c r="C332" s="102"/>
      <c r="D332" s="103" t="s">
        <v>207</v>
      </c>
      <c r="E332" s="104" t="s">
        <v>262</v>
      </c>
      <c r="F332" s="105">
        <f t="shared" si="249"/>
        <v>399988000</v>
      </c>
      <c r="G332" s="106">
        <f t="shared" si="249"/>
        <v>0</v>
      </c>
      <c r="H332" s="106">
        <f t="shared" si="249"/>
        <v>0</v>
      </c>
      <c r="I332" s="106">
        <f t="shared" si="248"/>
        <v>0</v>
      </c>
      <c r="J332" s="106">
        <f t="shared" si="250"/>
        <v>0</v>
      </c>
      <c r="K332" s="106">
        <f t="shared" si="250"/>
        <v>0</v>
      </c>
      <c r="L332" s="106">
        <f>+J332+K332</f>
        <v>0</v>
      </c>
      <c r="M332" s="106">
        <f t="shared" ref="M332:M336" si="251">+I332+L332</f>
        <v>0</v>
      </c>
      <c r="N332" s="105">
        <f>+F332-M332</f>
        <v>399988000</v>
      </c>
      <c r="P332" s="191"/>
      <c r="R332" s="108"/>
      <c r="S332" s="284"/>
      <c r="T332" s="284"/>
      <c r="U332" s="241"/>
    </row>
    <row r="333" spans="1:21" s="67" customFormat="1" ht="18" customHeight="1" x14ac:dyDescent="0.25">
      <c r="A333" s="88"/>
      <c r="B333" s="89"/>
      <c r="C333" s="88"/>
      <c r="D333" s="45" t="s">
        <v>63</v>
      </c>
      <c r="E333" s="45" t="s">
        <v>30</v>
      </c>
      <c r="F333" s="47">
        <f t="shared" si="249"/>
        <v>399988000</v>
      </c>
      <c r="G333" s="70">
        <f t="shared" si="249"/>
        <v>0</v>
      </c>
      <c r="H333" s="70">
        <f t="shared" si="249"/>
        <v>0</v>
      </c>
      <c r="I333" s="70">
        <f t="shared" si="248"/>
        <v>0</v>
      </c>
      <c r="J333" s="70">
        <f t="shared" si="250"/>
        <v>0</v>
      </c>
      <c r="K333" s="70">
        <f t="shared" si="250"/>
        <v>0</v>
      </c>
      <c r="L333" s="70">
        <f>+J333+K333</f>
        <v>0</v>
      </c>
      <c r="M333" s="70">
        <f t="shared" si="251"/>
        <v>0</v>
      </c>
      <c r="N333" s="47">
        <f t="shared" ref="N333:N336" si="252">+F333-M333</f>
        <v>399988000</v>
      </c>
      <c r="P333" s="192"/>
      <c r="S333" s="282"/>
      <c r="T333" s="282"/>
      <c r="U333" s="249"/>
    </row>
    <row r="334" spans="1:21" s="55" customFormat="1" ht="18" customHeight="1" x14ac:dyDescent="0.25">
      <c r="A334" s="50"/>
      <c r="B334" s="51"/>
      <c r="C334" s="51"/>
      <c r="D334" s="71" t="s">
        <v>275</v>
      </c>
      <c r="E334" s="51" t="s">
        <v>276</v>
      </c>
      <c r="F334" s="53">
        <f t="shared" si="249"/>
        <v>399988000</v>
      </c>
      <c r="G334" s="72">
        <f t="shared" si="249"/>
        <v>0</v>
      </c>
      <c r="H334" s="72">
        <f t="shared" si="249"/>
        <v>0</v>
      </c>
      <c r="I334" s="72">
        <f t="shared" si="248"/>
        <v>0</v>
      </c>
      <c r="J334" s="72">
        <f t="shared" si="250"/>
        <v>0</v>
      </c>
      <c r="K334" s="72">
        <f t="shared" si="250"/>
        <v>0</v>
      </c>
      <c r="L334" s="72">
        <f>+J334+K334</f>
        <v>0</v>
      </c>
      <c r="M334" s="72">
        <f t="shared" si="251"/>
        <v>0</v>
      </c>
      <c r="N334" s="53">
        <f t="shared" si="252"/>
        <v>399988000</v>
      </c>
      <c r="P334" s="195"/>
      <c r="S334" s="282"/>
      <c r="T334" s="282"/>
      <c r="U334" s="243"/>
    </row>
    <row r="335" spans="1:21" s="67" customFormat="1" ht="18" customHeight="1" x14ac:dyDescent="0.25">
      <c r="A335" s="90"/>
      <c r="B335" s="91"/>
      <c r="C335" s="90"/>
      <c r="D335" s="57" t="s">
        <v>147</v>
      </c>
      <c r="E335" s="57" t="s">
        <v>35</v>
      </c>
      <c r="F335" s="58">
        <f>F336</f>
        <v>399988000</v>
      </c>
      <c r="G335" s="59">
        <f>+G336</f>
        <v>0</v>
      </c>
      <c r="H335" s="59">
        <f>+H336</f>
        <v>0</v>
      </c>
      <c r="I335" s="59">
        <f t="shared" si="248"/>
        <v>0</v>
      </c>
      <c r="J335" s="59">
        <f t="shared" si="250"/>
        <v>0</v>
      </c>
      <c r="K335" s="59">
        <f t="shared" si="250"/>
        <v>0</v>
      </c>
      <c r="L335" s="59">
        <f>+J335+K335</f>
        <v>0</v>
      </c>
      <c r="M335" s="59">
        <f t="shared" si="251"/>
        <v>0</v>
      </c>
      <c r="N335" s="58">
        <f t="shared" si="252"/>
        <v>399988000</v>
      </c>
      <c r="P335" s="192"/>
      <c r="S335" s="282"/>
      <c r="T335" s="282"/>
      <c r="U335" s="249"/>
    </row>
    <row r="336" spans="1:21" s="134" customFormat="1" ht="33.75" customHeight="1" x14ac:dyDescent="0.25">
      <c r="A336" s="265"/>
      <c r="B336" s="144"/>
      <c r="C336" s="165"/>
      <c r="D336" s="166" t="s">
        <v>148</v>
      </c>
      <c r="E336" s="167" t="s">
        <v>149</v>
      </c>
      <c r="F336" s="168">
        <v>399988000</v>
      </c>
      <c r="G336" s="266"/>
      <c r="H336" s="169"/>
      <c r="I336" s="169">
        <f t="shared" ref="I336:I347" si="253">+G336+H336</f>
        <v>0</v>
      </c>
      <c r="J336" s="169"/>
      <c r="K336" s="169"/>
      <c r="L336" s="169">
        <f t="shared" ref="L336" si="254">+J336+K336</f>
        <v>0</v>
      </c>
      <c r="M336" s="169">
        <f t="shared" si="251"/>
        <v>0</v>
      </c>
      <c r="N336" s="168">
        <f t="shared" si="252"/>
        <v>399988000</v>
      </c>
      <c r="P336" s="197"/>
      <c r="S336" s="286"/>
      <c r="T336" s="285"/>
      <c r="U336" s="247"/>
    </row>
    <row r="337" spans="1:21" s="121" customFormat="1" ht="34.5" customHeight="1" x14ac:dyDescent="0.25">
      <c r="A337" s="154">
        <v>19</v>
      </c>
      <c r="B337" s="155"/>
      <c r="C337" s="155" t="s">
        <v>151</v>
      </c>
      <c r="D337" s="156"/>
      <c r="E337" s="164" t="s">
        <v>152</v>
      </c>
      <c r="F337" s="158">
        <f t="shared" ref="F337:H340" si="255">+F338</f>
        <v>200000000</v>
      </c>
      <c r="G337" s="159">
        <f t="shared" si="255"/>
        <v>0</v>
      </c>
      <c r="H337" s="159">
        <f t="shared" si="255"/>
        <v>0</v>
      </c>
      <c r="I337" s="159">
        <f t="shared" si="253"/>
        <v>0</v>
      </c>
      <c r="J337" s="159">
        <f t="shared" ref="J337:K341" si="256">+J338</f>
        <v>0</v>
      </c>
      <c r="K337" s="159">
        <f t="shared" si="256"/>
        <v>0</v>
      </c>
      <c r="L337" s="159">
        <f>+J337+K337</f>
        <v>0</v>
      </c>
      <c r="M337" s="159">
        <f>+I337+L337</f>
        <v>0</v>
      </c>
      <c r="N337" s="158">
        <f>+F337-M337</f>
        <v>200000000</v>
      </c>
      <c r="P337" s="190"/>
      <c r="R337" s="122"/>
      <c r="S337" s="283"/>
      <c r="T337" s="283"/>
      <c r="U337" s="246"/>
    </row>
    <row r="338" spans="1:21" s="107" customFormat="1" ht="18" customHeight="1" x14ac:dyDescent="0.25">
      <c r="A338" s="101"/>
      <c r="B338" s="102"/>
      <c r="C338" s="102"/>
      <c r="D338" s="103" t="s">
        <v>207</v>
      </c>
      <c r="E338" s="104" t="s">
        <v>262</v>
      </c>
      <c r="F338" s="105">
        <f t="shared" si="255"/>
        <v>200000000</v>
      </c>
      <c r="G338" s="106">
        <f t="shared" si="255"/>
        <v>0</v>
      </c>
      <c r="H338" s="106">
        <f t="shared" si="255"/>
        <v>0</v>
      </c>
      <c r="I338" s="106">
        <f t="shared" si="253"/>
        <v>0</v>
      </c>
      <c r="J338" s="106">
        <f t="shared" si="256"/>
        <v>0</v>
      </c>
      <c r="K338" s="106">
        <f t="shared" si="256"/>
        <v>0</v>
      </c>
      <c r="L338" s="106">
        <f>+J338+K338</f>
        <v>0</v>
      </c>
      <c r="M338" s="106">
        <f t="shared" ref="M338:M342" si="257">+I338+L338</f>
        <v>0</v>
      </c>
      <c r="N338" s="105">
        <f t="shared" ref="N338:N342" si="258">+F338-M338</f>
        <v>200000000</v>
      </c>
      <c r="P338" s="191"/>
      <c r="R338" s="108"/>
      <c r="S338" s="284"/>
      <c r="T338" s="284"/>
      <c r="U338" s="241"/>
    </row>
    <row r="339" spans="1:21" s="67" customFormat="1" ht="18" customHeight="1" x14ac:dyDescent="0.25">
      <c r="A339" s="88"/>
      <c r="B339" s="89"/>
      <c r="C339" s="88"/>
      <c r="D339" s="45" t="s">
        <v>63</v>
      </c>
      <c r="E339" s="45" t="s">
        <v>30</v>
      </c>
      <c r="F339" s="47">
        <f t="shared" si="255"/>
        <v>200000000</v>
      </c>
      <c r="G339" s="70">
        <f t="shared" si="255"/>
        <v>0</v>
      </c>
      <c r="H339" s="70">
        <f t="shared" si="255"/>
        <v>0</v>
      </c>
      <c r="I339" s="70">
        <f t="shared" si="253"/>
        <v>0</v>
      </c>
      <c r="J339" s="70">
        <f t="shared" si="256"/>
        <v>0</v>
      </c>
      <c r="K339" s="70">
        <f t="shared" si="256"/>
        <v>0</v>
      </c>
      <c r="L339" s="70">
        <f>+J339+K339</f>
        <v>0</v>
      </c>
      <c r="M339" s="70">
        <f t="shared" si="257"/>
        <v>0</v>
      </c>
      <c r="N339" s="47">
        <f t="shared" si="258"/>
        <v>200000000</v>
      </c>
      <c r="P339" s="192"/>
      <c r="S339" s="282"/>
      <c r="T339" s="282"/>
      <c r="U339" s="249"/>
    </row>
    <row r="340" spans="1:21" s="55" customFormat="1" ht="18" customHeight="1" x14ac:dyDescent="0.25">
      <c r="A340" s="50"/>
      <c r="B340" s="51"/>
      <c r="C340" s="51"/>
      <c r="D340" s="71" t="s">
        <v>275</v>
      </c>
      <c r="E340" s="51" t="s">
        <v>276</v>
      </c>
      <c r="F340" s="53">
        <f t="shared" si="255"/>
        <v>200000000</v>
      </c>
      <c r="G340" s="72">
        <f t="shared" si="255"/>
        <v>0</v>
      </c>
      <c r="H340" s="72">
        <f t="shared" si="255"/>
        <v>0</v>
      </c>
      <c r="I340" s="72">
        <f t="shared" si="253"/>
        <v>0</v>
      </c>
      <c r="J340" s="72">
        <f t="shared" si="256"/>
        <v>0</v>
      </c>
      <c r="K340" s="72">
        <f t="shared" si="256"/>
        <v>0</v>
      </c>
      <c r="L340" s="72">
        <f>+J340+K340</f>
        <v>0</v>
      </c>
      <c r="M340" s="72">
        <f t="shared" si="257"/>
        <v>0</v>
      </c>
      <c r="N340" s="53">
        <f t="shared" si="258"/>
        <v>200000000</v>
      </c>
      <c r="P340" s="195"/>
      <c r="S340" s="282"/>
      <c r="T340" s="282"/>
      <c r="U340" s="243"/>
    </row>
    <row r="341" spans="1:21" s="67" customFormat="1" ht="18" customHeight="1" x14ac:dyDescent="0.25">
      <c r="A341" s="90"/>
      <c r="B341" s="91"/>
      <c r="C341" s="90"/>
      <c r="D341" s="57" t="s">
        <v>147</v>
      </c>
      <c r="E341" s="57" t="s">
        <v>35</v>
      </c>
      <c r="F341" s="58">
        <f>F342</f>
        <v>200000000</v>
      </c>
      <c r="G341" s="59">
        <f>+G342</f>
        <v>0</v>
      </c>
      <c r="H341" s="59">
        <f>+H342</f>
        <v>0</v>
      </c>
      <c r="I341" s="59">
        <f t="shared" si="253"/>
        <v>0</v>
      </c>
      <c r="J341" s="59">
        <f t="shared" si="256"/>
        <v>0</v>
      </c>
      <c r="K341" s="59">
        <f t="shared" si="256"/>
        <v>0</v>
      </c>
      <c r="L341" s="59">
        <f>+J341+K341</f>
        <v>0</v>
      </c>
      <c r="M341" s="59">
        <f t="shared" si="257"/>
        <v>0</v>
      </c>
      <c r="N341" s="58">
        <f t="shared" si="258"/>
        <v>200000000</v>
      </c>
      <c r="P341" s="192"/>
      <c r="S341" s="282"/>
      <c r="T341" s="282"/>
      <c r="U341" s="249"/>
    </row>
    <row r="342" spans="1:21" s="134" customFormat="1" ht="33.75" customHeight="1" x14ac:dyDescent="0.25">
      <c r="A342" s="265"/>
      <c r="B342" s="144"/>
      <c r="C342" s="165"/>
      <c r="D342" s="166" t="s">
        <v>148</v>
      </c>
      <c r="E342" s="167" t="s">
        <v>149</v>
      </c>
      <c r="F342" s="168">
        <v>200000000</v>
      </c>
      <c r="G342" s="266"/>
      <c r="H342" s="169"/>
      <c r="I342" s="169">
        <f t="shared" si="253"/>
        <v>0</v>
      </c>
      <c r="J342" s="169"/>
      <c r="K342" s="169"/>
      <c r="L342" s="169">
        <f t="shared" ref="L342" si="259">+J342+K342</f>
        <v>0</v>
      </c>
      <c r="M342" s="169">
        <f t="shared" si="257"/>
        <v>0</v>
      </c>
      <c r="N342" s="168">
        <f t="shared" si="258"/>
        <v>200000000</v>
      </c>
      <c r="P342" s="197"/>
      <c r="S342" s="286"/>
      <c r="T342" s="285"/>
      <c r="U342" s="247"/>
    </row>
    <row r="343" spans="1:21" s="121" customFormat="1" ht="34.5" customHeight="1" x14ac:dyDescent="0.25">
      <c r="A343" s="154">
        <v>20</v>
      </c>
      <c r="B343" s="155"/>
      <c r="C343" s="155" t="s">
        <v>153</v>
      </c>
      <c r="D343" s="156"/>
      <c r="E343" s="164" t="s">
        <v>154</v>
      </c>
      <c r="F343" s="158">
        <f t="shared" ref="F343:H346" si="260">+F344</f>
        <v>80000000</v>
      </c>
      <c r="G343" s="159">
        <f t="shared" si="260"/>
        <v>0</v>
      </c>
      <c r="H343" s="159">
        <f t="shared" si="260"/>
        <v>0</v>
      </c>
      <c r="I343" s="159">
        <f t="shared" si="253"/>
        <v>0</v>
      </c>
      <c r="J343" s="159">
        <f t="shared" ref="J343:K347" si="261">+J344</f>
        <v>0</v>
      </c>
      <c r="K343" s="159">
        <f t="shared" si="261"/>
        <v>0</v>
      </c>
      <c r="L343" s="159">
        <f>+J343+K343</f>
        <v>0</v>
      </c>
      <c r="M343" s="159">
        <f>+I343+L343</f>
        <v>0</v>
      </c>
      <c r="N343" s="158">
        <f>+F343-M343</f>
        <v>80000000</v>
      </c>
      <c r="P343" s="190"/>
      <c r="R343" s="122"/>
      <c r="S343" s="283"/>
      <c r="T343" s="283"/>
      <c r="U343" s="246"/>
    </row>
    <row r="344" spans="1:21" s="107" customFormat="1" ht="18" customHeight="1" x14ac:dyDescent="0.25">
      <c r="A344" s="101"/>
      <c r="B344" s="102"/>
      <c r="C344" s="102"/>
      <c r="D344" s="103" t="s">
        <v>207</v>
      </c>
      <c r="E344" s="104" t="s">
        <v>262</v>
      </c>
      <c r="F344" s="105">
        <f t="shared" si="260"/>
        <v>80000000</v>
      </c>
      <c r="G344" s="106">
        <f t="shared" si="260"/>
        <v>0</v>
      </c>
      <c r="H344" s="106">
        <f t="shared" si="260"/>
        <v>0</v>
      </c>
      <c r="I344" s="106">
        <f t="shared" si="253"/>
        <v>0</v>
      </c>
      <c r="J344" s="106">
        <f t="shared" si="261"/>
        <v>0</v>
      </c>
      <c r="K344" s="106">
        <f t="shared" si="261"/>
        <v>0</v>
      </c>
      <c r="L344" s="106">
        <f>+J344+K344</f>
        <v>0</v>
      </c>
      <c r="M344" s="106">
        <f t="shared" ref="M344:M348" si="262">+I344+L344</f>
        <v>0</v>
      </c>
      <c r="N344" s="105">
        <f t="shared" ref="N344:N348" si="263">+F344-M344</f>
        <v>80000000</v>
      </c>
      <c r="P344" s="191"/>
      <c r="R344" s="108"/>
      <c r="S344" s="284"/>
      <c r="T344" s="284"/>
      <c r="U344" s="241"/>
    </row>
    <row r="345" spans="1:21" s="67" customFormat="1" ht="18" customHeight="1" x14ac:dyDescent="0.25">
      <c r="A345" s="88"/>
      <c r="B345" s="89"/>
      <c r="C345" s="88"/>
      <c r="D345" s="45" t="s">
        <v>63</v>
      </c>
      <c r="E345" s="45" t="s">
        <v>30</v>
      </c>
      <c r="F345" s="47">
        <f t="shared" si="260"/>
        <v>80000000</v>
      </c>
      <c r="G345" s="70">
        <f t="shared" si="260"/>
        <v>0</v>
      </c>
      <c r="H345" s="70">
        <f t="shared" si="260"/>
        <v>0</v>
      </c>
      <c r="I345" s="70">
        <f t="shared" si="253"/>
        <v>0</v>
      </c>
      <c r="J345" s="70">
        <f t="shared" si="261"/>
        <v>0</v>
      </c>
      <c r="K345" s="70">
        <f t="shared" si="261"/>
        <v>0</v>
      </c>
      <c r="L345" s="70">
        <f>+J345+K345</f>
        <v>0</v>
      </c>
      <c r="M345" s="70">
        <f t="shared" si="262"/>
        <v>0</v>
      </c>
      <c r="N345" s="47">
        <f t="shared" si="263"/>
        <v>80000000</v>
      </c>
      <c r="P345" s="192"/>
      <c r="S345" s="282"/>
      <c r="T345" s="282"/>
      <c r="U345" s="249"/>
    </row>
    <row r="346" spans="1:21" s="55" customFormat="1" ht="18" customHeight="1" x14ac:dyDescent="0.25">
      <c r="A346" s="50"/>
      <c r="B346" s="51"/>
      <c r="C346" s="51"/>
      <c r="D346" s="71" t="s">
        <v>275</v>
      </c>
      <c r="E346" s="51" t="s">
        <v>276</v>
      </c>
      <c r="F346" s="53">
        <f t="shared" si="260"/>
        <v>80000000</v>
      </c>
      <c r="G346" s="72">
        <f t="shared" si="260"/>
        <v>0</v>
      </c>
      <c r="H346" s="72">
        <f t="shared" si="260"/>
        <v>0</v>
      </c>
      <c r="I346" s="72">
        <f t="shared" si="253"/>
        <v>0</v>
      </c>
      <c r="J346" s="72">
        <f t="shared" si="261"/>
        <v>0</v>
      </c>
      <c r="K346" s="72">
        <f t="shared" si="261"/>
        <v>0</v>
      </c>
      <c r="L346" s="72">
        <f>+J346+K346</f>
        <v>0</v>
      </c>
      <c r="M346" s="72">
        <f t="shared" si="262"/>
        <v>0</v>
      </c>
      <c r="N346" s="53">
        <f t="shared" si="263"/>
        <v>80000000</v>
      </c>
      <c r="P346" s="195"/>
      <c r="S346" s="282"/>
      <c r="T346" s="282"/>
      <c r="U346" s="243"/>
    </row>
    <row r="347" spans="1:21" s="67" customFormat="1" ht="18" customHeight="1" x14ac:dyDescent="0.25">
      <c r="A347" s="90"/>
      <c r="B347" s="91"/>
      <c r="C347" s="90"/>
      <c r="D347" s="57" t="s">
        <v>114</v>
      </c>
      <c r="E347" s="57" t="s">
        <v>43</v>
      </c>
      <c r="F347" s="58">
        <f>F348</f>
        <v>80000000</v>
      </c>
      <c r="G347" s="59">
        <f>+G348</f>
        <v>0</v>
      </c>
      <c r="H347" s="59">
        <f>+H348</f>
        <v>0</v>
      </c>
      <c r="I347" s="59">
        <f t="shared" si="253"/>
        <v>0</v>
      </c>
      <c r="J347" s="59">
        <f t="shared" si="261"/>
        <v>0</v>
      </c>
      <c r="K347" s="59">
        <f t="shared" si="261"/>
        <v>0</v>
      </c>
      <c r="L347" s="59">
        <f>+J347+K347</f>
        <v>0</v>
      </c>
      <c r="M347" s="59">
        <f t="shared" si="262"/>
        <v>0</v>
      </c>
      <c r="N347" s="58">
        <f t="shared" si="263"/>
        <v>80000000</v>
      </c>
      <c r="P347" s="192"/>
      <c r="S347" s="282"/>
      <c r="T347" s="282"/>
      <c r="U347" s="249"/>
    </row>
    <row r="348" spans="1:21" s="49" customFormat="1" ht="20.25" customHeight="1" x14ac:dyDescent="0.25">
      <c r="A348" s="170"/>
      <c r="B348" s="86"/>
      <c r="C348" s="171"/>
      <c r="D348" s="162" t="s">
        <v>349</v>
      </c>
      <c r="E348" s="172" t="s">
        <v>350</v>
      </c>
      <c r="F348" s="173">
        <v>80000000</v>
      </c>
      <c r="G348" s="174"/>
      <c r="H348" s="174"/>
      <c r="I348" s="174"/>
      <c r="J348" s="163"/>
      <c r="K348" s="163"/>
      <c r="L348" s="163">
        <f t="shared" ref="L348" si="264">+J348+K348</f>
        <v>0</v>
      </c>
      <c r="M348" s="163">
        <f t="shared" si="262"/>
        <v>0</v>
      </c>
      <c r="N348" s="173">
        <f t="shared" si="263"/>
        <v>80000000</v>
      </c>
      <c r="P348" s="192"/>
      <c r="S348" s="282"/>
      <c r="T348" s="282"/>
      <c r="U348" s="242"/>
    </row>
    <row r="349" spans="1:21" s="134" customFormat="1" ht="18" customHeight="1" x14ac:dyDescent="0.25">
      <c r="A349" s="129"/>
      <c r="B349" s="131"/>
      <c r="C349" s="131"/>
      <c r="D349" s="131"/>
      <c r="E349" s="131"/>
      <c r="F349" s="132"/>
      <c r="G349" s="133"/>
      <c r="H349" s="133"/>
      <c r="I349" s="133"/>
      <c r="J349" s="133"/>
      <c r="K349" s="133"/>
      <c r="L349" s="133"/>
      <c r="M349" s="133"/>
      <c r="N349" s="132"/>
      <c r="P349" s="197"/>
      <c r="S349" s="286"/>
      <c r="T349" s="286"/>
      <c r="U349" s="247"/>
    </row>
    <row r="350" spans="1:21" s="137" customFormat="1" ht="18.75" customHeight="1" x14ac:dyDescent="0.25">
      <c r="A350" s="109"/>
      <c r="B350" s="110" t="s">
        <v>410</v>
      </c>
      <c r="C350" s="110"/>
      <c r="D350" s="110"/>
      <c r="E350" s="150" t="s">
        <v>411</v>
      </c>
      <c r="F350" s="135">
        <f>+F351+F357+F369+F375</f>
        <v>352609205400</v>
      </c>
      <c r="G350" s="113">
        <f>G351+G357+G369+G375</f>
        <v>0</v>
      </c>
      <c r="H350" s="113">
        <f>+H351+H357+H369+H375</f>
        <v>6155127800</v>
      </c>
      <c r="I350" s="136">
        <f>+G350+H350</f>
        <v>6155127800</v>
      </c>
      <c r="J350" s="113">
        <f>J351+J357+J369+J375</f>
        <v>0</v>
      </c>
      <c r="K350" s="113">
        <f>+K352</f>
        <v>0</v>
      </c>
      <c r="L350" s="136">
        <f t="shared" ref="L350:L364" si="265">+J350+K350</f>
        <v>0</v>
      </c>
      <c r="M350" s="136">
        <f t="shared" ref="M350:M364" si="266">+I350+L350</f>
        <v>6155127800</v>
      </c>
      <c r="N350" s="135">
        <f t="shared" ref="N350:N355" si="267">+F350-M350</f>
        <v>346454077600</v>
      </c>
      <c r="P350" s="198"/>
      <c r="R350" s="138"/>
      <c r="S350" s="287"/>
      <c r="T350" s="287"/>
      <c r="U350" s="248"/>
    </row>
    <row r="351" spans="1:21" s="121" customFormat="1" ht="32.25" hidden="1" customHeight="1" x14ac:dyDescent="0.25">
      <c r="A351" s="154">
        <v>21</v>
      </c>
      <c r="B351" s="155"/>
      <c r="C351" s="155" t="s">
        <v>280</v>
      </c>
      <c r="D351" s="156"/>
      <c r="E351" s="164" t="s">
        <v>279</v>
      </c>
      <c r="F351" s="158">
        <f t="shared" ref="F351:H355" si="268">+F352</f>
        <v>0</v>
      </c>
      <c r="G351" s="159">
        <f t="shared" si="268"/>
        <v>0</v>
      </c>
      <c r="H351" s="159">
        <f>+H352</f>
        <v>0</v>
      </c>
      <c r="I351" s="159">
        <f>+G351+H351</f>
        <v>0</v>
      </c>
      <c r="J351" s="159">
        <f>+J352</f>
        <v>0</v>
      </c>
      <c r="K351" s="159">
        <f>+K352</f>
        <v>0</v>
      </c>
      <c r="L351" s="159">
        <f t="shared" si="265"/>
        <v>0</v>
      </c>
      <c r="M351" s="159">
        <f>+I351+L351</f>
        <v>0</v>
      </c>
      <c r="N351" s="158">
        <f>+F351-M351</f>
        <v>0</v>
      </c>
      <c r="P351" s="190"/>
      <c r="R351" s="122"/>
      <c r="S351" s="283"/>
      <c r="T351" s="283"/>
      <c r="U351" s="246"/>
    </row>
    <row r="352" spans="1:21" s="107" customFormat="1" ht="18" hidden="1" customHeight="1" x14ac:dyDescent="0.25">
      <c r="A352" s="101"/>
      <c r="B352" s="102"/>
      <c r="C352" s="102"/>
      <c r="D352" s="103" t="s">
        <v>207</v>
      </c>
      <c r="E352" s="104" t="s">
        <v>262</v>
      </c>
      <c r="F352" s="105">
        <f t="shared" si="268"/>
        <v>0</v>
      </c>
      <c r="G352" s="106">
        <f t="shared" si="268"/>
        <v>0</v>
      </c>
      <c r="H352" s="106">
        <f t="shared" si="268"/>
        <v>0</v>
      </c>
      <c r="I352" s="106">
        <f t="shared" ref="I352:I367" si="269">+G352+H352</f>
        <v>0</v>
      </c>
      <c r="J352" s="106">
        <f>+J353</f>
        <v>0</v>
      </c>
      <c r="K352" s="106">
        <f>+K353</f>
        <v>0</v>
      </c>
      <c r="L352" s="106">
        <f t="shared" si="265"/>
        <v>0</v>
      </c>
      <c r="M352" s="106">
        <f t="shared" si="266"/>
        <v>0</v>
      </c>
      <c r="N352" s="105">
        <f t="shared" si="267"/>
        <v>0</v>
      </c>
      <c r="P352" s="191"/>
      <c r="R352" s="108"/>
      <c r="S352" s="284"/>
      <c r="T352" s="284"/>
      <c r="U352" s="241"/>
    </row>
    <row r="353" spans="1:21" s="67" customFormat="1" ht="18" hidden="1" customHeight="1" x14ac:dyDescent="0.25">
      <c r="A353" s="88"/>
      <c r="B353" s="45"/>
      <c r="C353" s="45"/>
      <c r="D353" s="45" t="s">
        <v>281</v>
      </c>
      <c r="E353" s="45" t="s">
        <v>282</v>
      </c>
      <c r="F353" s="47">
        <f t="shared" si="268"/>
        <v>0</v>
      </c>
      <c r="G353" s="48">
        <f t="shared" si="268"/>
        <v>0</v>
      </c>
      <c r="H353" s="48">
        <f t="shared" si="268"/>
        <v>0</v>
      </c>
      <c r="I353" s="48">
        <f>+G353+H353</f>
        <v>0</v>
      </c>
      <c r="J353" s="48">
        <f>+J354+J363</f>
        <v>0</v>
      </c>
      <c r="K353" s="48">
        <f>+K354+K363</f>
        <v>0</v>
      </c>
      <c r="L353" s="48">
        <f t="shared" si="265"/>
        <v>0</v>
      </c>
      <c r="M353" s="48">
        <f>+I353+L353</f>
        <v>0</v>
      </c>
      <c r="N353" s="95">
        <f t="shared" si="267"/>
        <v>0</v>
      </c>
      <c r="P353" s="192"/>
      <c r="S353" s="282"/>
      <c r="T353" s="282"/>
      <c r="U353" s="249"/>
    </row>
    <row r="354" spans="1:21" s="55" customFormat="1" ht="18" hidden="1" customHeight="1" x14ac:dyDescent="0.25">
      <c r="A354" s="50"/>
      <c r="B354" s="51"/>
      <c r="C354" s="51"/>
      <c r="D354" s="51" t="s">
        <v>283</v>
      </c>
      <c r="E354" s="52" t="s">
        <v>284</v>
      </c>
      <c r="F354" s="53">
        <f t="shared" si="268"/>
        <v>0</v>
      </c>
      <c r="G354" s="54">
        <f t="shared" si="268"/>
        <v>0</v>
      </c>
      <c r="H354" s="54">
        <f t="shared" si="268"/>
        <v>0</v>
      </c>
      <c r="I354" s="54">
        <f t="shared" si="269"/>
        <v>0</v>
      </c>
      <c r="J354" s="54">
        <f>+J355</f>
        <v>0</v>
      </c>
      <c r="K354" s="54">
        <f>+K355</f>
        <v>0</v>
      </c>
      <c r="L354" s="54">
        <f t="shared" si="265"/>
        <v>0</v>
      </c>
      <c r="M354" s="54">
        <f t="shared" si="266"/>
        <v>0</v>
      </c>
      <c r="N354" s="53">
        <f t="shared" si="267"/>
        <v>0</v>
      </c>
      <c r="P354" s="195"/>
      <c r="S354" s="282"/>
      <c r="T354" s="282"/>
      <c r="U354" s="243"/>
    </row>
    <row r="355" spans="1:21" s="49" customFormat="1" ht="31.5" hidden="1" customHeight="1" x14ac:dyDescent="0.25">
      <c r="A355" s="56"/>
      <c r="B355" s="57"/>
      <c r="C355" s="57"/>
      <c r="D355" s="57" t="s">
        <v>412</v>
      </c>
      <c r="E355" s="96" t="s">
        <v>413</v>
      </c>
      <c r="F355" s="58">
        <f t="shared" si="268"/>
        <v>0</v>
      </c>
      <c r="G355" s="59">
        <f t="shared" si="268"/>
        <v>0</v>
      </c>
      <c r="H355" s="59">
        <f t="shared" si="268"/>
        <v>0</v>
      </c>
      <c r="I355" s="59">
        <f t="shared" si="269"/>
        <v>0</v>
      </c>
      <c r="J355" s="59">
        <f>+J356</f>
        <v>0</v>
      </c>
      <c r="K355" s="59">
        <f>+K356</f>
        <v>0</v>
      </c>
      <c r="L355" s="59">
        <f t="shared" si="265"/>
        <v>0</v>
      </c>
      <c r="M355" s="59">
        <f t="shared" si="266"/>
        <v>0</v>
      </c>
      <c r="N355" s="58">
        <f t="shared" si="267"/>
        <v>0</v>
      </c>
      <c r="P355" s="192"/>
      <c r="S355" s="282"/>
      <c r="T355" s="282"/>
      <c r="U355" s="242"/>
    </row>
    <row r="356" spans="1:21" s="153" customFormat="1" ht="33.75" hidden="1" customHeight="1" x14ac:dyDescent="0.25">
      <c r="A356" s="123"/>
      <c r="B356" s="124"/>
      <c r="C356" s="124"/>
      <c r="D356" s="124" t="s">
        <v>414</v>
      </c>
      <c r="E356" s="139" t="s">
        <v>413</v>
      </c>
      <c r="F356" s="125"/>
      <c r="G356" s="126"/>
      <c r="H356" s="126"/>
      <c r="I356" s="126">
        <f t="shared" si="269"/>
        <v>0</v>
      </c>
      <c r="J356" s="140"/>
      <c r="K356" s="126"/>
      <c r="L356" s="126">
        <f t="shared" si="265"/>
        <v>0</v>
      </c>
      <c r="M356" s="126">
        <f t="shared" si="266"/>
        <v>0</v>
      </c>
      <c r="N356" s="125">
        <f>+F356-M356</f>
        <v>0</v>
      </c>
      <c r="P356" s="200"/>
      <c r="S356" s="286"/>
      <c r="T356" s="286"/>
      <c r="U356" s="254"/>
    </row>
    <row r="357" spans="1:21" s="121" customFormat="1" ht="18" customHeight="1" x14ac:dyDescent="0.25">
      <c r="A357" s="116">
        <v>21</v>
      </c>
      <c r="B357" s="117"/>
      <c r="C357" s="117" t="s">
        <v>285</v>
      </c>
      <c r="D357" s="118"/>
      <c r="E357" s="128" t="s">
        <v>286</v>
      </c>
      <c r="F357" s="119">
        <f>+F358</f>
        <v>325031788200</v>
      </c>
      <c r="G357" s="120">
        <f t="shared" ref="G357:H358" si="270">+G358</f>
        <v>0</v>
      </c>
      <c r="H357" s="120">
        <f>+H358</f>
        <v>6155127800</v>
      </c>
      <c r="I357" s="120">
        <f t="shared" si="269"/>
        <v>6155127800</v>
      </c>
      <c r="J357" s="120">
        <f t="shared" ref="J357:K358" si="271">+J358</f>
        <v>0</v>
      </c>
      <c r="K357" s="120">
        <f t="shared" si="271"/>
        <v>0</v>
      </c>
      <c r="L357" s="120">
        <f t="shared" si="265"/>
        <v>0</v>
      </c>
      <c r="M357" s="120">
        <f>+I357+L357</f>
        <v>6155127800</v>
      </c>
      <c r="N357" s="119">
        <f>+F357-M357</f>
        <v>318876660400</v>
      </c>
      <c r="P357" s="190"/>
      <c r="R357" s="122"/>
      <c r="S357" s="283"/>
      <c r="T357" s="283"/>
      <c r="U357" s="246"/>
    </row>
    <row r="358" spans="1:21" s="107" customFormat="1" ht="18" customHeight="1" x14ac:dyDescent="0.25">
      <c r="A358" s="101"/>
      <c r="B358" s="102"/>
      <c r="C358" s="102"/>
      <c r="D358" s="103" t="s">
        <v>287</v>
      </c>
      <c r="E358" s="104" t="s">
        <v>288</v>
      </c>
      <c r="F358" s="105">
        <f>+F359</f>
        <v>325031788200</v>
      </c>
      <c r="G358" s="106">
        <f t="shared" si="270"/>
        <v>0</v>
      </c>
      <c r="H358" s="106">
        <f t="shared" si="270"/>
        <v>6155127800</v>
      </c>
      <c r="I358" s="106">
        <f t="shared" si="269"/>
        <v>6155127800</v>
      </c>
      <c r="J358" s="106">
        <f t="shared" si="271"/>
        <v>0</v>
      </c>
      <c r="K358" s="106">
        <f t="shared" si="271"/>
        <v>0</v>
      </c>
      <c r="L358" s="106">
        <f t="shared" si="265"/>
        <v>0</v>
      </c>
      <c r="M358" s="106">
        <f t="shared" ref="M358" si="272">+I358+L358</f>
        <v>6155127800</v>
      </c>
      <c r="N358" s="105">
        <f t="shared" ref="N358:N366" si="273">+F358-M358</f>
        <v>318876660400</v>
      </c>
      <c r="P358" s="191"/>
      <c r="R358" s="108"/>
      <c r="S358" s="284"/>
      <c r="T358" s="284"/>
      <c r="U358" s="241"/>
    </row>
    <row r="359" spans="1:21" s="67" customFormat="1" ht="18" customHeight="1" x14ac:dyDescent="0.25">
      <c r="A359" s="88"/>
      <c r="B359" s="45"/>
      <c r="C359" s="45"/>
      <c r="D359" s="45" t="s">
        <v>289</v>
      </c>
      <c r="E359" s="45" t="s">
        <v>290</v>
      </c>
      <c r="F359" s="47">
        <f>+F363+F360</f>
        <v>325031788200</v>
      </c>
      <c r="G359" s="48">
        <f>+G363+G360</f>
        <v>0</v>
      </c>
      <c r="H359" s="48">
        <f>+H363+H360</f>
        <v>6155127800</v>
      </c>
      <c r="I359" s="48">
        <f t="shared" si="269"/>
        <v>6155127800</v>
      </c>
      <c r="J359" s="48">
        <f>+J363+J360</f>
        <v>0</v>
      </c>
      <c r="K359" s="48">
        <f>+K363+K360</f>
        <v>0</v>
      </c>
      <c r="L359" s="48">
        <f>+J359+K359</f>
        <v>0</v>
      </c>
      <c r="M359" s="48">
        <f>+I359+L359</f>
        <v>6155127800</v>
      </c>
      <c r="N359" s="95">
        <f t="shared" si="273"/>
        <v>318876660400</v>
      </c>
      <c r="P359" s="192"/>
      <c r="S359" s="282"/>
      <c r="T359" s="282"/>
      <c r="U359" s="249"/>
    </row>
    <row r="360" spans="1:21" s="55" customFormat="1" ht="18" customHeight="1" x14ac:dyDescent="0.25">
      <c r="A360" s="176"/>
      <c r="B360" s="177"/>
      <c r="C360" s="177"/>
      <c r="D360" s="177" t="s">
        <v>291</v>
      </c>
      <c r="E360" s="178" t="s">
        <v>292</v>
      </c>
      <c r="F360" s="179">
        <f t="shared" ref="F360:H361" si="274">+F361</f>
        <v>540000000</v>
      </c>
      <c r="G360" s="180">
        <f t="shared" si="274"/>
        <v>0</v>
      </c>
      <c r="H360" s="180">
        <f t="shared" si="274"/>
        <v>0</v>
      </c>
      <c r="I360" s="180">
        <f t="shared" si="269"/>
        <v>0</v>
      </c>
      <c r="J360" s="180">
        <f>+J361</f>
        <v>0</v>
      </c>
      <c r="K360" s="180">
        <f>+K361</f>
        <v>0</v>
      </c>
      <c r="L360" s="180">
        <f>+J360+K360</f>
        <v>0</v>
      </c>
      <c r="M360" s="180">
        <f>+I360+L360</f>
        <v>0</v>
      </c>
      <c r="N360" s="179">
        <f t="shared" si="273"/>
        <v>540000000</v>
      </c>
      <c r="P360" s="195"/>
      <c r="S360" s="282"/>
      <c r="T360" s="282"/>
      <c r="U360" s="243"/>
    </row>
    <row r="361" spans="1:21" s="49" customFormat="1" ht="32.25" customHeight="1" x14ac:dyDescent="0.25">
      <c r="A361" s="181"/>
      <c r="B361" s="182"/>
      <c r="C361" s="182"/>
      <c r="D361" s="182" t="s">
        <v>293</v>
      </c>
      <c r="E361" s="183" t="s">
        <v>295</v>
      </c>
      <c r="F361" s="184">
        <f t="shared" si="274"/>
        <v>540000000</v>
      </c>
      <c r="G361" s="185">
        <f t="shared" si="274"/>
        <v>0</v>
      </c>
      <c r="H361" s="185">
        <f t="shared" si="274"/>
        <v>0</v>
      </c>
      <c r="I361" s="185">
        <f t="shared" si="269"/>
        <v>0</v>
      </c>
      <c r="J361" s="185">
        <f>+J362</f>
        <v>0</v>
      </c>
      <c r="K361" s="185">
        <f>+K362</f>
        <v>0</v>
      </c>
      <c r="L361" s="185">
        <f>+J361+K361</f>
        <v>0</v>
      </c>
      <c r="M361" s="185">
        <f>+I361+L361</f>
        <v>0</v>
      </c>
      <c r="N361" s="184">
        <f t="shared" si="273"/>
        <v>540000000</v>
      </c>
      <c r="P361" s="192"/>
      <c r="S361" s="282"/>
      <c r="T361" s="282"/>
      <c r="U361" s="242"/>
    </row>
    <row r="362" spans="1:21" s="65" customFormat="1" ht="29.25" customHeight="1" x14ac:dyDescent="0.25">
      <c r="A362" s="171"/>
      <c r="B362" s="162"/>
      <c r="C362" s="162"/>
      <c r="D362" s="162" t="s">
        <v>294</v>
      </c>
      <c r="E362" s="172" t="s">
        <v>295</v>
      </c>
      <c r="F362" s="173">
        <v>540000000</v>
      </c>
      <c r="G362" s="186"/>
      <c r="H362" s="186"/>
      <c r="I362" s="186">
        <f t="shared" si="269"/>
        <v>0</v>
      </c>
      <c r="J362" s="163"/>
      <c r="K362" s="186"/>
      <c r="L362" s="186">
        <f>+J362+K362</f>
        <v>0</v>
      </c>
      <c r="M362" s="186">
        <f>+I362+L362</f>
        <v>0</v>
      </c>
      <c r="N362" s="187">
        <f t="shared" si="273"/>
        <v>540000000</v>
      </c>
      <c r="P362" s="194"/>
      <c r="S362" s="282"/>
      <c r="T362" s="282"/>
      <c r="U362" s="244"/>
    </row>
    <row r="363" spans="1:21" s="55" customFormat="1" ht="18" customHeight="1" x14ac:dyDescent="0.25">
      <c r="A363" s="50"/>
      <c r="B363" s="51"/>
      <c r="C363" s="51"/>
      <c r="D363" s="51" t="s">
        <v>296</v>
      </c>
      <c r="E363" s="52" t="s">
        <v>298</v>
      </c>
      <c r="F363" s="53">
        <f>+F364+F366</f>
        <v>324491788200</v>
      </c>
      <c r="G363" s="54">
        <f>+G364+G366</f>
        <v>0</v>
      </c>
      <c r="H363" s="54">
        <f>+H364+H366</f>
        <v>6155127800</v>
      </c>
      <c r="I363" s="54">
        <f t="shared" si="269"/>
        <v>6155127800</v>
      </c>
      <c r="J363" s="54">
        <f>+J364+J366</f>
        <v>0</v>
      </c>
      <c r="K363" s="54">
        <f>+K364+K366</f>
        <v>0</v>
      </c>
      <c r="L363" s="54">
        <f t="shared" si="265"/>
        <v>0</v>
      </c>
      <c r="M363" s="54">
        <f t="shared" si="266"/>
        <v>6155127800</v>
      </c>
      <c r="N363" s="53">
        <f t="shared" si="273"/>
        <v>318336660400</v>
      </c>
      <c r="P363" s="195"/>
      <c r="S363" s="282"/>
      <c r="T363" s="282"/>
      <c r="U363" s="243"/>
    </row>
    <row r="364" spans="1:21" s="49" customFormat="1" ht="32.25" customHeight="1" x14ac:dyDescent="0.25">
      <c r="A364" s="56"/>
      <c r="B364" s="57"/>
      <c r="C364" s="57"/>
      <c r="D364" s="57" t="s">
        <v>297</v>
      </c>
      <c r="E364" s="96" t="s">
        <v>300</v>
      </c>
      <c r="F364" s="58">
        <f>F365</f>
        <v>268985638200</v>
      </c>
      <c r="G364" s="59">
        <f>+G365</f>
        <v>0</v>
      </c>
      <c r="H364" s="59">
        <f>+H365</f>
        <v>6155127800</v>
      </c>
      <c r="I364" s="60">
        <f t="shared" si="269"/>
        <v>6155127800</v>
      </c>
      <c r="J364" s="59">
        <f>+J365</f>
        <v>0</v>
      </c>
      <c r="K364" s="59">
        <f>+K365</f>
        <v>0</v>
      </c>
      <c r="L364" s="60">
        <f t="shared" si="265"/>
        <v>0</v>
      </c>
      <c r="M364" s="59">
        <f t="shared" si="266"/>
        <v>6155127800</v>
      </c>
      <c r="N364" s="58">
        <f t="shared" si="273"/>
        <v>262830510400</v>
      </c>
      <c r="P364" s="192"/>
      <c r="S364" s="282"/>
      <c r="T364" s="282"/>
      <c r="U364" s="242"/>
    </row>
    <row r="365" spans="1:21" s="65" customFormat="1" ht="29.25" customHeight="1" x14ac:dyDescent="0.25">
      <c r="A365" s="61"/>
      <c r="B365" s="62"/>
      <c r="C365" s="62"/>
      <c r="D365" s="62" t="s">
        <v>299</v>
      </c>
      <c r="E365" s="76" t="s">
        <v>300</v>
      </c>
      <c r="F365" s="63">
        <v>268985638200</v>
      </c>
      <c r="G365" s="64"/>
      <c r="H365" s="64">
        <v>6155127800</v>
      </c>
      <c r="I365" s="64">
        <f t="shared" si="269"/>
        <v>6155127800</v>
      </c>
      <c r="J365" s="75"/>
      <c r="K365" s="64"/>
      <c r="L365" s="64">
        <f>J365+K365</f>
        <v>0</v>
      </c>
      <c r="M365" s="64">
        <f>+I365+L365</f>
        <v>6155127800</v>
      </c>
      <c r="N365" s="97">
        <f t="shared" si="273"/>
        <v>262830510400</v>
      </c>
      <c r="P365" s="194"/>
      <c r="S365" s="280"/>
      <c r="T365" s="280"/>
      <c r="U365" s="244"/>
    </row>
    <row r="366" spans="1:21" s="49" customFormat="1" ht="32.25" customHeight="1" x14ac:dyDescent="0.25">
      <c r="A366" s="56"/>
      <c r="B366" s="57"/>
      <c r="C366" s="57"/>
      <c r="D366" s="57" t="s">
        <v>301</v>
      </c>
      <c r="E366" s="96" t="s">
        <v>303</v>
      </c>
      <c r="F366" s="58">
        <f>F367+F368</f>
        <v>55506150000</v>
      </c>
      <c r="G366" s="59">
        <f>+G367</f>
        <v>0</v>
      </c>
      <c r="H366" s="60">
        <f>+H367</f>
        <v>0</v>
      </c>
      <c r="I366" s="60">
        <f>+G366+H366</f>
        <v>0</v>
      </c>
      <c r="J366" s="59">
        <f>+J367</f>
        <v>0</v>
      </c>
      <c r="K366" s="59">
        <f>+K367</f>
        <v>0</v>
      </c>
      <c r="L366" s="59">
        <f>+J366+K366</f>
        <v>0</v>
      </c>
      <c r="M366" s="59">
        <f t="shared" ref="M366" si="275">+I366+L366</f>
        <v>0</v>
      </c>
      <c r="N366" s="58">
        <f t="shared" si="273"/>
        <v>55506150000</v>
      </c>
      <c r="P366" s="192"/>
      <c r="S366" s="280"/>
      <c r="T366" s="280"/>
      <c r="U366" s="242"/>
    </row>
    <row r="367" spans="1:21" s="127" customFormat="1" ht="29.25" customHeight="1" x14ac:dyDescent="0.25">
      <c r="A367" s="123"/>
      <c r="B367" s="124"/>
      <c r="C367" s="124"/>
      <c r="D367" s="124" t="s">
        <v>480</v>
      </c>
      <c r="E367" s="139" t="s">
        <v>481</v>
      </c>
      <c r="F367" s="125">
        <v>70000000</v>
      </c>
      <c r="G367" s="126"/>
      <c r="H367" s="126"/>
      <c r="I367" s="126">
        <f t="shared" si="269"/>
        <v>0</v>
      </c>
      <c r="J367" s="140"/>
      <c r="K367" s="126"/>
      <c r="L367" s="126">
        <f>J367+K367</f>
        <v>0</v>
      </c>
      <c r="M367" s="126">
        <f>+I367+L367</f>
        <v>0</v>
      </c>
      <c r="N367" s="97">
        <f>+F367-M367</f>
        <v>70000000</v>
      </c>
      <c r="P367" s="196"/>
      <c r="S367" s="288"/>
      <c r="T367" s="288"/>
      <c r="U367" s="245"/>
    </row>
    <row r="368" spans="1:21" s="127" customFormat="1" ht="29.25" customHeight="1" x14ac:dyDescent="0.25">
      <c r="A368" s="123"/>
      <c r="B368" s="124"/>
      <c r="C368" s="124"/>
      <c r="D368" s="124" t="s">
        <v>482</v>
      </c>
      <c r="E368" s="139" t="s">
        <v>483</v>
      </c>
      <c r="F368" s="125">
        <v>55436150000</v>
      </c>
      <c r="G368" s="126"/>
      <c r="H368" s="126"/>
      <c r="I368" s="126">
        <f t="shared" ref="I368" si="276">+G368+H368</f>
        <v>0</v>
      </c>
      <c r="J368" s="140"/>
      <c r="K368" s="126"/>
      <c r="L368" s="126">
        <f>J368+K368</f>
        <v>0</v>
      </c>
      <c r="M368" s="126">
        <f>+I368+L368</f>
        <v>0</v>
      </c>
      <c r="N368" s="97">
        <f>+F368-M368</f>
        <v>55436150000</v>
      </c>
      <c r="P368" s="196"/>
      <c r="S368" s="288"/>
      <c r="T368" s="288"/>
      <c r="U368" s="245"/>
    </row>
    <row r="369" spans="1:21" s="121" customFormat="1" ht="18" customHeight="1" x14ac:dyDescent="0.25">
      <c r="A369" s="116">
        <v>22</v>
      </c>
      <c r="B369" s="117"/>
      <c r="C369" s="117" t="s">
        <v>304</v>
      </c>
      <c r="D369" s="118"/>
      <c r="E369" s="128" t="s">
        <v>305</v>
      </c>
      <c r="F369" s="119">
        <f t="shared" ref="F369:H372" si="277">+F370</f>
        <v>8000000000</v>
      </c>
      <c r="G369" s="120">
        <f t="shared" si="277"/>
        <v>0</v>
      </c>
      <c r="H369" s="120">
        <f t="shared" si="277"/>
        <v>0</v>
      </c>
      <c r="I369" s="120">
        <f>+G369+H369</f>
        <v>0</v>
      </c>
      <c r="J369" s="120">
        <f t="shared" ref="J369:K373" si="278">+J370</f>
        <v>0</v>
      </c>
      <c r="K369" s="120">
        <f t="shared" si="278"/>
        <v>0</v>
      </c>
      <c r="L369" s="120">
        <f>+J369+K369</f>
        <v>0</v>
      </c>
      <c r="M369" s="120">
        <f>+I369+L369</f>
        <v>0</v>
      </c>
      <c r="N369" s="119">
        <f>+F369-M369</f>
        <v>8000000000</v>
      </c>
      <c r="P369" s="190"/>
      <c r="R369" s="122"/>
      <c r="S369" s="289"/>
      <c r="T369" s="289"/>
      <c r="U369" s="246"/>
    </row>
    <row r="370" spans="1:21" s="107" customFormat="1" ht="18" customHeight="1" x14ac:dyDescent="0.25">
      <c r="A370" s="101"/>
      <c r="B370" s="102"/>
      <c r="C370" s="102"/>
      <c r="D370" s="103" t="s">
        <v>306</v>
      </c>
      <c r="E370" s="104" t="s">
        <v>307</v>
      </c>
      <c r="F370" s="105">
        <f t="shared" si="277"/>
        <v>8000000000</v>
      </c>
      <c r="G370" s="106">
        <f t="shared" si="277"/>
        <v>0</v>
      </c>
      <c r="H370" s="106">
        <f t="shared" si="277"/>
        <v>0</v>
      </c>
      <c r="I370" s="106">
        <f>+G370+H370</f>
        <v>0</v>
      </c>
      <c r="J370" s="106">
        <f t="shared" si="278"/>
        <v>0</v>
      </c>
      <c r="K370" s="106">
        <f t="shared" si="278"/>
        <v>0</v>
      </c>
      <c r="L370" s="106">
        <f>+J370+K370</f>
        <v>0</v>
      </c>
      <c r="M370" s="106">
        <f t="shared" ref="M370:M373" si="279">+I370+L370</f>
        <v>0</v>
      </c>
      <c r="N370" s="105">
        <f t="shared" ref="N370:N373" si="280">+F370-M370</f>
        <v>8000000000</v>
      </c>
      <c r="P370" s="191"/>
      <c r="R370" s="108"/>
      <c r="S370" s="278"/>
      <c r="T370" s="278"/>
      <c r="U370" s="241"/>
    </row>
    <row r="371" spans="1:21" s="67" customFormat="1" ht="18" customHeight="1" x14ac:dyDescent="0.25">
      <c r="A371" s="88"/>
      <c r="B371" s="45"/>
      <c r="C371" s="45"/>
      <c r="D371" s="45" t="s">
        <v>308</v>
      </c>
      <c r="E371" s="45" t="s">
        <v>307</v>
      </c>
      <c r="F371" s="47">
        <f t="shared" si="277"/>
        <v>8000000000</v>
      </c>
      <c r="G371" s="48">
        <f t="shared" si="277"/>
        <v>0</v>
      </c>
      <c r="H371" s="48">
        <f t="shared" si="277"/>
        <v>0</v>
      </c>
      <c r="I371" s="48">
        <f>+G371+H371</f>
        <v>0</v>
      </c>
      <c r="J371" s="48">
        <f t="shared" si="278"/>
        <v>0</v>
      </c>
      <c r="K371" s="48">
        <f t="shared" si="278"/>
        <v>0</v>
      </c>
      <c r="L371" s="48">
        <f>+J371+K371</f>
        <v>0</v>
      </c>
      <c r="M371" s="48">
        <f t="shared" si="279"/>
        <v>0</v>
      </c>
      <c r="N371" s="95">
        <f t="shared" si="280"/>
        <v>8000000000</v>
      </c>
      <c r="P371" s="192"/>
      <c r="S371" s="290"/>
      <c r="T371" s="290"/>
      <c r="U371" s="249"/>
    </row>
    <row r="372" spans="1:21" s="55" customFormat="1" ht="18" customHeight="1" x14ac:dyDescent="0.25">
      <c r="A372" s="50"/>
      <c r="B372" s="51"/>
      <c r="C372" s="51"/>
      <c r="D372" s="51" t="s">
        <v>309</v>
      </c>
      <c r="E372" s="52" t="s">
        <v>307</v>
      </c>
      <c r="F372" s="53">
        <f t="shared" si="277"/>
        <v>8000000000</v>
      </c>
      <c r="G372" s="54">
        <f t="shared" si="277"/>
        <v>0</v>
      </c>
      <c r="H372" s="54">
        <f t="shared" si="277"/>
        <v>0</v>
      </c>
      <c r="I372" s="54">
        <f>+G372+H372</f>
        <v>0</v>
      </c>
      <c r="J372" s="54">
        <f t="shared" si="278"/>
        <v>0</v>
      </c>
      <c r="K372" s="54">
        <f t="shared" si="278"/>
        <v>0</v>
      </c>
      <c r="L372" s="54">
        <f>+J372+K372</f>
        <v>0</v>
      </c>
      <c r="M372" s="54">
        <f t="shared" si="279"/>
        <v>0</v>
      </c>
      <c r="N372" s="53">
        <f t="shared" si="280"/>
        <v>8000000000</v>
      </c>
      <c r="P372" s="195"/>
      <c r="S372" s="279"/>
      <c r="T372" s="279"/>
      <c r="U372" s="243"/>
    </row>
    <row r="373" spans="1:21" s="49" customFormat="1" ht="17.25" customHeight="1" x14ac:dyDescent="0.25">
      <c r="A373" s="56"/>
      <c r="B373" s="57"/>
      <c r="C373" s="57"/>
      <c r="D373" s="57" t="s">
        <v>310</v>
      </c>
      <c r="E373" s="96" t="s">
        <v>307</v>
      </c>
      <c r="F373" s="58">
        <f>F374</f>
        <v>8000000000</v>
      </c>
      <c r="G373" s="59">
        <f>+G374</f>
        <v>0</v>
      </c>
      <c r="H373" s="59">
        <f>+H374</f>
        <v>0</v>
      </c>
      <c r="I373" s="60">
        <f>+G373+H373</f>
        <v>0</v>
      </c>
      <c r="J373" s="59">
        <f t="shared" si="278"/>
        <v>0</v>
      </c>
      <c r="K373" s="59">
        <f t="shared" si="278"/>
        <v>0</v>
      </c>
      <c r="L373" s="60">
        <f>+J373+K373</f>
        <v>0</v>
      </c>
      <c r="M373" s="59">
        <f t="shared" si="279"/>
        <v>0</v>
      </c>
      <c r="N373" s="58">
        <f t="shared" si="280"/>
        <v>8000000000</v>
      </c>
      <c r="P373" s="192"/>
      <c r="S373" s="280"/>
      <c r="T373" s="280"/>
      <c r="U373" s="242"/>
    </row>
    <row r="374" spans="1:21" s="127" customFormat="1" ht="20.25" customHeight="1" x14ac:dyDescent="0.25">
      <c r="A374" s="123"/>
      <c r="B374" s="124"/>
      <c r="C374" s="124"/>
      <c r="D374" s="124" t="s">
        <v>311</v>
      </c>
      <c r="E374" s="139" t="s">
        <v>307</v>
      </c>
      <c r="F374" s="125">
        <v>8000000000</v>
      </c>
      <c r="G374" s="126"/>
      <c r="H374" s="126"/>
      <c r="I374" s="126">
        <f t="shared" ref="I374:I383" si="281">+G374+H374</f>
        <v>0</v>
      </c>
      <c r="J374" s="140"/>
      <c r="K374" s="126"/>
      <c r="L374" s="126">
        <f>J374+K374</f>
        <v>0</v>
      </c>
      <c r="M374" s="126">
        <f>+I374+L374</f>
        <v>0</v>
      </c>
      <c r="N374" s="97">
        <f>+F374-M374</f>
        <v>8000000000</v>
      </c>
      <c r="P374" s="196"/>
      <c r="S374" s="288"/>
      <c r="T374" s="288"/>
      <c r="U374" s="245"/>
    </row>
    <row r="375" spans="1:21" s="121" customFormat="1" ht="18" customHeight="1" x14ac:dyDescent="0.25">
      <c r="A375" s="116">
        <v>23</v>
      </c>
      <c r="B375" s="117"/>
      <c r="C375" s="117" t="s">
        <v>320</v>
      </c>
      <c r="D375" s="118"/>
      <c r="E375" s="128" t="s">
        <v>312</v>
      </c>
      <c r="F375" s="119">
        <f t="shared" ref="F375:H376" si="282">+F376</f>
        <v>19577417200</v>
      </c>
      <c r="G375" s="120">
        <f t="shared" si="282"/>
        <v>0</v>
      </c>
      <c r="H375" s="120">
        <f t="shared" si="282"/>
        <v>0</v>
      </c>
      <c r="I375" s="120">
        <f t="shared" si="281"/>
        <v>0</v>
      </c>
      <c r="J375" s="120">
        <f>+J376</f>
        <v>0</v>
      </c>
      <c r="K375" s="120">
        <f>+K376</f>
        <v>0</v>
      </c>
      <c r="L375" s="120">
        <f>+J375+K375</f>
        <v>0</v>
      </c>
      <c r="M375" s="120">
        <f>+I375+L375</f>
        <v>0</v>
      </c>
      <c r="N375" s="119">
        <f>+F375-M375</f>
        <v>19577417200</v>
      </c>
      <c r="P375" s="190"/>
      <c r="R375" s="122"/>
      <c r="S375" s="289"/>
      <c r="T375" s="289"/>
      <c r="U375" s="246"/>
    </row>
    <row r="376" spans="1:21" s="107" customFormat="1" ht="18" customHeight="1" x14ac:dyDescent="0.25">
      <c r="A376" s="101"/>
      <c r="B376" s="102"/>
      <c r="C376" s="102"/>
      <c r="D376" s="103" t="s">
        <v>287</v>
      </c>
      <c r="E376" s="104" t="s">
        <v>288</v>
      </c>
      <c r="F376" s="105">
        <f t="shared" si="282"/>
        <v>19577417200</v>
      </c>
      <c r="G376" s="106">
        <f t="shared" si="282"/>
        <v>0</v>
      </c>
      <c r="H376" s="106">
        <f t="shared" si="282"/>
        <v>0</v>
      </c>
      <c r="I376" s="106">
        <f t="shared" si="281"/>
        <v>0</v>
      </c>
      <c r="J376" s="106">
        <f>+J377</f>
        <v>0</v>
      </c>
      <c r="K376" s="106">
        <f>+K377</f>
        <v>0</v>
      </c>
      <c r="L376" s="106">
        <f>+J376+K376</f>
        <v>0</v>
      </c>
      <c r="M376" s="106">
        <f t="shared" ref="M376:M379" si="283">+I376+L376</f>
        <v>0</v>
      </c>
      <c r="N376" s="105">
        <f t="shared" ref="N376:N379" si="284">+F376-M376</f>
        <v>19577417200</v>
      </c>
      <c r="P376" s="191"/>
      <c r="R376" s="108"/>
      <c r="S376" s="278"/>
      <c r="T376" s="278"/>
      <c r="U376" s="241"/>
    </row>
    <row r="377" spans="1:21" s="67" customFormat="1" ht="18" customHeight="1" x14ac:dyDescent="0.25">
      <c r="A377" s="88"/>
      <c r="B377" s="45"/>
      <c r="C377" s="45"/>
      <c r="D377" s="45" t="s">
        <v>313</v>
      </c>
      <c r="E377" s="45" t="s">
        <v>415</v>
      </c>
      <c r="F377" s="47">
        <f>+F378+F381</f>
        <v>19577417200</v>
      </c>
      <c r="G377" s="48">
        <f>+G378+G381</f>
        <v>0</v>
      </c>
      <c r="H377" s="48">
        <f>+H378+H381</f>
        <v>0</v>
      </c>
      <c r="I377" s="48">
        <f t="shared" si="281"/>
        <v>0</v>
      </c>
      <c r="J377" s="48">
        <f>+J378+J381</f>
        <v>0</v>
      </c>
      <c r="K377" s="48">
        <f>+K378+K381</f>
        <v>0</v>
      </c>
      <c r="L377" s="48">
        <f>+J377+K377</f>
        <v>0</v>
      </c>
      <c r="M377" s="48">
        <f t="shared" si="283"/>
        <v>0</v>
      </c>
      <c r="N377" s="95">
        <f t="shared" si="284"/>
        <v>19577417200</v>
      </c>
      <c r="P377" s="192"/>
      <c r="S377" s="290"/>
      <c r="T377" s="290"/>
      <c r="U377" s="249"/>
    </row>
    <row r="378" spans="1:21" s="55" customFormat="1" ht="31.5" customHeight="1" x14ac:dyDescent="0.25">
      <c r="A378" s="50"/>
      <c r="B378" s="51"/>
      <c r="C378" s="51"/>
      <c r="D378" s="51" t="s">
        <v>314</v>
      </c>
      <c r="E378" s="98" t="s">
        <v>416</v>
      </c>
      <c r="F378" s="53">
        <f>+F379</f>
        <v>18835000000</v>
      </c>
      <c r="G378" s="54">
        <f>+G379</f>
        <v>0</v>
      </c>
      <c r="H378" s="54">
        <f>+H379</f>
        <v>0</v>
      </c>
      <c r="I378" s="54">
        <f t="shared" si="281"/>
        <v>0</v>
      </c>
      <c r="J378" s="54">
        <f>+J379</f>
        <v>0</v>
      </c>
      <c r="K378" s="54">
        <f>+K379</f>
        <v>0</v>
      </c>
      <c r="L378" s="54">
        <f>+J378+K378</f>
        <v>0</v>
      </c>
      <c r="M378" s="54">
        <f t="shared" si="283"/>
        <v>0</v>
      </c>
      <c r="N378" s="53">
        <f t="shared" si="284"/>
        <v>18835000000</v>
      </c>
      <c r="P378" s="195"/>
      <c r="S378" s="279"/>
      <c r="T378" s="279"/>
      <c r="U378" s="243"/>
    </row>
    <row r="379" spans="1:21" s="49" customFormat="1" ht="17.25" customHeight="1" x14ac:dyDescent="0.25">
      <c r="A379" s="56"/>
      <c r="B379" s="57"/>
      <c r="C379" s="57"/>
      <c r="D379" s="57" t="s">
        <v>315</v>
      </c>
      <c r="E379" s="96" t="s">
        <v>417</v>
      </c>
      <c r="F379" s="58">
        <f>F380</f>
        <v>18835000000</v>
      </c>
      <c r="G379" s="59">
        <f>+G380</f>
        <v>0</v>
      </c>
      <c r="H379" s="59">
        <f>+H380</f>
        <v>0</v>
      </c>
      <c r="I379" s="60">
        <f t="shared" si="281"/>
        <v>0</v>
      </c>
      <c r="J379" s="59">
        <f>+J380</f>
        <v>0</v>
      </c>
      <c r="K379" s="59">
        <f>+K380</f>
        <v>0</v>
      </c>
      <c r="L379" s="60">
        <f>+J379+K379</f>
        <v>0</v>
      </c>
      <c r="M379" s="59">
        <f t="shared" si="283"/>
        <v>0</v>
      </c>
      <c r="N379" s="58">
        <f t="shared" si="284"/>
        <v>18835000000</v>
      </c>
      <c r="P379" s="192"/>
      <c r="S379" s="280"/>
      <c r="T379" s="280"/>
      <c r="U379" s="242"/>
    </row>
    <row r="380" spans="1:21" s="65" customFormat="1" ht="20.25" customHeight="1" x14ac:dyDescent="0.25">
      <c r="A380" s="61"/>
      <c r="B380" s="62"/>
      <c r="C380" s="62"/>
      <c r="D380" s="62" t="s">
        <v>316</v>
      </c>
      <c r="E380" s="76" t="s">
        <v>417</v>
      </c>
      <c r="F380" s="63">
        <v>18835000000</v>
      </c>
      <c r="G380" s="64"/>
      <c r="H380" s="64"/>
      <c r="I380" s="64">
        <f t="shared" si="281"/>
        <v>0</v>
      </c>
      <c r="J380" s="75"/>
      <c r="K380" s="64"/>
      <c r="L380" s="64">
        <f>J380+K380</f>
        <v>0</v>
      </c>
      <c r="M380" s="64">
        <f>+I380+L380</f>
        <v>0</v>
      </c>
      <c r="N380" s="97">
        <f>+F380-M380</f>
        <v>18835000000</v>
      </c>
      <c r="P380" s="194"/>
      <c r="S380" s="280"/>
      <c r="T380" s="280"/>
      <c r="U380" s="244"/>
    </row>
    <row r="381" spans="1:21" s="55" customFormat="1" ht="20.25" customHeight="1" x14ac:dyDescent="0.25">
      <c r="A381" s="50"/>
      <c r="B381" s="51"/>
      <c r="C381" s="51"/>
      <c r="D381" s="51" t="s">
        <v>317</v>
      </c>
      <c r="E381" s="98" t="s">
        <v>418</v>
      </c>
      <c r="F381" s="53">
        <f>+F382</f>
        <v>742417200</v>
      </c>
      <c r="G381" s="54">
        <f>+G382</f>
        <v>0</v>
      </c>
      <c r="H381" s="54">
        <f>+H382</f>
        <v>0</v>
      </c>
      <c r="I381" s="54">
        <f t="shared" si="281"/>
        <v>0</v>
      </c>
      <c r="J381" s="54">
        <f>+J382</f>
        <v>0</v>
      </c>
      <c r="K381" s="54">
        <f>+K382</f>
        <v>0</v>
      </c>
      <c r="L381" s="54">
        <f>+J381+K381</f>
        <v>0</v>
      </c>
      <c r="M381" s="54">
        <f t="shared" ref="M381:M382" si="285">+I381+L381</f>
        <v>0</v>
      </c>
      <c r="N381" s="53">
        <f t="shared" ref="N381:N382" si="286">+F381-M381</f>
        <v>742417200</v>
      </c>
      <c r="P381" s="195"/>
      <c r="S381" s="279"/>
      <c r="T381" s="279"/>
      <c r="U381" s="243"/>
    </row>
    <row r="382" spans="1:21" s="49" customFormat="1" ht="17.25" customHeight="1" x14ac:dyDescent="0.25">
      <c r="A382" s="56"/>
      <c r="B382" s="57"/>
      <c r="C382" s="57"/>
      <c r="D382" s="57" t="s">
        <v>318</v>
      </c>
      <c r="E382" s="96" t="s">
        <v>418</v>
      </c>
      <c r="F382" s="58">
        <f>F383</f>
        <v>742417200</v>
      </c>
      <c r="G382" s="59">
        <f>+G383</f>
        <v>0</v>
      </c>
      <c r="H382" s="59">
        <f>+H383</f>
        <v>0</v>
      </c>
      <c r="I382" s="60">
        <f t="shared" si="281"/>
        <v>0</v>
      </c>
      <c r="J382" s="59">
        <f>+J383</f>
        <v>0</v>
      </c>
      <c r="K382" s="59">
        <f>+K383</f>
        <v>0</v>
      </c>
      <c r="L382" s="60">
        <f>+J382+K382</f>
        <v>0</v>
      </c>
      <c r="M382" s="59">
        <f t="shared" si="285"/>
        <v>0</v>
      </c>
      <c r="N382" s="58">
        <f t="shared" si="286"/>
        <v>742417200</v>
      </c>
      <c r="P382" s="192"/>
      <c r="S382" s="280"/>
      <c r="T382" s="280"/>
      <c r="U382" s="242"/>
    </row>
    <row r="383" spans="1:21" s="5" customFormat="1" ht="20.25" customHeight="1" x14ac:dyDescent="0.25">
      <c r="A383" s="10"/>
      <c r="B383" s="11"/>
      <c r="C383" s="11"/>
      <c r="D383" s="11" t="s">
        <v>319</v>
      </c>
      <c r="E383" s="19" t="s">
        <v>418</v>
      </c>
      <c r="F383" s="12">
        <v>742417200</v>
      </c>
      <c r="G383" s="13"/>
      <c r="H383" s="13"/>
      <c r="I383" s="13">
        <f t="shared" si="281"/>
        <v>0</v>
      </c>
      <c r="J383" s="16"/>
      <c r="K383" s="13"/>
      <c r="L383" s="13">
        <f>J383+K383</f>
        <v>0</v>
      </c>
      <c r="M383" s="13">
        <f>+I383+L383</f>
        <v>0</v>
      </c>
      <c r="N383" s="17">
        <f>+F383-M383</f>
        <v>742417200</v>
      </c>
      <c r="P383" s="201"/>
      <c r="S383" s="291"/>
      <c r="T383" s="291"/>
      <c r="U383" s="256"/>
    </row>
    <row r="384" spans="1:21" ht="18" customHeight="1" x14ac:dyDescent="0.25">
      <c r="A384" s="9"/>
      <c r="B384" s="18"/>
      <c r="C384" s="18"/>
      <c r="D384" s="18"/>
      <c r="E384" s="18"/>
      <c r="F384" s="14"/>
      <c r="G384" s="15"/>
      <c r="H384" s="15"/>
      <c r="I384" s="15"/>
      <c r="J384" s="15"/>
      <c r="K384" s="15"/>
      <c r="L384" s="15"/>
      <c r="M384" s="15"/>
      <c r="N384" s="14"/>
      <c r="S384" s="292"/>
      <c r="T384" s="292"/>
      <c r="U384" s="257"/>
    </row>
    <row r="385" spans="1:21" ht="18" customHeight="1" x14ac:dyDescent="0.25">
      <c r="A385" s="8"/>
      <c r="B385" s="20"/>
      <c r="C385" s="20"/>
      <c r="D385" s="20"/>
      <c r="E385" s="20" t="s">
        <v>41</v>
      </c>
      <c r="F385" s="21"/>
      <c r="G385" s="21"/>
      <c r="H385" s="21"/>
      <c r="I385" s="21"/>
      <c r="J385" s="21"/>
      <c r="K385" s="21"/>
      <c r="L385" s="21"/>
      <c r="M385" s="21"/>
      <c r="N385" s="22"/>
      <c r="S385" s="292"/>
      <c r="T385" s="292"/>
      <c r="U385" s="257"/>
    </row>
    <row r="386" spans="1:21" s="32" customFormat="1" ht="18" customHeight="1" x14ac:dyDescent="0.25">
      <c r="A386" s="28"/>
      <c r="B386" s="29"/>
      <c r="C386" s="29"/>
      <c r="D386" s="29"/>
      <c r="E386" s="29" t="s">
        <v>21</v>
      </c>
      <c r="F386" s="30"/>
      <c r="G386" s="30">
        <f>+G17</f>
        <v>0</v>
      </c>
      <c r="H386" s="30">
        <f>+H17</f>
        <v>9805797967</v>
      </c>
      <c r="I386" s="30">
        <f>+I17</f>
        <v>9805797967</v>
      </c>
      <c r="J386" s="30">
        <f>+J17</f>
        <v>0</v>
      </c>
      <c r="K386" s="30">
        <f>+K17</f>
        <v>114284700</v>
      </c>
      <c r="L386" s="30">
        <f t="shared" ref="L386:L391" si="287">+J386+K386</f>
        <v>114284700</v>
      </c>
      <c r="M386" s="30">
        <f>+I386+L386</f>
        <v>9920082667</v>
      </c>
      <c r="N386" s="31"/>
      <c r="P386" s="202"/>
      <c r="S386" s="292"/>
      <c r="T386" s="292"/>
      <c r="U386" s="258"/>
    </row>
    <row r="387" spans="1:21" s="32" customFormat="1" ht="18" customHeight="1" x14ac:dyDescent="0.25">
      <c r="A387" s="28"/>
      <c r="B387" s="29"/>
      <c r="C387" s="29"/>
      <c r="D387" s="29"/>
      <c r="E387" s="29" t="s">
        <v>42</v>
      </c>
      <c r="F387" s="30"/>
      <c r="G387" s="30">
        <f>+SUM(G388:G401)</f>
        <v>0</v>
      </c>
      <c r="H387" s="30">
        <f>+SUM(H388:H401)</f>
        <v>69770614</v>
      </c>
      <c r="I387" s="30">
        <f>+G387+H387</f>
        <v>69770614</v>
      </c>
      <c r="J387" s="30">
        <f>+SUM(J388:J401)</f>
        <v>0</v>
      </c>
      <c r="K387" s="30">
        <f>+SUM(K388:K401)</f>
        <v>2165454</v>
      </c>
      <c r="L387" s="30">
        <f>+J387+K387</f>
        <v>2165454</v>
      </c>
      <c r="M387" s="33">
        <f>+I387+L387</f>
        <v>71936068</v>
      </c>
      <c r="N387" s="31"/>
      <c r="P387" s="202">
        <f>+M386+M387</f>
        <v>9992018735</v>
      </c>
      <c r="S387" s="292"/>
      <c r="T387" s="292"/>
      <c r="U387" s="258"/>
    </row>
    <row r="388" spans="1:21" ht="18" customHeight="1" x14ac:dyDescent="0.25">
      <c r="A388" s="8"/>
      <c r="B388" s="20"/>
      <c r="C388" s="20"/>
      <c r="D388" s="20"/>
      <c r="E388" s="23" t="s">
        <v>24</v>
      </c>
      <c r="F388" s="21"/>
      <c r="G388" s="21"/>
      <c r="H388" s="35"/>
      <c r="I388" s="21">
        <f>+G388+H388</f>
        <v>0</v>
      </c>
      <c r="J388" s="21"/>
      <c r="K388" s="35">
        <v>1804545</v>
      </c>
      <c r="L388" s="21">
        <f t="shared" si="287"/>
        <v>1804545</v>
      </c>
      <c r="M388" s="21">
        <f t="shared" ref="M388:M391" si="288">+I388+L388</f>
        <v>1804545</v>
      </c>
      <c r="N388" s="22"/>
      <c r="S388" s="292"/>
      <c r="T388" s="292"/>
      <c r="U388" s="257"/>
    </row>
    <row r="389" spans="1:21" ht="18" customHeight="1" x14ac:dyDescent="0.25">
      <c r="A389" s="8"/>
      <c r="B389" s="20"/>
      <c r="C389" s="20"/>
      <c r="D389" s="20"/>
      <c r="E389" s="23" t="s">
        <v>22</v>
      </c>
      <c r="F389" s="21"/>
      <c r="G389" s="21"/>
      <c r="H389" s="35">
        <f>22526970+277647</f>
        <v>22804617</v>
      </c>
      <c r="I389" s="21">
        <f>+G389+H389</f>
        <v>22804617</v>
      </c>
      <c r="J389" s="21"/>
      <c r="K389" s="35"/>
      <c r="L389" s="21">
        <f t="shared" si="287"/>
        <v>0</v>
      </c>
      <c r="M389" s="21">
        <f t="shared" si="288"/>
        <v>22804617</v>
      </c>
      <c r="N389" s="22"/>
      <c r="S389" s="292"/>
      <c r="T389" s="292"/>
      <c r="U389" s="257"/>
    </row>
    <row r="390" spans="1:21" ht="18" customHeight="1" x14ac:dyDescent="0.25">
      <c r="A390" s="4"/>
      <c r="B390" s="233"/>
      <c r="C390" s="233"/>
      <c r="D390" s="233"/>
      <c r="E390" s="234" t="s">
        <v>25</v>
      </c>
      <c r="F390" s="235"/>
      <c r="G390" s="235"/>
      <c r="H390" s="236"/>
      <c r="I390" s="235">
        <f>+G390+H390</f>
        <v>0</v>
      </c>
      <c r="J390" s="235"/>
      <c r="K390" s="236"/>
      <c r="L390" s="235">
        <f t="shared" si="287"/>
        <v>0</v>
      </c>
      <c r="M390" s="235">
        <f t="shared" si="288"/>
        <v>0</v>
      </c>
      <c r="N390" s="237"/>
      <c r="Q390" s="3"/>
      <c r="S390" s="292"/>
      <c r="T390" s="292"/>
      <c r="U390" s="257"/>
    </row>
    <row r="391" spans="1:21" ht="18" customHeight="1" x14ac:dyDescent="0.25">
      <c r="A391" s="8"/>
      <c r="B391" s="20"/>
      <c r="C391" s="20"/>
      <c r="D391" s="20"/>
      <c r="E391" s="23" t="s">
        <v>26</v>
      </c>
      <c r="F391" s="21"/>
      <c r="G391" s="21"/>
      <c r="H391" s="35"/>
      <c r="I391" s="21">
        <f>+G391+H391</f>
        <v>0</v>
      </c>
      <c r="J391" s="21"/>
      <c r="K391" s="35">
        <v>360909</v>
      </c>
      <c r="L391" s="21">
        <f t="shared" si="287"/>
        <v>360909</v>
      </c>
      <c r="M391" s="21">
        <f t="shared" si="288"/>
        <v>360909</v>
      </c>
      <c r="N391" s="22"/>
      <c r="S391" s="292"/>
      <c r="T391" s="292"/>
      <c r="U391" s="257"/>
    </row>
    <row r="392" spans="1:21" ht="18" customHeight="1" x14ac:dyDescent="0.25">
      <c r="A392" s="8"/>
      <c r="B392" s="20"/>
      <c r="C392" s="20"/>
      <c r="D392" s="20"/>
      <c r="E392" s="23" t="s">
        <v>40</v>
      </c>
      <c r="F392" s="21"/>
      <c r="G392" s="21"/>
      <c r="H392" s="35"/>
      <c r="I392" s="21"/>
      <c r="J392" s="21"/>
      <c r="K392" s="35"/>
      <c r="L392" s="21"/>
      <c r="M392" s="21"/>
      <c r="N392" s="22"/>
      <c r="S392" s="292"/>
      <c r="T392" s="292"/>
      <c r="U392" s="257"/>
    </row>
    <row r="393" spans="1:21" ht="18" customHeight="1" x14ac:dyDescent="0.25">
      <c r="A393" s="8"/>
      <c r="B393" s="20"/>
      <c r="C393" s="20"/>
      <c r="D393" s="20"/>
      <c r="E393" s="23" t="s">
        <v>321</v>
      </c>
      <c r="F393" s="21"/>
      <c r="G393" s="21"/>
      <c r="H393" s="35"/>
      <c r="I393" s="21">
        <f>+G393+H393</f>
        <v>0</v>
      </c>
      <c r="J393" s="21"/>
      <c r="K393" s="35"/>
      <c r="L393" s="21">
        <f>+J393+K393</f>
        <v>0</v>
      </c>
      <c r="M393" s="21">
        <f>+I393+L393</f>
        <v>0</v>
      </c>
      <c r="N393" s="22"/>
      <c r="S393" s="292"/>
      <c r="T393" s="292"/>
      <c r="U393" s="257"/>
    </row>
    <row r="394" spans="1:21" ht="18" customHeight="1" x14ac:dyDescent="0.25">
      <c r="A394" s="8"/>
      <c r="B394" s="20"/>
      <c r="C394" s="20"/>
      <c r="D394" s="20"/>
      <c r="E394" s="23" t="s">
        <v>322</v>
      </c>
      <c r="F394" s="21"/>
      <c r="G394" s="21"/>
      <c r="H394" s="35">
        <f>1737798+2928768</f>
        <v>4666566</v>
      </c>
      <c r="I394" s="21">
        <f t="shared" ref="I394:I400" si="289">+G394+H394</f>
        <v>4666566</v>
      </c>
      <c r="J394" s="21"/>
      <c r="K394" s="35"/>
      <c r="L394" s="21">
        <f>+J394+K394</f>
        <v>0</v>
      </c>
      <c r="M394" s="21">
        <f t="shared" ref="M394:M400" si="290">+I394+L394</f>
        <v>4666566</v>
      </c>
      <c r="N394" s="22"/>
      <c r="S394" s="292"/>
      <c r="T394" s="292"/>
      <c r="U394" s="257"/>
    </row>
    <row r="395" spans="1:21" ht="18" customHeight="1" x14ac:dyDescent="0.25">
      <c r="A395" s="8"/>
      <c r="B395" s="20"/>
      <c r="C395" s="20"/>
      <c r="D395" s="20"/>
      <c r="E395" s="23" t="s">
        <v>323</v>
      </c>
      <c r="F395" s="21"/>
      <c r="G395" s="21"/>
      <c r="H395" s="35">
        <f>6951187+11715091</f>
        <v>18666278</v>
      </c>
      <c r="I395" s="21">
        <f t="shared" si="289"/>
        <v>18666278</v>
      </c>
      <c r="J395" s="21"/>
      <c r="K395" s="35"/>
      <c r="L395" s="21"/>
      <c r="M395" s="21">
        <f t="shared" si="290"/>
        <v>18666278</v>
      </c>
      <c r="N395" s="22"/>
      <c r="S395" s="292"/>
      <c r="T395" s="292"/>
      <c r="U395" s="257"/>
    </row>
    <row r="396" spans="1:21" ht="18" customHeight="1" x14ac:dyDescent="0.25">
      <c r="A396" s="8"/>
      <c r="B396" s="20"/>
      <c r="C396" s="20"/>
      <c r="D396" s="20"/>
      <c r="E396" s="23" t="s">
        <v>324</v>
      </c>
      <c r="F396" s="21"/>
      <c r="G396" s="21"/>
      <c r="H396" s="35">
        <v>580644</v>
      </c>
      <c r="I396" s="21">
        <f t="shared" si="289"/>
        <v>580644</v>
      </c>
      <c r="J396" s="21"/>
      <c r="K396" s="35"/>
      <c r="L396" s="21"/>
      <c r="M396" s="21">
        <f t="shared" si="290"/>
        <v>580644</v>
      </c>
      <c r="N396" s="22"/>
      <c r="S396" s="292"/>
      <c r="T396" s="292"/>
      <c r="U396" s="257"/>
    </row>
    <row r="397" spans="1:21" ht="18" customHeight="1" x14ac:dyDescent="0.25">
      <c r="A397" s="8"/>
      <c r="B397" s="20"/>
      <c r="C397" s="20"/>
      <c r="D397" s="20"/>
      <c r="E397" s="23" t="s">
        <v>325</v>
      </c>
      <c r="F397" s="21"/>
      <c r="G397" s="21"/>
      <c r="H397" s="35">
        <v>1741930</v>
      </c>
      <c r="I397" s="21">
        <f t="shared" si="289"/>
        <v>1741930</v>
      </c>
      <c r="J397" s="21"/>
      <c r="K397" s="35"/>
      <c r="L397" s="21"/>
      <c r="M397" s="21">
        <f t="shared" si="290"/>
        <v>1741930</v>
      </c>
      <c r="N397" s="22"/>
      <c r="S397" s="292"/>
      <c r="T397" s="292"/>
      <c r="U397" s="257"/>
    </row>
    <row r="398" spans="1:21" ht="18" customHeight="1" x14ac:dyDescent="0.25">
      <c r="A398" s="8"/>
      <c r="B398" s="20"/>
      <c r="C398" s="20"/>
      <c r="D398" s="20"/>
      <c r="E398" s="23" t="s">
        <v>326</v>
      </c>
      <c r="F398" s="21"/>
      <c r="G398" s="21"/>
      <c r="H398" s="35">
        <v>21310579</v>
      </c>
      <c r="I398" s="21">
        <f t="shared" si="289"/>
        <v>21310579</v>
      </c>
      <c r="J398" s="21"/>
      <c r="K398" s="35"/>
      <c r="L398" s="21"/>
      <c r="M398" s="21">
        <f t="shared" si="290"/>
        <v>21310579</v>
      </c>
      <c r="N398" s="22"/>
      <c r="S398" s="292"/>
      <c r="T398" s="292"/>
      <c r="U398" s="257"/>
    </row>
    <row r="399" spans="1:21" ht="18" customHeight="1" x14ac:dyDescent="0.25">
      <c r="A399" s="4"/>
      <c r="B399" s="233"/>
      <c r="C399" s="233"/>
      <c r="D399" s="233"/>
      <c r="E399" s="234" t="s">
        <v>327</v>
      </c>
      <c r="F399" s="235"/>
      <c r="G399" s="235"/>
      <c r="H399" s="236"/>
      <c r="I399" s="235"/>
      <c r="J399" s="235"/>
      <c r="K399" s="236"/>
      <c r="L399" s="235">
        <f>+J399+K399</f>
        <v>0</v>
      </c>
      <c r="M399" s="235">
        <f t="shared" si="290"/>
        <v>0</v>
      </c>
      <c r="N399" s="237"/>
      <c r="S399" s="292"/>
      <c r="T399" s="292"/>
      <c r="U399" s="257"/>
    </row>
    <row r="400" spans="1:21" ht="18" customHeight="1" x14ac:dyDescent="0.25">
      <c r="A400" s="8"/>
      <c r="B400" s="20"/>
      <c r="C400" s="20"/>
      <c r="D400" s="20"/>
      <c r="E400" s="23" t="s">
        <v>426</v>
      </c>
      <c r="F400" s="21"/>
      <c r="G400" s="21"/>
      <c r="H400" s="35"/>
      <c r="I400" s="21">
        <f t="shared" si="289"/>
        <v>0</v>
      </c>
      <c r="J400" s="21"/>
      <c r="K400" s="35"/>
      <c r="L400" s="21"/>
      <c r="M400" s="21">
        <f t="shared" si="290"/>
        <v>0</v>
      </c>
      <c r="N400" s="22"/>
      <c r="S400" s="292"/>
      <c r="T400" s="292"/>
      <c r="U400" s="257"/>
    </row>
    <row r="401" spans="1:21" ht="18" customHeight="1" x14ac:dyDescent="0.25">
      <c r="A401" s="8"/>
      <c r="B401" s="20"/>
      <c r="C401" s="20"/>
      <c r="D401" s="20"/>
      <c r="E401" s="20" t="s">
        <v>23</v>
      </c>
      <c r="F401" s="21"/>
      <c r="G401" s="21"/>
      <c r="H401" s="21"/>
      <c r="I401" s="21"/>
      <c r="J401" s="21"/>
      <c r="K401" s="21"/>
      <c r="L401" s="21"/>
      <c r="M401" s="21"/>
      <c r="N401" s="22"/>
      <c r="S401" s="292"/>
      <c r="T401" s="292"/>
      <c r="U401" s="257"/>
    </row>
    <row r="402" spans="1:21" ht="18" customHeight="1" x14ac:dyDescent="0.25">
      <c r="A402" s="8"/>
      <c r="B402" s="20"/>
      <c r="C402" s="20"/>
      <c r="D402" s="20"/>
      <c r="E402" s="24" t="s">
        <v>27</v>
      </c>
      <c r="F402" s="15"/>
      <c r="G402" s="25"/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14"/>
      <c r="Q402" s="3"/>
      <c r="S402" s="292"/>
      <c r="T402" s="292"/>
      <c r="U402" s="257"/>
    </row>
    <row r="403" spans="1:21" ht="18" customHeight="1" x14ac:dyDescent="0.25">
      <c r="A403" s="8"/>
      <c r="B403" s="20"/>
      <c r="C403" s="20"/>
      <c r="D403" s="20"/>
      <c r="E403" s="20"/>
      <c r="F403" s="21"/>
      <c r="G403" s="21"/>
      <c r="H403" s="21"/>
      <c r="I403" s="21"/>
      <c r="J403" s="21"/>
      <c r="K403" s="21"/>
      <c r="L403" s="21"/>
      <c r="M403" s="21"/>
      <c r="N403" s="22"/>
      <c r="S403" s="292"/>
      <c r="T403" s="292"/>
      <c r="U403" s="257"/>
    </row>
    <row r="404" spans="1:21" ht="18" customHeight="1" x14ac:dyDescent="0.25">
      <c r="A404" s="8"/>
      <c r="B404" s="20"/>
      <c r="C404" s="20"/>
      <c r="D404" s="20"/>
      <c r="E404" s="20" t="s">
        <v>328</v>
      </c>
      <c r="F404" s="21"/>
      <c r="G404" s="21"/>
      <c r="H404" s="21"/>
      <c r="I404" s="21"/>
      <c r="J404" s="21"/>
      <c r="K404" s="21"/>
      <c r="L404" s="21"/>
      <c r="M404" s="21"/>
      <c r="N404" s="22"/>
      <c r="S404" s="292"/>
      <c r="T404" s="292"/>
      <c r="U404" s="257"/>
    </row>
    <row r="405" spans="1:21" s="32" customFormat="1" ht="18" customHeight="1" x14ac:dyDescent="0.25">
      <c r="A405" s="28"/>
      <c r="B405" s="29"/>
      <c r="C405" s="29"/>
      <c r="D405" s="29"/>
      <c r="E405" s="29" t="s">
        <v>21</v>
      </c>
      <c r="F405" s="30"/>
      <c r="G405" s="30">
        <f>+G386</f>
        <v>0</v>
      </c>
      <c r="H405" s="33">
        <f>+H386</f>
        <v>9805797967</v>
      </c>
      <c r="I405" s="30">
        <f t="shared" ref="I405:L405" si="291">+I386</f>
        <v>9805797967</v>
      </c>
      <c r="J405" s="30">
        <f t="shared" si="291"/>
        <v>0</v>
      </c>
      <c r="K405" s="30">
        <f t="shared" si="291"/>
        <v>114284700</v>
      </c>
      <c r="L405" s="30">
        <f t="shared" si="291"/>
        <v>114284700</v>
      </c>
      <c r="M405" s="30">
        <f>+M386</f>
        <v>9920082667</v>
      </c>
      <c r="N405" s="31"/>
      <c r="O405" s="34"/>
      <c r="P405" s="202"/>
      <c r="S405" s="292"/>
      <c r="T405" s="292"/>
      <c r="U405" s="258"/>
    </row>
    <row r="406" spans="1:21" s="32" customFormat="1" ht="18" customHeight="1" x14ac:dyDescent="0.25">
      <c r="A406" s="28"/>
      <c r="B406" s="29"/>
      <c r="C406" s="29"/>
      <c r="D406" s="29"/>
      <c r="E406" s="29" t="s">
        <v>42</v>
      </c>
      <c r="F406" s="30"/>
      <c r="G406" s="30">
        <f>+SUM(G407:G420)</f>
        <v>0</v>
      </c>
      <c r="H406" s="30">
        <f>+SUM(H407:H420)</f>
        <v>69770614</v>
      </c>
      <c r="I406" s="30">
        <f>+G406+H406</f>
        <v>69770614</v>
      </c>
      <c r="J406" s="30">
        <f>+SUM(J407:J420)</f>
        <v>0</v>
      </c>
      <c r="K406" s="30">
        <f>+SUM(K407:K420)</f>
        <v>2165454</v>
      </c>
      <c r="L406" s="30">
        <f>+J406+K406</f>
        <v>2165454</v>
      </c>
      <c r="M406" s="33">
        <f>+I406+L406</f>
        <v>71936068</v>
      </c>
      <c r="N406" s="31"/>
      <c r="P406" s="202"/>
      <c r="S406" s="292"/>
      <c r="T406" s="292"/>
      <c r="U406" s="258"/>
    </row>
    <row r="407" spans="1:21" ht="18" customHeight="1" x14ac:dyDescent="0.25">
      <c r="A407" s="8"/>
      <c r="B407" s="20"/>
      <c r="C407" s="20"/>
      <c r="D407" s="20"/>
      <c r="E407" s="23" t="s">
        <v>24</v>
      </c>
      <c r="F407" s="21"/>
      <c r="G407" s="21"/>
      <c r="H407" s="35"/>
      <c r="I407" s="21">
        <f>+G407+H407</f>
        <v>0</v>
      </c>
      <c r="J407" s="21"/>
      <c r="K407" s="35">
        <v>1804545</v>
      </c>
      <c r="L407" s="21">
        <f>+J407+K407</f>
        <v>1804545</v>
      </c>
      <c r="M407" s="21">
        <f>+I407+L407</f>
        <v>1804545</v>
      </c>
      <c r="N407" s="22"/>
      <c r="S407" s="292"/>
      <c r="T407" s="292"/>
      <c r="U407" s="257"/>
    </row>
    <row r="408" spans="1:21" ht="18" customHeight="1" x14ac:dyDescent="0.25">
      <c r="A408" s="8"/>
      <c r="B408" s="20"/>
      <c r="C408" s="20"/>
      <c r="D408" s="20"/>
      <c r="E408" s="23" t="s">
        <v>22</v>
      </c>
      <c r="F408" s="21"/>
      <c r="G408" s="21"/>
      <c r="H408" s="35">
        <f>22526970+277647</f>
        <v>22804617</v>
      </c>
      <c r="I408" s="21">
        <f>+G408+H408</f>
        <v>22804617</v>
      </c>
      <c r="J408" s="21"/>
      <c r="K408" s="35"/>
      <c r="L408" s="21">
        <f>+J408+K408</f>
        <v>0</v>
      </c>
      <c r="M408" s="21">
        <f>+I408+L408</f>
        <v>22804617</v>
      </c>
      <c r="N408" s="22"/>
      <c r="S408" s="292"/>
      <c r="T408" s="292"/>
      <c r="U408" s="257"/>
    </row>
    <row r="409" spans="1:21" ht="18" customHeight="1" x14ac:dyDescent="0.25">
      <c r="A409" s="8"/>
      <c r="B409" s="20"/>
      <c r="C409" s="20"/>
      <c r="D409" s="20"/>
      <c r="E409" s="23" t="s">
        <v>25</v>
      </c>
      <c r="F409" s="21"/>
      <c r="G409" s="21"/>
      <c r="H409" s="236"/>
      <c r="I409" s="21">
        <f>+G409+H409</f>
        <v>0</v>
      </c>
      <c r="J409" s="21"/>
      <c r="K409" s="236"/>
      <c r="L409" s="21">
        <f>+J409+K409</f>
        <v>0</v>
      </c>
      <c r="M409" s="21">
        <f>+I409+L409</f>
        <v>0</v>
      </c>
      <c r="N409" s="22"/>
      <c r="S409" s="292"/>
      <c r="T409" s="292"/>
      <c r="U409" s="257"/>
    </row>
    <row r="410" spans="1:21" ht="18" customHeight="1" x14ac:dyDescent="0.25">
      <c r="A410" s="8"/>
      <c r="B410" s="20"/>
      <c r="C410" s="20"/>
      <c r="D410" s="20"/>
      <c r="E410" s="23" t="s">
        <v>26</v>
      </c>
      <c r="F410" s="21"/>
      <c r="G410" s="21"/>
      <c r="H410" s="35"/>
      <c r="I410" s="21">
        <f>+G410+H410</f>
        <v>0</v>
      </c>
      <c r="J410" s="21"/>
      <c r="K410" s="35">
        <v>360909</v>
      </c>
      <c r="L410" s="21">
        <f>+J410+K410</f>
        <v>360909</v>
      </c>
      <c r="M410" s="21">
        <f>+I410+L410</f>
        <v>360909</v>
      </c>
      <c r="N410" s="22"/>
      <c r="S410" s="292"/>
      <c r="T410" s="292"/>
      <c r="U410" s="257"/>
    </row>
    <row r="411" spans="1:21" ht="18" customHeight="1" x14ac:dyDescent="0.25">
      <c r="A411" s="8"/>
      <c r="B411" s="20"/>
      <c r="C411" s="20"/>
      <c r="D411" s="20"/>
      <c r="E411" s="23" t="s">
        <v>40</v>
      </c>
      <c r="F411" s="21"/>
      <c r="G411" s="21"/>
      <c r="H411" s="35"/>
      <c r="I411" s="21"/>
      <c r="J411" s="21"/>
      <c r="K411" s="35"/>
      <c r="L411" s="21"/>
      <c r="M411" s="21"/>
      <c r="N411" s="22"/>
      <c r="S411" s="292"/>
      <c r="T411" s="292"/>
      <c r="U411" s="257"/>
    </row>
    <row r="412" spans="1:21" ht="18" customHeight="1" x14ac:dyDescent="0.25">
      <c r="A412" s="8"/>
      <c r="B412" s="20"/>
      <c r="C412" s="20"/>
      <c r="D412" s="20"/>
      <c r="E412" s="23" t="s">
        <v>321</v>
      </c>
      <c r="F412" s="21"/>
      <c r="G412" s="21"/>
      <c r="H412" s="35"/>
      <c r="I412" s="21">
        <f>+G412+H412</f>
        <v>0</v>
      </c>
      <c r="J412" s="21"/>
      <c r="K412" s="35"/>
      <c r="L412" s="21">
        <f>+J412+K412</f>
        <v>0</v>
      </c>
      <c r="M412" s="21">
        <f t="shared" ref="M412:M419" si="292">+I412+L412</f>
        <v>0</v>
      </c>
      <c r="N412" s="22"/>
      <c r="U412" s="257"/>
    </row>
    <row r="413" spans="1:21" ht="18" customHeight="1" x14ac:dyDescent="0.25">
      <c r="A413" s="8"/>
      <c r="B413" s="20"/>
      <c r="C413" s="20"/>
      <c r="D413" s="20"/>
      <c r="E413" s="23" t="s">
        <v>322</v>
      </c>
      <c r="F413" s="21"/>
      <c r="G413" s="21"/>
      <c r="H413" s="35">
        <f>1737798+2928768</f>
        <v>4666566</v>
      </c>
      <c r="I413" s="21">
        <f t="shared" ref="I413:I419" si="293">+G413+H413</f>
        <v>4666566</v>
      </c>
      <c r="J413" s="21"/>
      <c r="K413" s="35"/>
      <c r="L413" s="21"/>
      <c r="M413" s="21">
        <f t="shared" si="292"/>
        <v>4666566</v>
      </c>
      <c r="N413" s="22"/>
      <c r="U413" s="257"/>
    </row>
    <row r="414" spans="1:21" ht="18" customHeight="1" x14ac:dyDescent="0.25">
      <c r="A414" s="8"/>
      <c r="B414" s="20"/>
      <c r="C414" s="20"/>
      <c r="D414" s="20"/>
      <c r="E414" s="23" t="s">
        <v>323</v>
      </c>
      <c r="F414" s="21"/>
      <c r="G414" s="21"/>
      <c r="H414" s="35">
        <f>6951187+11715091</f>
        <v>18666278</v>
      </c>
      <c r="I414" s="21">
        <f t="shared" si="293"/>
        <v>18666278</v>
      </c>
      <c r="J414" s="21"/>
      <c r="K414" s="35"/>
      <c r="L414" s="21"/>
      <c r="M414" s="21">
        <f t="shared" si="292"/>
        <v>18666278</v>
      </c>
      <c r="N414" s="22"/>
      <c r="U414" s="257"/>
    </row>
    <row r="415" spans="1:21" ht="18" customHeight="1" x14ac:dyDescent="0.25">
      <c r="A415" s="8"/>
      <c r="B415" s="20"/>
      <c r="C415" s="20"/>
      <c r="D415" s="20"/>
      <c r="E415" s="23" t="s">
        <v>324</v>
      </c>
      <c r="F415" s="21"/>
      <c r="G415" s="21"/>
      <c r="H415" s="35">
        <v>580644</v>
      </c>
      <c r="I415" s="21">
        <f t="shared" si="293"/>
        <v>580644</v>
      </c>
      <c r="J415" s="21"/>
      <c r="K415" s="35"/>
      <c r="L415" s="21"/>
      <c r="M415" s="21">
        <f t="shared" si="292"/>
        <v>580644</v>
      </c>
      <c r="N415" s="22"/>
      <c r="U415" s="257"/>
    </row>
    <row r="416" spans="1:21" ht="18" customHeight="1" x14ac:dyDescent="0.25">
      <c r="A416" s="8"/>
      <c r="B416" s="20"/>
      <c r="C416" s="20"/>
      <c r="D416" s="20"/>
      <c r="E416" s="23" t="s">
        <v>325</v>
      </c>
      <c r="F416" s="21"/>
      <c r="G416" s="21"/>
      <c r="H416" s="35">
        <v>1741930</v>
      </c>
      <c r="I416" s="21">
        <f t="shared" si="293"/>
        <v>1741930</v>
      </c>
      <c r="J416" s="21"/>
      <c r="K416" s="35"/>
      <c r="L416" s="21"/>
      <c r="M416" s="21">
        <f t="shared" si="292"/>
        <v>1741930</v>
      </c>
      <c r="N416" s="22"/>
      <c r="U416" s="257"/>
    </row>
    <row r="417" spans="1:21" ht="18" customHeight="1" x14ac:dyDescent="0.25">
      <c r="A417" s="8"/>
      <c r="B417" s="20"/>
      <c r="C417" s="20"/>
      <c r="D417" s="20"/>
      <c r="E417" s="23" t="s">
        <v>326</v>
      </c>
      <c r="F417" s="21"/>
      <c r="G417" s="21"/>
      <c r="H417" s="35">
        <v>21310579</v>
      </c>
      <c r="I417" s="21">
        <f t="shared" si="293"/>
        <v>21310579</v>
      </c>
      <c r="J417" s="21"/>
      <c r="K417" s="35"/>
      <c r="L417" s="21"/>
      <c r="M417" s="21">
        <f t="shared" si="292"/>
        <v>21310579</v>
      </c>
      <c r="N417" s="22"/>
      <c r="U417" s="257"/>
    </row>
    <row r="418" spans="1:21" ht="18" customHeight="1" x14ac:dyDescent="0.25">
      <c r="A418" s="8"/>
      <c r="B418" s="20"/>
      <c r="C418" s="20"/>
      <c r="D418" s="20"/>
      <c r="E418" s="23" t="s">
        <v>327</v>
      </c>
      <c r="F418" s="21"/>
      <c r="G418" s="21"/>
      <c r="H418" s="236"/>
      <c r="I418" s="21"/>
      <c r="J418" s="21"/>
      <c r="K418" s="236"/>
      <c r="L418" s="21">
        <f>+J418+K418</f>
        <v>0</v>
      </c>
      <c r="M418" s="21">
        <f t="shared" si="292"/>
        <v>0</v>
      </c>
      <c r="N418" s="22"/>
      <c r="U418" s="257"/>
    </row>
    <row r="419" spans="1:21" ht="18" customHeight="1" x14ac:dyDescent="0.25">
      <c r="A419" s="8"/>
      <c r="B419" s="20"/>
      <c r="C419" s="20"/>
      <c r="D419" s="20"/>
      <c r="E419" s="23" t="s">
        <v>426</v>
      </c>
      <c r="F419" s="21"/>
      <c r="G419" s="21"/>
      <c r="H419" s="35"/>
      <c r="I419" s="21">
        <f t="shared" si="293"/>
        <v>0</v>
      </c>
      <c r="J419" s="21"/>
      <c r="K419" s="35"/>
      <c r="L419" s="21"/>
      <c r="M419" s="21">
        <f t="shared" si="292"/>
        <v>0</v>
      </c>
      <c r="N419" s="22"/>
      <c r="U419" s="257"/>
    </row>
    <row r="420" spans="1:21" ht="18" customHeight="1" x14ac:dyDescent="0.25">
      <c r="A420" s="8"/>
      <c r="B420" s="20"/>
      <c r="C420" s="20"/>
      <c r="D420" s="20"/>
      <c r="E420" s="20" t="s">
        <v>23</v>
      </c>
      <c r="F420" s="21"/>
      <c r="G420" s="21"/>
      <c r="H420" s="21"/>
      <c r="I420" s="21"/>
      <c r="J420" s="21"/>
      <c r="K420" s="21"/>
      <c r="L420" s="21"/>
      <c r="M420" s="21"/>
      <c r="N420" s="22"/>
      <c r="U420" s="257"/>
    </row>
    <row r="421" spans="1:21" ht="18" customHeight="1" x14ac:dyDescent="0.25">
      <c r="A421" s="8"/>
      <c r="B421" s="20"/>
      <c r="C421" s="20"/>
      <c r="D421" s="20"/>
      <c r="E421" s="24" t="s">
        <v>27</v>
      </c>
      <c r="F421" s="15"/>
      <c r="G421" s="25" t="s">
        <v>49</v>
      </c>
      <c r="H421" s="25" t="s">
        <v>49</v>
      </c>
      <c r="I421" s="25" t="s">
        <v>49</v>
      </c>
      <c r="J421" s="25" t="s">
        <v>49</v>
      </c>
      <c r="K421" s="25" t="s">
        <v>49</v>
      </c>
      <c r="L421" s="25" t="s">
        <v>49</v>
      </c>
      <c r="M421" s="25" t="s">
        <v>49</v>
      </c>
      <c r="N421" s="14"/>
      <c r="U421" s="257"/>
    </row>
    <row r="422" spans="1:21" ht="18" customHeight="1" x14ac:dyDescent="0.25">
      <c r="A422" s="8"/>
      <c r="B422" s="20"/>
      <c r="C422" s="20"/>
      <c r="D422" s="20"/>
      <c r="E422" s="20"/>
      <c r="F422" s="22"/>
      <c r="G422" s="22"/>
      <c r="H422" s="22"/>
      <c r="I422" s="22"/>
      <c r="J422" s="22"/>
      <c r="K422" s="22"/>
      <c r="L422" s="22"/>
      <c r="M422" s="22"/>
      <c r="N422" s="22"/>
      <c r="U422" s="257"/>
    </row>
    <row r="423" spans="1:21" ht="18" customHeight="1" x14ac:dyDescent="0.25">
      <c r="A423" s="26"/>
      <c r="B423" s="26"/>
      <c r="C423" s="26"/>
      <c r="D423" s="26"/>
      <c r="E423" s="24" t="s">
        <v>28</v>
      </c>
      <c r="F423" s="14"/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/>
      <c r="U423" s="257"/>
    </row>
    <row r="424" spans="1:21" ht="18" customHeight="1" x14ac:dyDescent="0.25">
      <c r="U424" s="257"/>
    </row>
    <row r="425" spans="1:21" ht="18" customHeight="1" x14ac:dyDescent="0.25">
      <c r="A425" s="490" t="s">
        <v>52</v>
      </c>
      <c r="B425" s="490"/>
      <c r="C425" s="490"/>
      <c r="D425" s="490"/>
      <c r="L425" s="492" t="s">
        <v>450</v>
      </c>
      <c r="M425" s="492"/>
      <c r="N425" s="492"/>
      <c r="U425" s="257"/>
    </row>
    <row r="426" spans="1:21" ht="18" customHeight="1" x14ac:dyDescent="0.25">
      <c r="A426" s="490" t="s">
        <v>59</v>
      </c>
      <c r="B426" s="490"/>
      <c r="C426" s="490"/>
      <c r="D426" s="490"/>
      <c r="U426" s="257"/>
    </row>
    <row r="427" spans="1:21" ht="18" customHeight="1" x14ac:dyDescent="0.25">
      <c r="A427" s="490" t="s">
        <v>60</v>
      </c>
      <c r="B427" s="490"/>
      <c r="C427" s="490"/>
      <c r="D427" s="490"/>
      <c r="E427" s="260" t="s">
        <v>38</v>
      </c>
      <c r="F427" s="491" t="s">
        <v>39</v>
      </c>
      <c r="G427" s="491"/>
      <c r="H427" s="491"/>
      <c r="I427" s="160"/>
      <c r="J427" s="160"/>
      <c r="K427" s="160"/>
      <c r="L427" s="491" t="s">
        <v>422</v>
      </c>
      <c r="M427" s="491"/>
      <c r="N427" s="491"/>
      <c r="U427" s="257"/>
    </row>
    <row r="428" spans="1:21" ht="18" customHeight="1" x14ac:dyDescent="0.25">
      <c r="A428" s="490" t="s">
        <v>53</v>
      </c>
      <c r="B428" s="490"/>
      <c r="C428" s="490"/>
      <c r="D428" s="490"/>
      <c r="E428" s="260" t="s">
        <v>330</v>
      </c>
      <c r="F428" s="491" t="s">
        <v>54</v>
      </c>
      <c r="G428" s="491"/>
      <c r="H428" s="491"/>
      <c r="I428" s="160"/>
      <c r="J428" s="160"/>
      <c r="K428" s="160"/>
      <c r="L428" s="491" t="s">
        <v>330</v>
      </c>
      <c r="M428" s="491"/>
      <c r="N428" s="491"/>
      <c r="U428" s="257"/>
    </row>
    <row r="429" spans="1:21" ht="18" customHeight="1" x14ac:dyDescent="0.25">
      <c r="A429" s="259"/>
      <c r="B429" s="7"/>
      <c r="C429" s="7"/>
      <c r="D429" s="7"/>
      <c r="E429" s="259"/>
      <c r="G429" s="261"/>
      <c r="H429" s="6"/>
      <c r="I429" s="6"/>
      <c r="K429" s="6"/>
      <c r="L429" s="6"/>
      <c r="M429" s="6"/>
      <c r="N429" s="6"/>
      <c r="U429" s="257"/>
    </row>
    <row r="430" spans="1:21" ht="18" customHeight="1" x14ac:dyDescent="0.25">
      <c r="A430" s="259"/>
      <c r="B430" s="7"/>
      <c r="C430" s="7"/>
      <c r="D430" s="7"/>
      <c r="E430" s="259"/>
      <c r="G430" s="6"/>
      <c r="H430" s="6"/>
      <c r="K430" s="6"/>
      <c r="L430" s="6"/>
      <c r="M430" s="6"/>
    </row>
    <row r="431" spans="1:21" ht="18" customHeight="1" x14ac:dyDescent="0.25">
      <c r="A431" s="27"/>
      <c r="B431" s="7"/>
      <c r="C431" s="7"/>
      <c r="D431" s="7"/>
      <c r="E431" s="259"/>
      <c r="G431" s="6"/>
      <c r="H431" s="6"/>
      <c r="K431" s="6"/>
      <c r="L431" s="6"/>
      <c r="M431" s="6"/>
    </row>
    <row r="432" spans="1:21" ht="18" customHeight="1" x14ac:dyDescent="0.25">
      <c r="A432" s="490" t="s">
        <v>56</v>
      </c>
      <c r="B432" s="490"/>
      <c r="C432" s="490"/>
      <c r="D432" s="490"/>
      <c r="E432" s="264" t="s">
        <v>421</v>
      </c>
      <c r="F432" s="492" t="s">
        <v>51</v>
      </c>
      <c r="G432" s="492"/>
      <c r="H432" s="492"/>
      <c r="I432" s="161"/>
      <c r="J432" s="161"/>
      <c r="K432" s="161"/>
      <c r="L432" s="492" t="s">
        <v>423</v>
      </c>
      <c r="M432" s="492"/>
      <c r="N432" s="492"/>
    </row>
    <row r="433" spans="1:14" ht="18" customHeight="1" x14ac:dyDescent="0.25">
      <c r="A433" s="490" t="s">
        <v>29</v>
      </c>
      <c r="B433" s="490"/>
      <c r="C433" s="490"/>
      <c r="D433" s="490"/>
      <c r="E433" s="264" t="s">
        <v>419</v>
      </c>
      <c r="F433" s="493" t="s">
        <v>58</v>
      </c>
      <c r="G433" s="493"/>
      <c r="H433" s="493"/>
      <c r="I433" s="161"/>
      <c r="J433" s="161"/>
      <c r="K433" s="161"/>
      <c r="L433" s="493" t="s">
        <v>425</v>
      </c>
      <c r="M433" s="493"/>
      <c r="N433" s="493"/>
    </row>
    <row r="434" spans="1:14" ht="18" customHeight="1" x14ac:dyDescent="0.25">
      <c r="A434" s="490" t="s">
        <v>57</v>
      </c>
      <c r="B434" s="490"/>
      <c r="C434" s="490"/>
      <c r="D434" s="490"/>
      <c r="E434" s="264" t="s">
        <v>420</v>
      </c>
      <c r="F434" s="492" t="s">
        <v>47</v>
      </c>
      <c r="G434" s="492"/>
      <c r="H434" s="492"/>
      <c r="I434" s="161"/>
      <c r="J434" s="161"/>
      <c r="K434" s="161"/>
      <c r="L434" s="492" t="s">
        <v>424</v>
      </c>
      <c r="M434" s="492"/>
      <c r="N434" s="492"/>
    </row>
  </sheetData>
  <mergeCells count="33"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  <mergeCell ref="B17:D17"/>
    <mergeCell ref="A426:D426"/>
    <mergeCell ref="A427:D427"/>
    <mergeCell ref="F427:H427"/>
    <mergeCell ref="L427:N427"/>
    <mergeCell ref="A425:D425"/>
    <mergeCell ref="L425:N425"/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</mergeCells>
  <printOptions horizontalCentered="1"/>
  <pageMargins left="0.19685039370078741" right="0.19685039370078741" top="0.39370078740157483" bottom="0.19685039370078741" header="0.31496062992125984" footer="0.31496062992125984"/>
  <pageSetup paperSize="300" scale="56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33"/>
  <sheetViews>
    <sheetView showGridLines="0" view="pageBreakPreview" zoomScale="90" zoomScaleNormal="85" zoomScaleSheetLayoutView="90" workbookViewId="0">
      <pane xSplit="4" ySplit="16" topLeftCell="E343" activePane="bottomRight" state="frozen"/>
      <selection pane="topRight" activeCell="D1" sqref="D1"/>
      <selection pane="bottomLeft" activeCell="A17" sqref="A17"/>
      <selection pane="bottomRight" activeCell="F356" sqref="F356"/>
    </sheetView>
  </sheetViews>
  <sheetFormatPr defaultRowHeight="15" customHeight="1" x14ac:dyDescent="0.25"/>
  <cols>
    <col min="1" max="1" width="6" style="1" customWidth="1"/>
    <col min="2" max="2" width="11.5703125" style="1" customWidth="1"/>
    <col min="3" max="3" width="13.7109375" style="1" customWidth="1"/>
    <col min="4" max="4" width="15.85546875" style="1" customWidth="1"/>
    <col min="5" max="5" width="68.5703125" style="1" customWidth="1"/>
    <col min="6" max="6" width="18.140625" style="1" customWidth="1"/>
    <col min="7" max="7" width="16.85546875" style="1" customWidth="1"/>
    <col min="8" max="8" width="15.85546875" style="1" customWidth="1"/>
    <col min="9" max="9" width="18.7109375" style="1" customWidth="1"/>
    <col min="10" max="10" width="15" style="1" customWidth="1"/>
    <col min="11" max="11" width="14" style="1" customWidth="1"/>
    <col min="12" max="12" width="15.140625" style="1" customWidth="1"/>
    <col min="13" max="13" width="16.7109375" style="1" customWidth="1"/>
    <col min="14" max="14" width="19.28515625" style="1" customWidth="1"/>
    <col min="15" max="15" width="4.28515625" style="1" customWidth="1"/>
    <col min="16" max="16" width="18.42578125" style="188" customWidth="1"/>
    <col min="17" max="17" width="14.85546875" style="1" customWidth="1"/>
    <col min="18" max="18" width="15.42578125" style="1" customWidth="1"/>
    <col min="19" max="19" width="20.140625" style="207" customWidth="1"/>
    <col min="20" max="20" width="25.7109375" style="207" customWidth="1"/>
    <col min="21" max="21" width="26.140625" style="1" customWidth="1"/>
    <col min="22" max="16384" width="9.140625" style="1"/>
  </cols>
  <sheetData>
    <row r="1" spans="1:18" ht="1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</row>
    <row r="2" spans="1:18" ht="15" hidden="1" customHeight="1" x14ac:dyDescent="0.25">
      <c r="A2" s="503" t="s">
        <v>1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</row>
    <row r="3" spans="1:18" ht="15" hidden="1" customHeight="1" x14ac:dyDescent="0.25">
      <c r="A3" s="503" t="s">
        <v>2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1:18" ht="15" hidden="1" customHeight="1" x14ac:dyDescent="0.25"/>
    <row r="5" spans="1:18" ht="15" hidden="1" customHeight="1" x14ac:dyDescent="0.25"/>
    <row r="6" spans="1:18" ht="15" hidden="1" customHeight="1" x14ac:dyDescent="0.25">
      <c r="A6" s="1" t="s">
        <v>3</v>
      </c>
      <c r="D6" s="1" t="s">
        <v>45</v>
      </c>
    </row>
    <row r="7" spans="1:18" ht="15" hidden="1" customHeight="1" x14ac:dyDescent="0.25">
      <c r="A7" s="1" t="s">
        <v>4</v>
      </c>
      <c r="D7" s="1" t="s">
        <v>55</v>
      </c>
    </row>
    <row r="8" spans="1:18" ht="15" hidden="1" customHeight="1" x14ac:dyDescent="0.25">
      <c r="A8" s="1" t="s">
        <v>5</v>
      </c>
      <c r="D8" s="504" t="s">
        <v>50</v>
      </c>
      <c r="E8" s="504"/>
      <c r="F8" s="504"/>
    </row>
    <row r="9" spans="1:18" ht="15" hidden="1" customHeight="1" x14ac:dyDescent="0.25">
      <c r="A9" s="1" t="s">
        <v>6</v>
      </c>
      <c r="D9" s="1" t="s">
        <v>449</v>
      </c>
      <c r="R9" s="2"/>
    </row>
    <row r="10" spans="1:18" ht="15" hidden="1" customHeight="1" x14ac:dyDescent="0.25">
      <c r="A10" s="1" t="s">
        <v>7</v>
      </c>
      <c r="D10" s="1" t="s">
        <v>48</v>
      </c>
      <c r="R10" s="2"/>
    </row>
    <row r="11" spans="1:18" ht="15" hidden="1" customHeight="1" x14ac:dyDescent="0.25">
      <c r="R11" s="2"/>
    </row>
    <row r="12" spans="1:18" ht="15" hidden="1" customHeight="1" x14ac:dyDescent="0.25">
      <c r="R12" s="2"/>
    </row>
    <row r="13" spans="1:18" ht="15" customHeight="1" x14ac:dyDescent="0.25">
      <c r="A13" s="505" t="s">
        <v>37</v>
      </c>
      <c r="B13" s="507" t="s">
        <v>10</v>
      </c>
      <c r="C13" s="508"/>
      <c r="D13" s="509"/>
      <c r="E13" s="513" t="s">
        <v>8</v>
      </c>
      <c r="F13" s="513" t="s">
        <v>9</v>
      </c>
      <c r="G13" s="515" t="s">
        <v>14</v>
      </c>
      <c r="H13" s="515"/>
      <c r="I13" s="515"/>
      <c r="J13" s="515" t="s">
        <v>15</v>
      </c>
      <c r="K13" s="515"/>
      <c r="L13" s="515"/>
      <c r="M13" s="513" t="s">
        <v>17</v>
      </c>
      <c r="N13" s="513" t="s">
        <v>16</v>
      </c>
      <c r="R13" s="2"/>
    </row>
    <row r="14" spans="1:18" ht="15" customHeight="1" x14ac:dyDescent="0.25">
      <c r="A14" s="506"/>
      <c r="B14" s="510"/>
      <c r="C14" s="511"/>
      <c r="D14" s="512"/>
      <c r="E14" s="513"/>
      <c r="F14" s="514"/>
      <c r="G14" s="270" t="s">
        <v>11</v>
      </c>
      <c r="H14" s="270" t="s">
        <v>12</v>
      </c>
      <c r="I14" s="270" t="s">
        <v>13</v>
      </c>
      <c r="J14" s="270" t="s">
        <v>11</v>
      </c>
      <c r="K14" s="270" t="s">
        <v>12</v>
      </c>
      <c r="L14" s="270" t="s">
        <v>13</v>
      </c>
      <c r="M14" s="513"/>
      <c r="N14" s="513"/>
      <c r="R14" s="3"/>
    </row>
    <row r="15" spans="1:18" ht="15" customHeight="1" x14ac:dyDescent="0.25">
      <c r="A15" s="4"/>
      <c r="B15" s="497">
        <v>1</v>
      </c>
      <c r="C15" s="498"/>
      <c r="D15" s="499"/>
      <c r="E15" s="271">
        <v>2</v>
      </c>
      <c r="F15" s="271">
        <v>3</v>
      </c>
      <c r="G15" s="271">
        <v>7</v>
      </c>
      <c r="H15" s="271">
        <v>8</v>
      </c>
      <c r="I15" s="271" t="s">
        <v>18</v>
      </c>
      <c r="J15" s="271">
        <v>10</v>
      </c>
      <c r="K15" s="271">
        <v>11</v>
      </c>
      <c r="L15" s="271" t="s">
        <v>19</v>
      </c>
      <c r="M15" s="271" t="s">
        <v>155</v>
      </c>
      <c r="N15" s="271" t="s">
        <v>36</v>
      </c>
    </row>
    <row r="16" spans="1:18" ht="15" customHeight="1" x14ac:dyDescent="0.25">
      <c r="A16" s="8"/>
      <c r="B16" s="500"/>
      <c r="C16" s="501"/>
      <c r="D16" s="502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21" ht="17.100000000000001" customHeight="1" x14ac:dyDescent="0.25">
      <c r="A17" s="99"/>
      <c r="B17" s="494" t="s">
        <v>20</v>
      </c>
      <c r="C17" s="495"/>
      <c r="D17" s="496"/>
      <c r="E17" s="99"/>
      <c r="F17" s="100" t="e">
        <f>+F18+F47+F122+F138+F239+F247+F298+F350</f>
        <v>#REF!</v>
      </c>
      <c r="G17" s="100" t="e">
        <f>+G18+G47+G122+G138+G239+G247+G298+G350</f>
        <v>#REF!</v>
      </c>
      <c r="H17" s="100" t="e">
        <f>+H18+H47+H122+H138+H239+H247+H298+H350</f>
        <v>#REF!</v>
      </c>
      <c r="I17" s="100" t="e">
        <f>+G17+H17</f>
        <v>#REF!</v>
      </c>
      <c r="J17" s="100" t="e">
        <f>+J18+J47+J122+J138+J239+J247+J298+J350</f>
        <v>#REF!</v>
      </c>
      <c r="K17" s="100" t="e">
        <f>+K18+K47+K122+K138+K239+K247+K298+K350</f>
        <v>#REF!</v>
      </c>
      <c r="L17" s="100" t="e">
        <f>+J17+K17</f>
        <v>#REF!</v>
      </c>
      <c r="M17" s="100" t="e">
        <f>+I17+L17</f>
        <v>#REF!</v>
      </c>
      <c r="N17" s="100" t="e">
        <f>+F17-M17</f>
        <v>#REF!</v>
      </c>
      <c r="R17" s="3"/>
      <c r="U17" s="188">
        <f>178000000+33460000+79728000+22342995000+29162378+3014333670+6242819000+179060000+4822000000+316799545+177216575</f>
        <v>37415574168</v>
      </c>
    </row>
    <row r="18" spans="1:21" s="114" customFormat="1" ht="18" customHeight="1" x14ac:dyDescent="0.25">
      <c r="A18" s="109"/>
      <c r="B18" s="110" t="s">
        <v>336</v>
      </c>
      <c r="C18" s="110"/>
      <c r="D18" s="110"/>
      <c r="E18" s="111" t="s">
        <v>335</v>
      </c>
      <c r="F18" s="112">
        <f>+F19+F32</f>
        <v>276269500</v>
      </c>
      <c r="G18" s="113" t="e">
        <f>+G19+G32</f>
        <v>#REF!</v>
      </c>
      <c r="H18" s="113" t="e">
        <f>+H19+H32</f>
        <v>#REF!</v>
      </c>
      <c r="I18" s="113" t="e">
        <f>+G18+H18</f>
        <v>#REF!</v>
      </c>
      <c r="J18" s="113" t="e">
        <f>+J19+J32</f>
        <v>#REF!</v>
      </c>
      <c r="K18" s="113" t="e">
        <f>+K19+K32</f>
        <v>#REF!</v>
      </c>
      <c r="L18" s="113" t="e">
        <f>+J18+K18</f>
        <v>#REF!</v>
      </c>
      <c r="M18" s="113" t="e">
        <f>+I18+L18</f>
        <v>#REF!</v>
      </c>
      <c r="N18" s="112" t="e">
        <f>+F18-M18</f>
        <v>#REF!</v>
      </c>
      <c r="P18" s="189" t="e">
        <f>+N19+N32+N48+N113+N123+N139+N165+N173+N184+N206+N240+N248+N256+N269+N278+N299+N312+N331+N337+N343+N351+N357+N368+N374</f>
        <v>#REF!</v>
      </c>
      <c r="Q18" s="114" t="s">
        <v>332</v>
      </c>
      <c r="R18" s="115"/>
      <c r="S18" s="238" t="s">
        <v>427</v>
      </c>
      <c r="T18" s="208"/>
    </row>
    <row r="19" spans="1:21" s="121" customFormat="1" ht="18" customHeight="1" x14ac:dyDescent="0.25">
      <c r="A19" s="154">
        <v>1</v>
      </c>
      <c r="B19" s="155"/>
      <c r="C19" s="155" t="s">
        <v>61</v>
      </c>
      <c r="D19" s="156"/>
      <c r="E19" s="157" t="s">
        <v>62</v>
      </c>
      <c r="F19" s="158">
        <f t="shared" ref="F19:H20" si="0">+F20</f>
        <v>117975500</v>
      </c>
      <c r="G19" s="159" t="e">
        <f t="shared" si="0"/>
        <v>#REF!</v>
      </c>
      <c r="H19" s="159" t="e">
        <f t="shared" si="0"/>
        <v>#REF!</v>
      </c>
      <c r="I19" s="159" t="e">
        <f>+G19+H19</f>
        <v>#REF!</v>
      </c>
      <c r="J19" s="159" t="e">
        <f>+J20</f>
        <v>#REF!</v>
      </c>
      <c r="K19" s="159" t="e">
        <f>+K20</f>
        <v>#REF!</v>
      </c>
      <c r="L19" s="159" t="e">
        <f>+J19+K19</f>
        <v>#REF!</v>
      </c>
      <c r="M19" s="159" t="e">
        <f>+I19+L19</f>
        <v>#REF!</v>
      </c>
      <c r="N19" s="158" t="e">
        <f>+F19-M19</f>
        <v>#REF!</v>
      </c>
      <c r="P19" s="190"/>
      <c r="R19" s="122"/>
      <c r="S19" s="209">
        <f>SUM(S24:S361)</f>
        <v>546028332</v>
      </c>
      <c r="T19" s="209">
        <f>SUM(T24:T433)</f>
        <v>6057681019</v>
      </c>
    </row>
    <row r="20" spans="1:21" s="107" customFormat="1" ht="18" customHeight="1" x14ac:dyDescent="0.25">
      <c r="A20" s="101"/>
      <c r="B20" s="102"/>
      <c r="C20" s="102"/>
      <c r="D20" s="103" t="s">
        <v>207</v>
      </c>
      <c r="E20" s="104" t="s">
        <v>262</v>
      </c>
      <c r="F20" s="105">
        <f t="shared" si="0"/>
        <v>117975500</v>
      </c>
      <c r="G20" s="106" t="e">
        <f t="shared" si="0"/>
        <v>#REF!</v>
      </c>
      <c r="H20" s="106" t="e">
        <f t="shared" si="0"/>
        <v>#REF!</v>
      </c>
      <c r="I20" s="106" t="e">
        <f>+G20+H20</f>
        <v>#REF!</v>
      </c>
      <c r="J20" s="106" t="e">
        <f>+J21</f>
        <v>#REF!</v>
      </c>
      <c r="K20" s="106" t="e">
        <f>+K21</f>
        <v>#REF!</v>
      </c>
      <c r="L20" s="106" t="e">
        <f t="shared" ref="L20:L28" si="1">+J20+K20</f>
        <v>#REF!</v>
      </c>
      <c r="M20" s="106" t="e">
        <f>+I20+L20</f>
        <v>#REF!</v>
      </c>
      <c r="N20" s="105" t="e">
        <f>+F20-M20</f>
        <v>#REF!</v>
      </c>
      <c r="P20" s="191"/>
      <c r="R20" s="108"/>
      <c r="S20" s="210"/>
      <c r="T20" s="210"/>
      <c r="U20" s="241"/>
    </row>
    <row r="21" spans="1:21" s="49" customFormat="1" ht="18" customHeight="1" x14ac:dyDescent="0.25">
      <c r="A21" s="44"/>
      <c r="B21" s="45"/>
      <c r="C21" s="45"/>
      <c r="D21" s="45" t="s">
        <v>63</v>
      </c>
      <c r="E21" s="46" t="s">
        <v>30</v>
      </c>
      <c r="F21" s="47">
        <f>+F22+F29</f>
        <v>117975500</v>
      </c>
      <c r="G21" s="48" t="e">
        <f>+G22+#REF!+G29</f>
        <v>#REF!</v>
      </c>
      <c r="H21" s="48" t="e">
        <f>+H22+#REF!+H29</f>
        <v>#REF!</v>
      </c>
      <c r="I21" s="48" t="e">
        <f>+G21+H21</f>
        <v>#REF!</v>
      </c>
      <c r="J21" s="48" t="e">
        <f>+J22+#REF!+J29</f>
        <v>#REF!</v>
      </c>
      <c r="K21" s="48" t="e">
        <f>+K22+#REF!+K29</f>
        <v>#REF!</v>
      </c>
      <c r="L21" s="48" t="e">
        <f>+J21+K21</f>
        <v>#REF!</v>
      </c>
      <c r="M21" s="48" t="e">
        <f>+I21+L21</f>
        <v>#REF!</v>
      </c>
      <c r="N21" s="47" t="e">
        <f>+F21-M21</f>
        <v>#REF!</v>
      </c>
      <c r="P21" s="192" t="e">
        <f>H385+H386+K385+K386</f>
        <v>#REF!</v>
      </c>
      <c r="Q21" s="49" t="s">
        <v>334</v>
      </c>
      <c r="S21" s="211"/>
      <c r="T21" s="211"/>
      <c r="U21" s="242"/>
    </row>
    <row r="22" spans="1:21" s="55" customFormat="1" ht="18" customHeight="1" x14ac:dyDescent="0.25">
      <c r="A22" s="50"/>
      <c r="B22" s="51"/>
      <c r="C22" s="51"/>
      <c r="D22" s="51" t="s">
        <v>263</v>
      </c>
      <c r="E22" s="52" t="s">
        <v>264</v>
      </c>
      <c r="F22" s="53">
        <f>+F23</f>
        <v>65295500</v>
      </c>
      <c r="G22" s="54">
        <f>+G23</f>
        <v>0</v>
      </c>
      <c r="H22" s="54">
        <f>+H23</f>
        <v>0</v>
      </c>
      <c r="I22" s="54">
        <f t="shared" ref="I22:I31" si="2">+G22+H22</f>
        <v>0</v>
      </c>
      <c r="J22" s="54">
        <f>+J23</f>
        <v>0</v>
      </c>
      <c r="K22" s="54">
        <f>+K23</f>
        <v>0</v>
      </c>
      <c r="L22" s="54">
        <f t="shared" si="1"/>
        <v>0</v>
      </c>
      <c r="M22" s="54">
        <f t="shared" ref="M22:M31" si="3">+I22+L22</f>
        <v>0</v>
      </c>
      <c r="N22" s="53">
        <f t="shared" ref="N22:N31" si="4">+F22-M22</f>
        <v>65295500</v>
      </c>
      <c r="P22" s="193" t="e">
        <f>+H17+K17</f>
        <v>#REF!</v>
      </c>
      <c r="Q22" s="49" t="s">
        <v>333</v>
      </c>
      <c r="S22" s="212"/>
      <c r="T22" s="212"/>
      <c r="U22" s="243"/>
    </row>
    <row r="23" spans="1:21" s="49" customFormat="1" ht="18" customHeight="1" x14ac:dyDescent="0.25">
      <c r="A23" s="56"/>
      <c r="B23" s="57"/>
      <c r="C23" s="57"/>
      <c r="D23" s="57" t="s">
        <v>64</v>
      </c>
      <c r="E23" s="57" t="s">
        <v>65</v>
      </c>
      <c r="F23" s="58">
        <f>SUM(F24:F28)</f>
        <v>65295500</v>
      </c>
      <c r="G23" s="59">
        <f>SUM(G24:G28)</f>
        <v>0</v>
      </c>
      <c r="H23" s="59">
        <f>SUM(H24:H28)</f>
        <v>0</v>
      </c>
      <c r="I23" s="60">
        <f>+G23+H23</f>
        <v>0</v>
      </c>
      <c r="J23" s="60">
        <f>+SUM(J24:J28)</f>
        <v>0</v>
      </c>
      <c r="K23" s="60">
        <f>+SUM(K24:K28)</f>
        <v>0</v>
      </c>
      <c r="L23" s="60">
        <f>+J23+K23</f>
        <v>0</v>
      </c>
      <c r="M23" s="60">
        <f>+I23+L23</f>
        <v>0</v>
      </c>
      <c r="N23" s="58">
        <f>+F23-M23</f>
        <v>65295500</v>
      </c>
      <c r="P23" s="192"/>
      <c r="S23" s="211"/>
      <c r="T23" s="211"/>
      <c r="U23" s="242"/>
    </row>
    <row r="24" spans="1:21" s="65" customFormat="1" ht="18" customHeight="1" x14ac:dyDescent="0.25">
      <c r="A24" s="61"/>
      <c r="B24" s="62"/>
      <c r="C24" s="62"/>
      <c r="D24" s="62" t="s">
        <v>66</v>
      </c>
      <c r="E24" s="62" t="s">
        <v>67</v>
      </c>
      <c r="F24" s="63">
        <v>7554500</v>
      </c>
      <c r="G24" s="64"/>
      <c r="H24" s="64"/>
      <c r="I24" s="64">
        <f t="shared" si="2"/>
        <v>0</v>
      </c>
      <c r="J24" s="64"/>
      <c r="K24" s="64"/>
      <c r="L24" s="64">
        <f t="shared" si="1"/>
        <v>0</v>
      </c>
      <c r="M24" s="64">
        <f>+I24+L24</f>
        <v>0</v>
      </c>
      <c r="N24" s="63">
        <f t="shared" si="4"/>
        <v>7554500</v>
      </c>
      <c r="P24" s="194"/>
      <c r="S24" s="213"/>
      <c r="T24" s="213"/>
      <c r="U24" s="244"/>
    </row>
    <row r="25" spans="1:21" s="65" customFormat="1" ht="18" customHeight="1" x14ac:dyDescent="0.25">
      <c r="A25" s="61"/>
      <c r="B25" s="62"/>
      <c r="C25" s="62"/>
      <c r="D25" s="62" t="s">
        <v>337</v>
      </c>
      <c r="E25" s="62" t="s">
        <v>338</v>
      </c>
      <c r="F25" s="63">
        <v>6408000</v>
      </c>
      <c r="G25" s="64"/>
      <c r="H25" s="64"/>
      <c r="I25" s="64">
        <f>+G25+H25</f>
        <v>0</v>
      </c>
      <c r="J25" s="64"/>
      <c r="K25" s="64"/>
      <c r="L25" s="64">
        <f t="shared" si="1"/>
        <v>0</v>
      </c>
      <c r="M25" s="64">
        <f t="shared" si="3"/>
        <v>0</v>
      </c>
      <c r="N25" s="63">
        <f t="shared" si="4"/>
        <v>6408000</v>
      </c>
      <c r="P25" s="194"/>
      <c r="S25" s="213"/>
      <c r="T25" s="213"/>
      <c r="U25" s="244"/>
    </row>
    <row r="26" spans="1:21" s="65" customFormat="1" ht="18" customHeight="1" x14ac:dyDescent="0.25">
      <c r="A26" s="61"/>
      <c r="B26" s="62"/>
      <c r="C26" s="62"/>
      <c r="D26" s="62" t="s">
        <v>68</v>
      </c>
      <c r="E26" s="62" t="s">
        <v>69</v>
      </c>
      <c r="F26" s="63">
        <v>44208000</v>
      </c>
      <c r="G26" s="64"/>
      <c r="H26" s="64"/>
      <c r="I26" s="64">
        <f t="shared" si="2"/>
        <v>0</v>
      </c>
      <c r="J26" s="64"/>
      <c r="K26" s="64"/>
      <c r="L26" s="64">
        <f t="shared" si="1"/>
        <v>0</v>
      </c>
      <c r="M26" s="64">
        <f t="shared" si="3"/>
        <v>0</v>
      </c>
      <c r="N26" s="63">
        <f t="shared" si="4"/>
        <v>44208000</v>
      </c>
      <c r="P26" s="194">
        <f>5440000000+63000000+730000000+7470000000+6242819000+3024665072+31328939+4570000000+12239500000+3046850000+197720000+310724118</f>
        <v>43366607129</v>
      </c>
      <c r="Q26" s="65" t="s">
        <v>428</v>
      </c>
      <c r="S26" s="213"/>
      <c r="T26" s="213"/>
      <c r="U26" s="244"/>
    </row>
    <row r="27" spans="1:21" s="65" customFormat="1" ht="18" customHeight="1" x14ac:dyDescent="0.25">
      <c r="A27" s="61"/>
      <c r="B27" s="62"/>
      <c r="C27" s="62"/>
      <c r="D27" s="62" t="s">
        <v>339</v>
      </c>
      <c r="E27" s="62" t="s">
        <v>340</v>
      </c>
      <c r="F27" s="63">
        <v>2125000</v>
      </c>
      <c r="G27" s="64"/>
      <c r="H27" s="64"/>
      <c r="I27" s="64"/>
      <c r="J27" s="64"/>
      <c r="K27" s="64"/>
      <c r="L27" s="64">
        <f t="shared" si="1"/>
        <v>0</v>
      </c>
      <c r="M27" s="64">
        <f t="shared" si="3"/>
        <v>0</v>
      </c>
      <c r="N27" s="63">
        <f t="shared" si="4"/>
        <v>2125000</v>
      </c>
      <c r="P27" s="194"/>
      <c r="S27" s="213"/>
      <c r="T27" s="213"/>
      <c r="U27" s="244"/>
    </row>
    <row r="28" spans="1:21" s="65" customFormat="1" ht="18" customHeight="1" x14ac:dyDescent="0.25">
      <c r="A28" s="61"/>
      <c r="B28" s="62"/>
      <c r="C28" s="62"/>
      <c r="D28" s="62" t="s">
        <v>70</v>
      </c>
      <c r="E28" s="62" t="s">
        <v>33</v>
      </c>
      <c r="F28" s="63">
        <v>5000000</v>
      </c>
      <c r="G28" s="64"/>
      <c r="H28" s="64"/>
      <c r="I28" s="64"/>
      <c r="J28" s="64"/>
      <c r="K28" s="64"/>
      <c r="L28" s="64">
        <f t="shared" si="1"/>
        <v>0</v>
      </c>
      <c r="M28" s="64">
        <f t="shared" si="3"/>
        <v>0</v>
      </c>
      <c r="N28" s="63">
        <f t="shared" si="4"/>
        <v>5000000</v>
      </c>
      <c r="P28" s="194"/>
      <c r="S28" s="213"/>
      <c r="T28" s="213"/>
      <c r="U28" s="244"/>
    </row>
    <row r="29" spans="1:21" s="55" customFormat="1" ht="18" customHeight="1" x14ac:dyDescent="0.25">
      <c r="A29" s="50"/>
      <c r="B29" s="51"/>
      <c r="C29" s="51"/>
      <c r="D29" s="51" t="s">
        <v>271</v>
      </c>
      <c r="E29" s="52" t="s">
        <v>272</v>
      </c>
      <c r="F29" s="53">
        <f>+F30</f>
        <v>52680000</v>
      </c>
      <c r="G29" s="54">
        <f>+G30</f>
        <v>0</v>
      </c>
      <c r="H29" s="54">
        <f>+H30</f>
        <v>0</v>
      </c>
      <c r="I29" s="54">
        <f>+G29+H29</f>
        <v>0</v>
      </c>
      <c r="J29" s="54">
        <f>+J30</f>
        <v>0</v>
      </c>
      <c r="K29" s="54">
        <f>+K30</f>
        <v>0</v>
      </c>
      <c r="L29" s="54">
        <f>+J29+K29</f>
        <v>0</v>
      </c>
      <c r="M29" s="54">
        <f>+I29+L29</f>
        <v>0</v>
      </c>
      <c r="N29" s="53">
        <f t="shared" si="4"/>
        <v>52680000</v>
      </c>
      <c r="P29" s="195"/>
      <c r="S29" s="212"/>
      <c r="T29" s="212"/>
      <c r="U29" s="243"/>
    </row>
    <row r="30" spans="1:21" s="49" customFormat="1" ht="18" customHeight="1" x14ac:dyDescent="0.25">
      <c r="A30" s="56"/>
      <c r="B30" s="57"/>
      <c r="C30" s="57"/>
      <c r="D30" s="57" t="s">
        <v>81</v>
      </c>
      <c r="E30" s="57" t="s">
        <v>31</v>
      </c>
      <c r="F30" s="58">
        <f>SUM(F31:F31)</f>
        <v>52680000</v>
      </c>
      <c r="G30" s="59">
        <f>+G31</f>
        <v>0</v>
      </c>
      <c r="H30" s="60">
        <f>+SUM(H31:H31)</f>
        <v>0</v>
      </c>
      <c r="I30" s="60">
        <f t="shared" si="2"/>
        <v>0</v>
      </c>
      <c r="J30" s="60">
        <f>+SUM(J31:J31)</f>
        <v>0</v>
      </c>
      <c r="K30" s="60">
        <f>+SUM(K31:K31)</f>
        <v>0</v>
      </c>
      <c r="L30" s="60">
        <f>+J30+K30</f>
        <v>0</v>
      </c>
      <c r="M30" s="60">
        <f t="shared" si="3"/>
        <v>0</v>
      </c>
      <c r="N30" s="58">
        <f t="shared" si="4"/>
        <v>52680000</v>
      </c>
      <c r="P30" s="192"/>
      <c r="S30" s="211"/>
      <c r="T30" s="211"/>
      <c r="U30" s="242"/>
    </row>
    <row r="31" spans="1:21" s="65" customFormat="1" ht="18" customHeight="1" x14ac:dyDescent="0.25">
      <c r="A31" s="61"/>
      <c r="B31" s="62"/>
      <c r="C31" s="62"/>
      <c r="D31" s="62" t="s">
        <v>82</v>
      </c>
      <c r="E31" s="62" t="s">
        <v>83</v>
      </c>
      <c r="F31" s="63">
        <v>52680000</v>
      </c>
      <c r="G31" s="64"/>
      <c r="H31" s="64"/>
      <c r="I31" s="64">
        <f t="shared" si="2"/>
        <v>0</v>
      </c>
      <c r="J31" s="64"/>
      <c r="K31" s="64"/>
      <c r="L31" s="64">
        <f t="shared" ref="L31" si="5">+J31+K31</f>
        <v>0</v>
      </c>
      <c r="M31" s="64">
        <f t="shared" si="3"/>
        <v>0</v>
      </c>
      <c r="N31" s="63">
        <f t="shared" si="4"/>
        <v>52680000</v>
      </c>
      <c r="P31" s="194"/>
      <c r="S31" s="230">
        <f>2840000</f>
        <v>2840000</v>
      </c>
      <c r="T31" s="214"/>
      <c r="U31" s="244"/>
    </row>
    <row r="32" spans="1:21" s="121" customFormat="1" ht="32.25" customHeight="1" x14ac:dyDescent="0.25">
      <c r="A32" s="154">
        <v>2</v>
      </c>
      <c r="B32" s="155"/>
      <c r="C32" s="155" t="s">
        <v>79</v>
      </c>
      <c r="D32" s="156"/>
      <c r="E32" s="164" t="s">
        <v>80</v>
      </c>
      <c r="F32" s="158">
        <f t="shared" ref="F32:H33" si="6">+F33</f>
        <v>158294000</v>
      </c>
      <c r="G32" s="159">
        <f t="shared" si="6"/>
        <v>0</v>
      </c>
      <c r="H32" s="159">
        <f t="shared" si="6"/>
        <v>0</v>
      </c>
      <c r="I32" s="159">
        <f>+G32+H32</f>
        <v>0</v>
      </c>
      <c r="J32" s="159">
        <f>+J33</f>
        <v>0</v>
      </c>
      <c r="K32" s="159">
        <f>+K33</f>
        <v>0</v>
      </c>
      <c r="L32" s="159">
        <f>+J32+K32</f>
        <v>0</v>
      </c>
      <c r="M32" s="159">
        <f>+I32+L32</f>
        <v>0</v>
      </c>
      <c r="N32" s="158">
        <f>+F32-M32</f>
        <v>158294000</v>
      </c>
      <c r="P32" s="190"/>
      <c r="R32" s="122"/>
      <c r="S32" s="216"/>
      <c r="T32" s="216"/>
      <c r="U32" s="246"/>
    </row>
    <row r="33" spans="1:21" s="107" customFormat="1" ht="18" customHeight="1" x14ac:dyDescent="0.25">
      <c r="A33" s="101"/>
      <c r="B33" s="102"/>
      <c r="C33" s="102"/>
      <c r="D33" s="103" t="s">
        <v>207</v>
      </c>
      <c r="E33" s="104" t="s">
        <v>262</v>
      </c>
      <c r="F33" s="105">
        <f t="shared" si="6"/>
        <v>158294000</v>
      </c>
      <c r="G33" s="106">
        <f t="shared" si="6"/>
        <v>0</v>
      </c>
      <c r="H33" s="106">
        <f t="shared" si="6"/>
        <v>0</v>
      </c>
      <c r="I33" s="106">
        <f t="shared" ref="I33:I37" si="7">+G33+H33</f>
        <v>0</v>
      </c>
      <c r="J33" s="106">
        <f>+J34</f>
        <v>0</v>
      </c>
      <c r="K33" s="106">
        <f>+K34</f>
        <v>0</v>
      </c>
      <c r="L33" s="106">
        <f t="shared" ref="L33:L35" si="8">+J33+K33</f>
        <v>0</v>
      </c>
      <c r="M33" s="106">
        <f>+I33+L33</f>
        <v>0</v>
      </c>
      <c r="N33" s="105">
        <f t="shared" ref="N33:N36" si="9">+F33-M33</f>
        <v>158294000</v>
      </c>
      <c r="P33" s="191"/>
      <c r="R33" s="108"/>
      <c r="S33" s="217"/>
      <c r="T33" s="217"/>
      <c r="U33" s="241"/>
    </row>
    <row r="34" spans="1:21" s="49" customFormat="1" ht="18" customHeight="1" x14ac:dyDescent="0.25">
      <c r="A34" s="44"/>
      <c r="B34" s="45"/>
      <c r="C34" s="45"/>
      <c r="D34" s="45" t="s">
        <v>63</v>
      </c>
      <c r="E34" s="46" t="s">
        <v>30</v>
      </c>
      <c r="F34" s="47">
        <f>+F35+F42</f>
        <v>158294000</v>
      </c>
      <c r="G34" s="48">
        <f>+G35+G42</f>
        <v>0</v>
      </c>
      <c r="H34" s="48">
        <f>+H35+H42</f>
        <v>0</v>
      </c>
      <c r="I34" s="48">
        <f t="shared" si="7"/>
        <v>0</v>
      </c>
      <c r="J34" s="48">
        <f>+J35+J42</f>
        <v>0</v>
      </c>
      <c r="K34" s="48">
        <f>+K35+K42</f>
        <v>0</v>
      </c>
      <c r="L34" s="48">
        <f t="shared" si="8"/>
        <v>0</v>
      </c>
      <c r="M34" s="48">
        <f t="shared" ref="M34:M35" si="10">+I34+L34</f>
        <v>0</v>
      </c>
      <c r="N34" s="47">
        <f t="shared" si="9"/>
        <v>158294000</v>
      </c>
      <c r="P34" s="192"/>
      <c r="S34" s="205"/>
      <c r="T34" s="205"/>
      <c r="U34" s="242"/>
    </row>
    <row r="35" spans="1:21" s="55" customFormat="1" ht="18" customHeight="1" x14ac:dyDescent="0.25">
      <c r="A35" s="50"/>
      <c r="B35" s="51"/>
      <c r="C35" s="51"/>
      <c r="D35" s="51" t="s">
        <v>263</v>
      </c>
      <c r="E35" s="52" t="s">
        <v>264</v>
      </c>
      <c r="F35" s="53">
        <f t="shared" ref="F35" si="11">+F36</f>
        <v>76694000</v>
      </c>
      <c r="G35" s="54">
        <f>+G36</f>
        <v>0</v>
      </c>
      <c r="H35" s="54">
        <f>+H36</f>
        <v>0</v>
      </c>
      <c r="I35" s="54">
        <f t="shared" si="7"/>
        <v>0</v>
      </c>
      <c r="J35" s="54">
        <f>+J36</f>
        <v>0</v>
      </c>
      <c r="K35" s="54">
        <f>+K36</f>
        <v>0</v>
      </c>
      <c r="L35" s="54">
        <f t="shared" si="8"/>
        <v>0</v>
      </c>
      <c r="M35" s="54">
        <f t="shared" si="10"/>
        <v>0</v>
      </c>
      <c r="N35" s="53">
        <f t="shared" si="9"/>
        <v>76694000</v>
      </c>
      <c r="P35" s="195"/>
      <c r="S35" s="206"/>
      <c r="T35" s="206"/>
      <c r="U35" s="243"/>
    </row>
    <row r="36" spans="1:21" s="49" customFormat="1" ht="18" customHeight="1" x14ac:dyDescent="0.25">
      <c r="A36" s="56"/>
      <c r="B36" s="57"/>
      <c r="C36" s="57"/>
      <c r="D36" s="57" t="s">
        <v>64</v>
      </c>
      <c r="E36" s="57" t="s">
        <v>65</v>
      </c>
      <c r="F36" s="58">
        <f>SUM(F37:F41)</f>
        <v>76694000</v>
      </c>
      <c r="G36" s="59">
        <f>SUM(G37:G41)</f>
        <v>0</v>
      </c>
      <c r="H36" s="59">
        <f>SUM(H37:H41)</f>
        <v>0</v>
      </c>
      <c r="I36" s="60">
        <f t="shared" si="7"/>
        <v>0</v>
      </c>
      <c r="J36" s="60">
        <f>SUM(J37:J41)</f>
        <v>0</v>
      </c>
      <c r="K36" s="60">
        <f>SUM(K37:K41)</f>
        <v>0</v>
      </c>
      <c r="L36" s="60">
        <f>+J36+K36</f>
        <v>0</v>
      </c>
      <c r="M36" s="60">
        <f>+I36+L36</f>
        <v>0</v>
      </c>
      <c r="N36" s="58">
        <f t="shared" si="9"/>
        <v>76694000</v>
      </c>
      <c r="P36" s="192"/>
      <c r="S36" s="205"/>
      <c r="T36" s="205"/>
      <c r="U36" s="242"/>
    </row>
    <row r="37" spans="1:21" s="65" customFormat="1" ht="18" customHeight="1" x14ac:dyDescent="0.25">
      <c r="A37" s="61"/>
      <c r="B37" s="66"/>
      <c r="C37" s="62"/>
      <c r="D37" s="62" t="s">
        <v>66</v>
      </c>
      <c r="E37" s="62" t="s">
        <v>67</v>
      </c>
      <c r="F37" s="63">
        <v>8160000</v>
      </c>
      <c r="G37" s="64"/>
      <c r="H37" s="64"/>
      <c r="I37" s="64">
        <f t="shared" si="7"/>
        <v>0</v>
      </c>
      <c r="J37" s="64"/>
      <c r="K37" s="64"/>
      <c r="L37" s="64">
        <f t="shared" ref="L37" si="12">+J37+K37</f>
        <v>0</v>
      </c>
      <c r="M37" s="64">
        <f t="shared" ref="M37" si="13">+I37+L37</f>
        <v>0</v>
      </c>
      <c r="N37" s="63">
        <f>+F37-M37</f>
        <v>8160000</v>
      </c>
      <c r="P37" s="194"/>
      <c r="S37" s="230">
        <f>385000</f>
        <v>385000</v>
      </c>
      <c r="T37" s="214"/>
      <c r="U37" s="244"/>
    </row>
    <row r="38" spans="1:21" s="65" customFormat="1" ht="18" customHeight="1" x14ac:dyDescent="0.25">
      <c r="A38" s="61"/>
      <c r="B38" s="66"/>
      <c r="C38" s="62"/>
      <c r="D38" s="62" t="s">
        <v>337</v>
      </c>
      <c r="E38" s="62" t="s">
        <v>338</v>
      </c>
      <c r="F38" s="63">
        <v>5112000</v>
      </c>
      <c r="G38" s="64"/>
      <c r="H38" s="64"/>
      <c r="I38" s="64"/>
      <c r="J38" s="64"/>
      <c r="K38" s="64"/>
      <c r="L38" s="64">
        <f>+J38+K38</f>
        <v>0</v>
      </c>
      <c r="M38" s="64">
        <f>+I38+L38</f>
        <v>0</v>
      </c>
      <c r="N38" s="63">
        <f>+F38-M38</f>
        <v>5112000</v>
      </c>
      <c r="P38" s="194"/>
      <c r="S38" s="230"/>
      <c r="T38" s="214"/>
      <c r="U38" s="244"/>
    </row>
    <row r="39" spans="1:21" s="65" customFormat="1" ht="18" customHeight="1" x14ac:dyDescent="0.25">
      <c r="A39" s="61"/>
      <c r="B39" s="66"/>
      <c r="C39" s="62"/>
      <c r="D39" s="62" t="s">
        <v>68</v>
      </c>
      <c r="E39" s="62" t="s">
        <v>69</v>
      </c>
      <c r="F39" s="63">
        <v>36414000</v>
      </c>
      <c r="G39" s="64"/>
      <c r="H39" s="64"/>
      <c r="I39" s="64"/>
      <c r="J39" s="64"/>
      <c r="K39" s="64"/>
      <c r="L39" s="64">
        <f t="shared" ref="L39:L41" si="14">+J39+K39</f>
        <v>0</v>
      </c>
      <c r="M39" s="64">
        <f t="shared" ref="M39:M41" si="15">+I39+L39</f>
        <v>0</v>
      </c>
      <c r="N39" s="63">
        <f t="shared" ref="N39:N45" si="16">+F39-M39</f>
        <v>36414000</v>
      </c>
      <c r="P39" s="194"/>
      <c r="S39" s="230"/>
      <c r="T39" s="214"/>
      <c r="U39" s="244"/>
    </row>
    <row r="40" spans="1:21" s="65" customFormat="1" ht="18" customHeight="1" x14ac:dyDescent="0.25">
      <c r="A40" s="61"/>
      <c r="B40" s="66"/>
      <c r="C40" s="62"/>
      <c r="D40" s="62" t="s">
        <v>339</v>
      </c>
      <c r="E40" s="62" t="s">
        <v>340</v>
      </c>
      <c r="F40" s="63">
        <v>12008000</v>
      </c>
      <c r="G40" s="64"/>
      <c r="H40" s="64"/>
      <c r="I40" s="64"/>
      <c r="J40" s="64"/>
      <c r="K40" s="64"/>
      <c r="L40" s="64">
        <f t="shared" si="14"/>
        <v>0</v>
      </c>
      <c r="M40" s="64">
        <f t="shared" si="15"/>
        <v>0</v>
      </c>
      <c r="N40" s="63">
        <f t="shared" si="16"/>
        <v>12008000</v>
      </c>
      <c r="P40" s="194"/>
      <c r="S40" s="230"/>
      <c r="T40" s="214"/>
      <c r="U40" s="244"/>
    </row>
    <row r="41" spans="1:21" s="65" customFormat="1" ht="18" customHeight="1" x14ac:dyDescent="0.25">
      <c r="A41" s="61"/>
      <c r="B41" s="66"/>
      <c r="C41" s="62"/>
      <c r="D41" s="62" t="s">
        <v>70</v>
      </c>
      <c r="E41" s="62" t="s">
        <v>33</v>
      </c>
      <c r="F41" s="63">
        <v>15000000</v>
      </c>
      <c r="G41" s="64"/>
      <c r="H41" s="64"/>
      <c r="I41" s="64">
        <f>+G41+H41</f>
        <v>0</v>
      </c>
      <c r="J41" s="64"/>
      <c r="K41" s="64"/>
      <c r="L41" s="64">
        <f t="shared" si="14"/>
        <v>0</v>
      </c>
      <c r="M41" s="64">
        <f t="shared" si="15"/>
        <v>0</v>
      </c>
      <c r="N41" s="63">
        <f t="shared" si="16"/>
        <v>15000000</v>
      </c>
      <c r="P41" s="194"/>
      <c r="S41" s="230">
        <v>5000000</v>
      </c>
      <c r="T41" s="214"/>
      <c r="U41" s="244"/>
    </row>
    <row r="42" spans="1:21" s="55" customFormat="1" ht="18" customHeight="1" x14ac:dyDescent="0.25">
      <c r="A42" s="50"/>
      <c r="B42" s="51"/>
      <c r="C42" s="51"/>
      <c r="D42" s="51" t="s">
        <v>271</v>
      </c>
      <c r="E42" s="52" t="s">
        <v>272</v>
      </c>
      <c r="F42" s="53">
        <f>+F43</f>
        <v>81600000</v>
      </c>
      <c r="G42" s="54">
        <f>+G43</f>
        <v>0</v>
      </c>
      <c r="H42" s="54">
        <f>+H43</f>
        <v>0</v>
      </c>
      <c r="I42" s="54">
        <f t="shared" ref="I42:I45" si="17">+G42+H42</f>
        <v>0</v>
      </c>
      <c r="J42" s="54">
        <f>+J43</f>
        <v>0</v>
      </c>
      <c r="K42" s="54">
        <f>+K43</f>
        <v>0</v>
      </c>
      <c r="L42" s="54">
        <f>+J42+K42</f>
        <v>0</v>
      </c>
      <c r="M42" s="54">
        <f>+I42+L42</f>
        <v>0</v>
      </c>
      <c r="N42" s="53">
        <f t="shared" si="16"/>
        <v>81600000</v>
      </c>
      <c r="P42" s="195"/>
      <c r="S42" s="231"/>
      <c r="T42" s="206"/>
      <c r="U42" s="243"/>
    </row>
    <row r="43" spans="1:21" s="49" customFormat="1" ht="18" customHeight="1" x14ac:dyDescent="0.25">
      <c r="A43" s="56"/>
      <c r="B43" s="57"/>
      <c r="C43" s="57"/>
      <c r="D43" s="57" t="s">
        <v>81</v>
      </c>
      <c r="E43" s="57" t="s">
        <v>31</v>
      </c>
      <c r="F43" s="58">
        <f>SUM(F44:F45)</f>
        <v>81600000</v>
      </c>
      <c r="G43" s="59">
        <f>+G45</f>
        <v>0</v>
      </c>
      <c r="H43" s="60">
        <f>+SUM(H45:H45)</f>
        <v>0</v>
      </c>
      <c r="I43" s="60">
        <f t="shared" si="17"/>
        <v>0</v>
      </c>
      <c r="J43" s="60">
        <f>+SUM(J45:J45)</f>
        <v>0</v>
      </c>
      <c r="K43" s="60">
        <f>+SUM(K45:K45)</f>
        <v>0</v>
      </c>
      <c r="L43" s="60">
        <f t="shared" ref="L43:L45" si="18">+J43+K43</f>
        <v>0</v>
      </c>
      <c r="M43" s="60">
        <f t="shared" ref="M43:M45" si="19">+I43+L43</f>
        <v>0</v>
      </c>
      <c r="N43" s="58">
        <f t="shared" si="16"/>
        <v>81600000</v>
      </c>
      <c r="P43" s="192"/>
      <c r="S43" s="228"/>
      <c r="T43" s="205"/>
      <c r="U43" s="242"/>
    </row>
    <row r="44" spans="1:21" s="65" customFormat="1" ht="18" customHeight="1" x14ac:dyDescent="0.25">
      <c r="A44" s="61"/>
      <c r="B44" s="62"/>
      <c r="C44" s="62"/>
      <c r="D44" s="62" t="s">
        <v>451</v>
      </c>
      <c r="E44" s="62" t="s">
        <v>452</v>
      </c>
      <c r="F44" s="63">
        <v>30000000</v>
      </c>
      <c r="G44" s="64"/>
      <c r="H44" s="64"/>
      <c r="I44" s="64">
        <f t="shared" si="17"/>
        <v>0</v>
      </c>
      <c r="J44" s="64"/>
      <c r="K44" s="64"/>
      <c r="L44" s="64">
        <f t="shared" si="18"/>
        <v>0</v>
      </c>
      <c r="M44" s="64">
        <f t="shared" si="19"/>
        <v>0</v>
      </c>
      <c r="N44" s="63">
        <f t="shared" si="16"/>
        <v>30000000</v>
      </c>
      <c r="P44" s="194"/>
      <c r="S44" s="230">
        <f>4300000</f>
        <v>4300000</v>
      </c>
      <c r="T44" s="214"/>
      <c r="U44" s="244"/>
    </row>
    <row r="45" spans="1:21" s="65" customFormat="1" ht="18" customHeight="1" x14ac:dyDescent="0.25">
      <c r="A45" s="61"/>
      <c r="B45" s="62"/>
      <c r="C45" s="62"/>
      <c r="D45" s="62" t="s">
        <v>82</v>
      </c>
      <c r="E45" s="62" t="s">
        <v>83</v>
      </c>
      <c r="F45" s="63">
        <v>51600000</v>
      </c>
      <c r="G45" s="64"/>
      <c r="H45" s="64"/>
      <c r="I45" s="64">
        <f t="shared" si="17"/>
        <v>0</v>
      </c>
      <c r="J45" s="64"/>
      <c r="K45" s="64"/>
      <c r="L45" s="64">
        <f t="shared" si="18"/>
        <v>0</v>
      </c>
      <c r="M45" s="64">
        <f t="shared" si="19"/>
        <v>0</v>
      </c>
      <c r="N45" s="63">
        <f t="shared" si="16"/>
        <v>51600000</v>
      </c>
      <c r="P45" s="194"/>
      <c r="S45" s="230">
        <f>4300000</f>
        <v>4300000</v>
      </c>
      <c r="T45" s="214"/>
      <c r="U45" s="244"/>
    </row>
    <row r="46" spans="1:21" s="134" customFormat="1" ht="18" customHeight="1" x14ac:dyDescent="0.25">
      <c r="A46" s="129"/>
      <c r="B46" s="130"/>
      <c r="C46" s="130"/>
      <c r="D46" s="131"/>
      <c r="E46" s="131"/>
      <c r="F46" s="132"/>
      <c r="G46" s="133"/>
      <c r="H46" s="133"/>
      <c r="I46" s="133"/>
      <c r="J46" s="133"/>
      <c r="K46" s="133"/>
      <c r="L46" s="133"/>
      <c r="M46" s="133"/>
      <c r="N46" s="132"/>
      <c r="P46" s="197"/>
      <c r="S46" s="229"/>
      <c r="T46" s="218"/>
      <c r="U46" s="247"/>
    </row>
    <row r="47" spans="1:21" s="137" customFormat="1" ht="18" customHeight="1" x14ac:dyDescent="0.25">
      <c r="A47" s="109"/>
      <c r="B47" s="110" t="s">
        <v>407</v>
      </c>
      <c r="C47" s="110"/>
      <c r="D47" s="110"/>
      <c r="E47" s="110" t="s">
        <v>408</v>
      </c>
      <c r="F47" s="135">
        <f>+F48+F113</f>
        <v>27970445142</v>
      </c>
      <c r="G47" s="136">
        <f>+G48</f>
        <v>0</v>
      </c>
      <c r="H47" s="136">
        <f>+H48+H113</f>
        <v>0</v>
      </c>
      <c r="I47" s="136">
        <f>+G47+H47</f>
        <v>0</v>
      </c>
      <c r="J47" s="136">
        <f>+J114</f>
        <v>0</v>
      </c>
      <c r="K47" s="136">
        <f>+K114</f>
        <v>0</v>
      </c>
      <c r="L47" s="136">
        <f>+J47+K47</f>
        <v>0</v>
      </c>
      <c r="M47" s="136">
        <f>+I47+L47</f>
        <v>0</v>
      </c>
      <c r="N47" s="135">
        <f>+F47-M47</f>
        <v>27970445142</v>
      </c>
      <c r="P47" s="198"/>
      <c r="R47" s="138"/>
      <c r="S47" s="219"/>
      <c r="T47" s="219"/>
      <c r="U47" s="248"/>
    </row>
    <row r="48" spans="1:21" s="121" customFormat="1" ht="18" customHeight="1" x14ac:dyDescent="0.25">
      <c r="A48" s="116">
        <v>3</v>
      </c>
      <c r="B48" s="117"/>
      <c r="C48" s="117" t="s">
        <v>156</v>
      </c>
      <c r="D48" s="118"/>
      <c r="E48" s="128" t="s">
        <v>157</v>
      </c>
      <c r="F48" s="119">
        <f>+F49</f>
        <v>27939292142</v>
      </c>
      <c r="G48" s="120">
        <f>+G49</f>
        <v>0</v>
      </c>
      <c r="H48" s="120">
        <f>+H49</f>
        <v>0</v>
      </c>
      <c r="I48" s="120">
        <f>+G48+H48</f>
        <v>0</v>
      </c>
      <c r="J48" s="120">
        <f>+J49</f>
        <v>0</v>
      </c>
      <c r="K48" s="120">
        <f>+K49</f>
        <v>0</v>
      </c>
      <c r="L48" s="120">
        <f>+J48+K48</f>
        <v>0</v>
      </c>
      <c r="M48" s="120">
        <f>+I48+L48</f>
        <v>0</v>
      </c>
      <c r="N48" s="119">
        <f>+F48-M48</f>
        <v>27939292142</v>
      </c>
      <c r="P48" s="190"/>
      <c r="R48" s="122"/>
      <c r="S48" s="216"/>
      <c r="T48" s="216"/>
      <c r="U48" s="246"/>
    </row>
    <row r="49" spans="1:21" s="107" customFormat="1" ht="18" customHeight="1" x14ac:dyDescent="0.25">
      <c r="A49" s="101"/>
      <c r="B49" s="102"/>
      <c r="C49" s="102"/>
      <c r="D49" s="103" t="s">
        <v>207</v>
      </c>
      <c r="E49" s="104" t="s">
        <v>262</v>
      </c>
      <c r="F49" s="105">
        <f t="shared" ref="F49" si="20">+F50</f>
        <v>27939292142</v>
      </c>
      <c r="G49" s="106">
        <f>+G50</f>
        <v>0</v>
      </c>
      <c r="H49" s="106">
        <f>+H50</f>
        <v>0</v>
      </c>
      <c r="I49" s="106">
        <f t="shared" ref="I49:I50" si="21">+G49+H49</f>
        <v>0</v>
      </c>
      <c r="J49" s="106"/>
      <c r="K49" s="106">
        <f>+K50</f>
        <v>0</v>
      </c>
      <c r="L49" s="106">
        <f t="shared" ref="L49:L112" si="22">+J49+K49</f>
        <v>0</v>
      </c>
      <c r="M49" s="106">
        <f t="shared" ref="M49:M72" si="23">+I49+L49</f>
        <v>0</v>
      </c>
      <c r="N49" s="105">
        <f t="shared" ref="N49:N54" si="24">+F49-M49</f>
        <v>27939292142</v>
      </c>
      <c r="P49" s="191"/>
      <c r="R49" s="108"/>
      <c r="S49" s="217"/>
      <c r="T49" s="217"/>
      <c r="U49" s="241"/>
    </row>
    <row r="50" spans="1:21" s="49" customFormat="1" ht="18" customHeight="1" x14ac:dyDescent="0.25">
      <c r="A50" s="44"/>
      <c r="B50" s="45"/>
      <c r="C50" s="45"/>
      <c r="D50" s="69" t="s">
        <v>158</v>
      </c>
      <c r="E50" s="45" t="s">
        <v>159</v>
      </c>
      <c r="F50" s="47">
        <f>F51+F76+F83+F101</f>
        <v>27939292142</v>
      </c>
      <c r="G50" s="70">
        <f>+G51+G83+G101+G76</f>
        <v>0</v>
      </c>
      <c r="H50" s="70">
        <f>+H51+H83+H101+H76</f>
        <v>0</v>
      </c>
      <c r="I50" s="70">
        <f t="shared" si="21"/>
        <v>0</v>
      </c>
      <c r="J50" s="70"/>
      <c r="K50" s="70">
        <f>+K51+K76+K83+K101</f>
        <v>0</v>
      </c>
      <c r="L50" s="70">
        <f t="shared" si="22"/>
        <v>0</v>
      </c>
      <c r="M50" s="70">
        <f t="shared" si="23"/>
        <v>0</v>
      </c>
      <c r="N50" s="47">
        <f t="shared" si="24"/>
        <v>27939292142</v>
      </c>
      <c r="P50" s="192"/>
      <c r="S50" s="205"/>
      <c r="T50" s="205"/>
      <c r="U50" s="242"/>
    </row>
    <row r="51" spans="1:21" s="55" customFormat="1" ht="18" customHeight="1" x14ac:dyDescent="0.25">
      <c r="A51" s="50"/>
      <c r="B51" s="51"/>
      <c r="C51" s="51"/>
      <c r="D51" s="71" t="s">
        <v>208</v>
      </c>
      <c r="E51" s="51" t="s">
        <v>209</v>
      </c>
      <c r="F51" s="53">
        <f>F52+F54+F56+F58+F60+F62+F64+F66+F68+F70+F72+F74</f>
        <v>15098272502</v>
      </c>
      <c r="G51" s="72">
        <f>+G52+G54+G56+G58+G60+G62+G64+G66+G68+G70+G72+G74</f>
        <v>0</v>
      </c>
      <c r="H51" s="72">
        <f>+H52+H54+H56+H58+H60+H62+H64+H66+H68+H70+H72+H74</f>
        <v>0</v>
      </c>
      <c r="I51" s="72">
        <f>+G51+H51</f>
        <v>0</v>
      </c>
      <c r="J51" s="72"/>
      <c r="K51" s="72">
        <f>+K52+K54+K56+K58+K60+K62+K64+K66+K68+K70+K72+K74</f>
        <v>0</v>
      </c>
      <c r="L51" s="72">
        <f t="shared" si="22"/>
        <v>0</v>
      </c>
      <c r="M51" s="72">
        <f t="shared" si="23"/>
        <v>0</v>
      </c>
      <c r="N51" s="53">
        <f t="shared" si="24"/>
        <v>15098272502</v>
      </c>
      <c r="P51" s="195"/>
      <c r="S51" s="206"/>
      <c r="T51" s="206"/>
      <c r="U51" s="243"/>
    </row>
    <row r="52" spans="1:21" s="49" customFormat="1" ht="18" customHeight="1" x14ac:dyDescent="0.25">
      <c r="A52" s="56"/>
      <c r="B52" s="57"/>
      <c r="C52" s="57"/>
      <c r="D52" s="73" t="s">
        <v>160</v>
      </c>
      <c r="E52" s="57" t="s">
        <v>162</v>
      </c>
      <c r="F52" s="58">
        <f>+F53</f>
        <v>13525507924</v>
      </c>
      <c r="G52" s="59">
        <f>+G53</f>
        <v>0</v>
      </c>
      <c r="H52" s="59">
        <f>+H53</f>
        <v>0</v>
      </c>
      <c r="I52" s="59">
        <f t="shared" ref="I52" si="25">+G52+H52</f>
        <v>0</v>
      </c>
      <c r="J52" s="59"/>
      <c r="K52" s="59">
        <f>+K53</f>
        <v>0</v>
      </c>
      <c r="L52" s="59">
        <f>+J52+K52</f>
        <v>0</v>
      </c>
      <c r="M52" s="59">
        <f t="shared" si="23"/>
        <v>0</v>
      </c>
      <c r="N52" s="58">
        <f t="shared" si="24"/>
        <v>13525507924</v>
      </c>
      <c r="P52" s="192"/>
      <c r="S52" s="205"/>
      <c r="T52" s="228"/>
      <c r="U52" s="242"/>
    </row>
    <row r="53" spans="1:21" s="49" customFormat="1" ht="18" customHeight="1" x14ac:dyDescent="0.25">
      <c r="A53" s="61"/>
      <c r="B53" s="62"/>
      <c r="C53" s="62"/>
      <c r="D53" s="74" t="s">
        <v>161</v>
      </c>
      <c r="E53" s="62" t="s">
        <v>163</v>
      </c>
      <c r="F53" s="63">
        <v>13525507924</v>
      </c>
      <c r="G53" s="75"/>
      <c r="H53" s="75"/>
      <c r="I53" s="75">
        <f>+G53+H53</f>
        <v>0</v>
      </c>
      <c r="J53" s="75"/>
      <c r="K53" s="75"/>
      <c r="L53" s="75">
        <f t="shared" si="22"/>
        <v>0</v>
      </c>
      <c r="M53" s="75">
        <f t="shared" si="23"/>
        <v>0</v>
      </c>
      <c r="N53" s="63">
        <f t="shared" si="24"/>
        <v>13525507924</v>
      </c>
      <c r="P53" s="192"/>
      <c r="S53" s="205"/>
      <c r="T53" s="240">
        <v>237235200</v>
      </c>
      <c r="U53" s="242"/>
    </row>
    <row r="54" spans="1:21" s="49" customFormat="1" ht="18" customHeight="1" x14ac:dyDescent="0.25">
      <c r="A54" s="56"/>
      <c r="B54" s="57"/>
      <c r="C54" s="57"/>
      <c r="D54" s="73" t="s">
        <v>164</v>
      </c>
      <c r="E54" s="57" t="s">
        <v>166</v>
      </c>
      <c r="F54" s="58">
        <f>+F55</f>
        <v>401878814</v>
      </c>
      <c r="G54" s="59">
        <f>+G55</f>
        <v>0</v>
      </c>
      <c r="H54" s="59">
        <f>+H55</f>
        <v>0</v>
      </c>
      <c r="I54" s="59">
        <f t="shared" ref="I54:I73" si="26">+G54+H54</f>
        <v>0</v>
      </c>
      <c r="J54" s="59"/>
      <c r="K54" s="59">
        <f>+K55</f>
        <v>0</v>
      </c>
      <c r="L54" s="59">
        <f>+J54+K54</f>
        <v>0</v>
      </c>
      <c r="M54" s="59">
        <f t="shared" si="23"/>
        <v>0</v>
      </c>
      <c r="N54" s="58">
        <f t="shared" si="24"/>
        <v>401878814</v>
      </c>
      <c r="P54" s="192"/>
      <c r="S54" s="205"/>
      <c r="T54" s="240"/>
      <c r="U54" s="242"/>
    </row>
    <row r="55" spans="1:21" s="49" customFormat="1" ht="18" customHeight="1" x14ac:dyDescent="0.25">
      <c r="A55" s="61"/>
      <c r="B55" s="62"/>
      <c r="C55" s="62"/>
      <c r="D55" s="74" t="s">
        <v>165</v>
      </c>
      <c r="E55" s="62" t="s">
        <v>167</v>
      </c>
      <c r="F55" s="63">
        <v>401878814</v>
      </c>
      <c r="G55" s="75"/>
      <c r="H55" s="75"/>
      <c r="I55" s="75">
        <f t="shared" si="26"/>
        <v>0</v>
      </c>
      <c r="J55" s="75"/>
      <c r="K55" s="75"/>
      <c r="L55" s="75">
        <f t="shared" si="22"/>
        <v>0</v>
      </c>
      <c r="M55" s="75">
        <f t="shared" si="23"/>
        <v>0</v>
      </c>
      <c r="N55" s="63">
        <f>+F55-M55</f>
        <v>401878814</v>
      </c>
      <c r="P55" s="192"/>
      <c r="S55" s="205"/>
      <c r="T55" s="240">
        <v>23948746</v>
      </c>
      <c r="U55" s="242"/>
    </row>
    <row r="56" spans="1:21" s="49" customFormat="1" ht="18" customHeight="1" x14ac:dyDescent="0.25">
      <c r="A56" s="56"/>
      <c r="B56" s="57"/>
      <c r="C56" s="57"/>
      <c r="D56" s="73" t="s">
        <v>168</v>
      </c>
      <c r="E56" s="57" t="s">
        <v>170</v>
      </c>
      <c r="F56" s="58">
        <f>+F57</f>
        <v>290052000</v>
      </c>
      <c r="G56" s="59">
        <f>+G57</f>
        <v>0</v>
      </c>
      <c r="H56" s="59">
        <f>+H57</f>
        <v>0</v>
      </c>
      <c r="I56" s="59">
        <f t="shared" si="26"/>
        <v>0</v>
      </c>
      <c r="J56" s="59"/>
      <c r="K56" s="59">
        <f>+K57</f>
        <v>0</v>
      </c>
      <c r="L56" s="59">
        <f t="shared" si="22"/>
        <v>0</v>
      </c>
      <c r="M56" s="59">
        <f t="shared" si="23"/>
        <v>0</v>
      </c>
      <c r="N56" s="58">
        <f t="shared" ref="N56:N58" si="27">+F56-M56</f>
        <v>290052000</v>
      </c>
      <c r="P56" s="192"/>
      <c r="S56" s="205"/>
      <c r="T56" s="240"/>
      <c r="U56" s="242"/>
    </row>
    <row r="57" spans="1:21" s="49" customFormat="1" ht="18" customHeight="1" x14ac:dyDescent="0.25">
      <c r="A57" s="61"/>
      <c r="B57" s="62"/>
      <c r="C57" s="62"/>
      <c r="D57" s="74" t="s">
        <v>169</v>
      </c>
      <c r="E57" s="62" t="s">
        <v>171</v>
      </c>
      <c r="F57" s="63">
        <v>290052000</v>
      </c>
      <c r="G57" s="75"/>
      <c r="H57" s="75"/>
      <c r="I57" s="75">
        <f t="shared" si="26"/>
        <v>0</v>
      </c>
      <c r="J57" s="75"/>
      <c r="K57" s="75"/>
      <c r="L57" s="75">
        <f t="shared" si="22"/>
        <v>0</v>
      </c>
      <c r="M57" s="75">
        <f t="shared" si="23"/>
        <v>0</v>
      </c>
      <c r="N57" s="63">
        <f t="shared" si="27"/>
        <v>290052000</v>
      </c>
      <c r="P57" s="192"/>
      <c r="S57" s="205"/>
      <c r="T57" s="240">
        <v>17805000</v>
      </c>
      <c r="U57" s="242"/>
    </row>
    <row r="58" spans="1:21" s="49" customFormat="1" ht="18" customHeight="1" x14ac:dyDescent="0.25">
      <c r="A58" s="56"/>
      <c r="B58" s="57"/>
      <c r="C58" s="57"/>
      <c r="D58" s="73" t="s">
        <v>172</v>
      </c>
      <c r="E58" s="57" t="s">
        <v>174</v>
      </c>
      <c r="F58" s="58">
        <f>+F59</f>
        <v>62496000</v>
      </c>
      <c r="G58" s="59">
        <f>+G59</f>
        <v>0</v>
      </c>
      <c r="H58" s="59">
        <f>+H59</f>
        <v>0</v>
      </c>
      <c r="I58" s="59">
        <f t="shared" si="26"/>
        <v>0</v>
      </c>
      <c r="J58" s="59"/>
      <c r="K58" s="59">
        <f>+K59</f>
        <v>0</v>
      </c>
      <c r="L58" s="59">
        <f t="shared" si="22"/>
        <v>0</v>
      </c>
      <c r="M58" s="59">
        <f t="shared" si="23"/>
        <v>0</v>
      </c>
      <c r="N58" s="58">
        <f t="shared" si="27"/>
        <v>62496000</v>
      </c>
      <c r="P58" s="192"/>
      <c r="S58" s="205"/>
      <c r="T58" s="240"/>
      <c r="U58" s="242"/>
    </row>
    <row r="59" spans="1:21" s="49" customFormat="1" ht="18" customHeight="1" x14ac:dyDescent="0.25">
      <c r="A59" s="61"/>
      <c r="B59" s="62"/>
      <c r="C59" s="62"/>
      <c r="D59" s="74" t="s">
        <v>173</v>
      </c>
      <c r="E59" s="62" t="s">
        <v>175</v>
      </c>
      <c r="F59" s="63">
        <v>62496000</v>
      </c>
      <c r="G59" s="75"/>
      <c r="H59" s="75"/>
      <c r="I59" s="75">
        <f t="shared" si="26"/>
        <v>0</v>
      </c>
      <c r="J59" s="75"/>
      <c r="K59" s="75"/>
      <c r="L59" s="75">
        <f t="shared" si="22"/>
        <v>0</v>
      </c>
      <c r="M59" s="75">
        <f t="shared" si="23"/>
        <v>0</v>
      </c>
      <c r="N59" s="63">
        <f>+F59-M59</f>
        <v>62496000</v>
      </c>
      <c r="P59" s="192"/>
      <c r="S59" s="205"/>
      <c r="T59" s="240">
        <v>960000</v>
      </c>
      <c r="U59" s="242"/>
    </row>
    <row r="60" spans="1:21" s="49" customFormat="1" ht="18" customHeight="1" x14ac:dyDescent="0.25">
      <c r="A60" s="56"/>
      <c r="B60" s="57"/>
      <c r="C60" s="57"/>
      <c r="D60" s="73" t="s">
        <v>176</v>
      </c>
      <c r="E60" s="57" t="s">
        <v>178</v>
      </c>
      <c r="F60" s="58">
        <f>+F61</f>
        <v>126672000</v>
      </c>
      <c r="G60" s="59">
        <f>+G61</f>
        <v>0</v>
      </c>
      <c r="H60" s="59">
        <f>+H61</f>
        <v>0</v>
      </c>
      <c r="I60" s="59">
        <f t="shared" si="26"/>
        <v>0</v>
      </c>
      <c r="J60" s="59"/>
      <c r="K60" s="59">
        <f>+K61</f>
        <v>0</v>
      </c>
      <c r="L60" s="59">
        <f t="shared" si="22"/>
        <v>0</v>
      </c>
      <c r="M60" s="59">
        <f t="shared" si="23"/>
        <v>0</v>
      </c>
      <c r="N60" s="58">
        <f t="shared" ref="N60:N72" si="28">+F60-M60</f>
        <v>126672000</v>
      </c>
      <c r="P60" s="192"/>
      <c r="S60" s="205"/>
      <c r="T60" s="240"/>
      <c r="U60" s="242"/>
    </row>
    <row r="61" spans="1:21" s="49" customFormat="1" ht="18" customHeight="1" x14ac:dyDescent="0.25">
      <c r="A61" s="61"/>
      <c r="B61" s="62"/>
      <c r="C61" s="62"/>
      <c r="D61" s="74" t="s">
        <v>177</v>
      </c>
      <c r="E61" s="62" t="s">
        <v>179</v>
      </c>
      <c r="F61" s="63">
        <v>126672000</v>
      </c>
      <c r="G61" s="75"/>
      <c r="H61" s="75"/>
      <c r="I61" s="75">
        <f t="shared" si="26"/>
        <v>0</v>
      </c>
      <c r="J61" s="75"/>
      <c r="K61" s="75"/>
      <c r="L61" s="75">
        <f t="shared" si="22"/>
        <v>0</v>
      </c>
      <c r="M61" s="75">
        <f t="shared" si="23"/>
        <v>0</v>
      </c>
      <c r="N61" s="63">
        <f t="shared" si="28"/>
        <v>126672000</v>
      </c>
      <c r="P61" s="192"/>
      <c r="S61" s="205"/>
      <c r="T61" s="240">
        <v>7545000</v>
      </c>
      <c r="U61" s="242"/>
    </row>
    <row r="62" spans="1:21" s="49" customFormat="1" ht="18" customHeight="1" x14ac:dyDescent="0.25">
      <c r="A62" s="56"/>
      <c r="B62" s="57"/>
      <c r="C62" s="57"/>
      <c r="D62" s="73" t="s">
        <v>180</v>
      </c>
      <c r="E62" s="57" t="s">
        <v>182</v>
      </c>
      <c r="F62" s="58">
        <f>+F63</f>
        <v>237247920</v>
      </c>
      <c r="G62" s="59">
        <f>+G63</f>
        <v>0</v>
      </c>
      <c r="H62" s="59">
        <f>+H63</f>
        <v>0</v>
      </c>
      <c r="I62" s="59">
        <f t="shared" si="26"/>
        <v>0</v>
      </c>
      <c r="J62" s="59"/>
      <c r="K62" s="59">
        <f>+K63</f>
        <v>0</v>
      </c>
      <c r="L62" s="59">
        <f t="shared" si="22"/>
        <v>0</v>
      </c>
      <c r="M62" s="59">
        <f t="shared" si="23"/>
        <v>0</v>
      </c>
      <c r="N62" s="58">
        <f t="shared" si="28"/>
        <v>237247920</v>
      </c>
      <c r="P62" s="192"/>
      <c r="S62" s="205"/>
      <c r="T62" s="240"/>
      <c r="U62" s="242"/>
    </row>
    <row r="63" spans="1:21" s="49" customFormat="1" ht="18" customHeight="1" x14ac:dyDescent="0.25">
      <c r="A63" s="61"/>
      <c r="B63" s="62"/>
      <c r="C63" s="62"/>
      <c r="D63" s="74" t="s">
        <v>181</v>
      </c>
      <c r="E63" s="62" t="s">
        <v>183</v>
      </c>
      <c r="F63" s="63">
        <v>237247920</v>
      </c>
      <c r="G63" s="75"/>
      <c r="H63" s="75"/>
      <c r="I63" s="75">
        <f t="shared" si="26"/>
        <v>0</v>
      </c>
      <c r="J63" s="75"/>
      <c r="K63" s="75"/>
      <c r="L63" s="75">
        <f t="shared" si="22"/>
        <v>0</v>
      </c>
      <c r="M63" s="75">
        <f t="shared" si="23"/>
        <v>0</v>
      </c>
      <c r="N63" s="63">
        <f t="shared" si="28"/>
        <v>237247920</v>
      </c>
      <c r="P63" s="192"/>
      <c r="S63" s="205"/>
      <c r="T63" s="240">
        <v>14194320</v>
      </c>
      <c r="U63" s="242"/>
    </row>
    <row r="64" spans="1:21" s="49" customFormat="1" ht="18" customHeight="1" x14ac:dyDescent="0.25">
      <c r="A64" s="56"/>
      <c r="B64" s="57"/>
      <c r="C64" s="57"/>
      <c r="D64" s="73" t="s">
        <v>184</v>
      </c>
      <c r="E64" s="57" t="s">
        <v>186</v>
      </c>
      <c r="F64" s="58">
        <f>+F65</f>
        <v>202631050</v>
      </c>
      <c r="G64" s="59">
        <f>+G65</f>
        <v>0</v>
      </c>
      <c r="H64" s="59">
        <f>+H65</f>
        <v>0</v>
      </c>
      <c r="I64" s="59">
        <f t="shared" si="26"/>
        <v>0</v>
      </c>
      <c r="J64" s="59"/>
      <c r="K64" s="59">
        <f>+K65</f>
        <v>0</v>
      </c>
      <c r="L64" s="59">
        <f t="shared" si="22"/>
        <v>0</v>
      </c>
      <c r="M64" s="59">
        <f t="shared" si="23"/>
        <v>0</v>
      </c>
      <c r="N64" s="58">
        <f t="shared" si="28"/>
        <v>202631050</v>
      </c>
      <c r="P64" s="192"/>
      <c r="S64" s="205"/>
      <c r="T64" s="240"/>
      <c r="U64" s="242"/>
    </row>
    <row r="65" spans="1:21" s="49" customFormat="1" ht="18" customHeight="1" x14ac:dyDescent="0.25">
      <c r="A65" s="61"/>
      <c r="B65" s="62"/>
      <c r="C65" s="62"/>
      <c r="D65" s="74" t="s">
        <v>185</v>
      </c>
      <c r="E65" s="62" t="s">
        <v>187</v>
      </c>
      <c r="F65" s="63">
        <v>202631050</v>
      </c>
      <c r="G65" s="75"/>
      <c r="H65" s="75"/>
      <c r="I65" s="75">
        <f t="shared" si="26"/>
        <v>0</v>
      </c>
      <c r="J65" s="75"/>
      <c r="K65" s="75"/>
      <c r="L65" s="75">
        <f t="shared" si="22"/>
        <v>0</v>
      </c>
      <c r="M65" s="75">
        <f t="shared" si="23"/>
        <v>0</v>
      </c>
      <c r="N65" s="63">
        <f t="shared" si="28"/>
        <v>202631050</v>
      </c>
      <c r="P65" s="192"/>
      <c r="S65" s="205"/>
      <c r="T65" s="240">
        <v>265918</v>
      </c>
      <c r="U65" s="242"/>
    </row>
    <row r="66" spans="1:21" s="49" customFormat="1" ht="18" customHeight="1" x14ac:dyDescent="0.25">
      <c r="A66" s="56"/>
      <c r="B66" s="57"/>
      <c r="C66" s="57"/>
      <c r="D66" s="73" t="s">
        <v>188</v>
      </c>
      <c r="E66" s="57" t="s">
        <v>190</v>
      </c>
      <c r="F66" s="58">
        <f t="shared" ref="F66" si="29">+F67</f>
        <v>51845</v>
      </c>
      <c r="G66" s="59">
        <f>+G67</f>
        <v>0</v>
      </c>
      <c r="H66" s="59">
        <f>+H67</f>
        <v>0</v>
      </c>
      <c r="I66" s="59">
        <f t="shared" si="26"/>
        <v>0</v>
      </c>
      <c r="J66" s="59"/>
      <c r="K66" s="59">
        <f>+K67</f>
        <v>0</v>
      </c>
      <c r="L66" s="59">
        <f t="shared" si="22"/>
        <v>0</v>
      </c>
      <c r="M66" s="59">
        <f t="shared" si="23"/>
        <v>0</v>
      </c>
      <c r="N66" s="58">
        <f t="shared" si="28"/>
        <v>51845</v>
      </c>
      <c r="P66" s="192"/>
      <c r="S66" s="205"/>
      <c r="T66" s="240"/>
      <c r="U66" s="242"/>
    </row>
    <row r="67" spans="1:21" s="49" customFormat="1" ht="18" customHeight="1" x14ac:dyDescent="0.25">
      <c r="A67" s="61"/>
      <c r="B67" s="62"/>
      <c r="C67" s="62"/>
      <c r="D67" s="74" t="s">
        <v>189</v>
      </c>
      <c r="E67" s="62" t="s">
        <v>329</v>
      </c>
      <c r="F67" s="63">
        <v>51845</v>
      </c>
      <c r="G67" s="75"/>
      <c r="H67" s="75"/>
      <c r="I67" s="75">
        <f t="shared" si="26"/>
        <v>0</v>
      </c>
      <c r="J67" s="75"/>
      <c r="K67" s="75"/>
      <c r="L67" s="75">
        <f t="shared" si="22"/>
        <v>0</v>
      </c>
      <c r="M67" s="75">
        <f t="shared" si="23"/>
        <v>0</v>
      </c>
      <c r="N67" s="63">
        <f t="shared" si="28"/>
        <v>51845</v>
      </c>
      <c r="P67" s="192"/>
      <c r="S67" s="205"/>
      <c r="T67" s="240">
        <v>3187</v>
      </c>
      <c r="U67" s="242"/>
    </row>
    <row r="68" spans="1:21" s="49" customFormat="1" ht="18" customHeight="1" x14ac:dyDescent="0.25">
      <c r="A68" s="56"/>
      <c r="B68" s="57"/>
      <c r="C68" s="57"/>
      <c r="D68" s="73" t="s">
        <v>191</v>
      </c>
      <c r="E68" s="57" t="s">
        <v>193</v>
      </c>
      <c r="F68" s="58">
        <f t="shared" ref="F68" si="30">+F69</f>
        <v>190139023</v>
      </c>
      <c r="G68" s="59">
        <f>+G69</f>
        <v>0</v>
      </c>
      <c r="H68" s="59">
        <f>+H69</f>
        <v>0</v>
      </c>
      <c r="I68" s="59">
        <f t="shared" si="26"/>
        <v>0</v>
      </c>
      <c r="J68" s="59"/>
      <c r="K68" s="59">
        <f>+K69</f>
        <v>0</v>
      </c>
      <c r="L68" s="59">
        <f t="shared" si="22"/>
        <v>0</v>
      </c>
      <c r="M68" s="59">
        <f t="shared" si="23"/>
        <v>0</v>
      </c>
      <c r="N68" s="58">
        <f t="shared" si="28"/>
        <v>190139023</v>
      </c>
      <c r="P68" s="192"/>
      <c r="S68" s="205"/>
      <c r="T68" s="240"/>
      <c r="U68" s="242"/>
    </row>
    <row r="69" spans="1:21" s="49" customFormat="1" ht="18" customHeight="1" x14ac:dyDescent="0.25">
      <c r="A69" s="61"/>
      <c r="B69" s="62"/>
      <c r="C69" s="62"/>
      <c r="D69" s="74" t="s">
        <v>192</v>
      </c>
      <c r="E69" s="62" t="s">
        <v>194</v>
      </c>
      <c r="F69" s="63">
        <v>190139023</v>
      </c>
      <c r="G69" s="75"/>
      <c r="H69" s="75"/>
      <c r="I69" s="75">
        <f t="shared" si="26"/>
        <v>0</v>
      </c>
      <c r="J69" s="75"/>
      <c r="K69" s="75"/>
      <c r="L69" s="75">
        <f t="shared" si="22"/>
        <v>0</v>
      </c>
      <c r="M69" s="75">
        <f t="shared" si="23"/>
        <v>0</v>
      </c>
      <c r="N69" s="63">
        <f t="shared" si="28"/>
        <v>190139023</v>
      </c>
      <c r="P69" s="192"/>
      <c r="S69" s="205"/>
      <c r="T69" s="240">
        <v>11499759</v>
      </c>
      <c r="U69" s="242"/>
    </row>
    <row r="70" spans="1:21" s="49" customFormat="1" ht="18" customHeight="1" x14ac:dyDescent="0.25">
      <c r="A70" s="56"/>
      <c r="B70" s="57"/>
      <c r="C70" s="57"/>
      <c r="D70" s="73" t="s">
        <v>195</v>
      </c>
      <c r="E70" s="57" t="s">
        <v>197</v>
      </c>
      <c r="F70" s="58">
        <f t="shared" ref="F70" si="31">+F71</f>
        <v>9404942</v>
      </c>
      <c r="G70" s="59">
        <f>+G71</f>
        <v>0</v>
      </c>
      <c r="H70" s="59">
        <f>+H71</f>
        <v>0</v>
      </c>
      <c r="I70" s="59">
        <f t="shared" si="26"/>
        <v>0</v>
      </c>
      <c r="J70" s="59"/>
      <c r="K70" s="59">
        <f>+K71</f>
        <v>0</v>
      </c>
      <c r="L70" s="59">
        <f t="shared" si="22"/>
        <v>0</v>
      </c>
      <c r="M70" s="59">
        <f t="shared" si="23"/>
        <v>0</v>
      </c>
      <c r="N70" s="58">
        <f t="shared" si="28"/>
        <v>9404942</v>
      </c>
      <c r="P70" s="192"/>
      <c r="S70" s="205"/>
      <c r="T70" s="240"/>
      <c r="U70" s="242"/>
    </row>
    <row r="71" spans="1:21" s="49" customFormat="1" ht="18" customHeight="1" x14ac:dyDescent="0.25">
      <c r="A71" s="61"/>
      <c r="B71" s="62"/>
      <c r="C71" s="62"/>
      <c r="D71" s="74" t="s">
        <v>196</v>
      </c>
      <c r="E71" s="62" t="s">
        <v>198</v>
      </c>
      <c r="F71" s="63">
        <v>9404942</v>
      </c>
      <c r="G71" s="75"/>
      <c r="H71" s="75"/>
      <c r="I71" s="75">
        <f t="shared" si="26"/>
        <v>0</v>
      </c>
      <c r="J71" s="75"/>
      <c r="K71" s="75"/>
      <c r="L71" s="75">
        <f t="shared" si="22"/>
        <v>0</v>
      </c>
      <c r="M71" s="75">
        <f t="shared" si="23"/>
        <v>0</v>
      </c>
      <c r="N71" s="63">
        <f t="shared" si="28"/>
        <v>9404942</v>
      </c>
      <c r="P71" s="192"/>
      <c r="S71" s="205"/>
      <c r="T71" s="240">
        <v>569362</v>
      </c>
      <c r="U71" s="242"/>
    </row>
    <row r="72" spans="1:21" s="49" customFormat="1" ht="18" customHeight="1" x14ac:dyDescent="0.25">
      <c r="A72" s="56"/>
      <c r="B72" s="57"/>
      <c r="C72" s="57"/>
      <c r="D72" s="73" t="s">
        <v>199</v>
      </c>
      <c r="E72" s="57" t="s">
        <v>201</v>
      </c>
      <c r="F72" s="58">
        <f>+F73</f>
        <v>28215046</v>
      </c>
      <c r="G72" s="59">
        <f>+G73</f>
        <v>0</v>
      </c>
      <c r="H72" s="59">
        <f>+H73</f>
        <v>0</v>
      </c>
      <c r="I72" s="59">
        <f t="shared" si="26"/>
        <v>0</v>
      </c>
      <c r="J72" s="59"/>
      <c r="K72" s="59">
        <f>+K73</f>
        <v>0</v>
      </c>
      <c r="L72" s="59">
        <f t="shared" si="22"/>
        <v>0</v>
      </c>
      <c r="M72" s="59">
        <f t="shared" si="23"/>
        <v>0</v>
      </c>
      <c r="N72" s="58">
        <f t="shared" si="28"/>
        <v>28215046</v>
      </c>
      <c r="P72" s="192"/>
      <c r="S72" s="205"/>
      <c r="T72" s="240"/>
      <c r="U72" s="242"/>
    </row>
    <row r="73" spans="1:21" s="49" customFormat="1" ht="18" customHeight="1" x14ac:dyDescent="0.25">
      <c r="A73" s="61"/>
      <c r="B73" s="62"/>
      <c r="C73" s="62"/>
      <c r="D73" s="74" t="s">
        <v>200</v>
      </c>
      <c r="E73" s="62" t="s">
        <v>202</v>
      </c>
      <c r="F73" s="63">
        <v>28215046</v>
      </c>
      <c r="G73" s="75"/>
      <c r="H73" s="75"/>
      <c r="I73" s="75">
        <f t="shared" si="26"/>
        <v>0</v>
      </c>
      <c r="J73" s="75"/>
      <c r="K73" s="75"/>
      <c r="L73" s="75">
        <f t="shared" si="22"/>
        <v>0</v>
      </c>
      <c r="M73" s="75">
        <f>+I73+L73</f>
        <v>0</v>
      </c>
      <c r="N73" s="63">
        <f>+F73-M73</f>
        <v>28215046</v>
      </c>
      <c r="P73" s="192"/>
      <c r="S73" s="205"/>
      <c r="T73" s="240">
        <v>1708098</v>
      </c>
      <c r="U73" s="242"/>
    </row>
    <row r="74" spans="1:21" s="49" customFormat="1" ht="18" customHeight="1" x14ac:dyDescent="0.25">
      <c r="A74" s="56"/>
      <c r="B74" s="57"/>
      <c r="C74" s="57"/>
      <c r="D74" s="73" t="s">
        <v>203</v>
      </c>
      <c r="E74" s="57" t="s">
        <v>205</v>
      </c>
      <c r="F74" s="58">
        <f>+F75</f>
        <v>23975938</v>
      </c>
      <c r="G74" s="59">
        <f>G75</f>
        <v>0</v>
      </c>
      <c r="H74" s="59">
        <f>+H75</f>
        <v>0</v>
      </c>
      <c r="I74" s="59">
        <f>+I75</f>
        <v>0</v>
      </c>
      <c r="J74" s="59"/>
      <c r="K74" s="59">
        <f>+K75</f>
        <v>0</v>
      </c>
      <c r="L74" s="59">
        <f t="shared" si="22"/>
        <v>0</v>
      </c>
      <c r="M74" s="59">
        <f t="shared" ref="M74:M101" si="32">+I74+L74</f>
        <v>0</v>
      </c>
      <c r="N74" s="58">
        <f t="shared" ref="N74:N84" si="33">+F74-M74</f>
        <v>23975938</v>
      </c>
      <c r="P74" s="192"/>
      <c r="S74" s="205"/>
      <c r="T74" s="205"/>
      <c r="U74" s="242"/>
    </row>
    <row r="75" spans="1:21" s="49" customFormat="1" ht="18" customHeight="1" x14ac:dyDescent="0.25">
      <c r="A75" s="61"/>
      <c r="B75" s="62"/>
      <c r="C75" s="62"/>
      <c r="D75" s="74" t="s">
        <v>204</v>
      </c>
      <c r="E75" s="62" t="s">
        <v>206</v>
      </c>
      <c r="F75" s="63">
        <v>23975938</v>
      </c>
      <c r="G75" s="75"/>
      <c r="H75" s="75"/>
      <c r="I75" s="75">
        <f t="shared" ref="I75:I100" si="34">+G75+H75</f>
        <v>0</v>
      </c>
      <c r="J75" s="75"/>
      <c r="K75" s="75"/>
      <c r="L75" s="75">
        <f t="shared" si="22"/>
        <v>0</v>
      </c>
      <c r="M75" s="75">
        <f t="shared" si="32"/>
        <v>0</v>
      </c>
      <c r="N75" s="63">
        <f t="shared" si="33"/>
        <v>23975938</v>
      </c>
      <c r="P75" s="192"/>
      <c r="S75" s="205"/>
      <c r="T75" s="205"/>
      <c r="U75" s="242"/>
    </row>
    <row r="76" spans="1:21" s="55" customFormat="1" ht="18" customHeight="1" x14ac:dyDescent="0.25">
      <c r="A76" s="50"/>
      <c r="B76" s="51"/>
      <c r="C76" s="51"/>
      <c r="D76" s="71" t="s">
        <v>210</v>
      </c>
      <c r="E76" s="51" t="s">
        <v>211</v>
      </c>
      <c r="F76" s="53">
        <f>+F77+F79+F81</f>
        <v>2044369640</v>
      </c>
      <c r="G76" s="72">
        <f>+G77+G79</f>
        <v>0</v>
      </c>
      <c r="H76" s="72">
        <f>+H77+H79</f>
        <v>0</v>
      </c>
      <c r="I76" s="72">
        <f>+G76+H76</f>
        <v>0</v>
      </c>
      <c r="J76" s="72"/>
      <c r="K76" s="72">
        <f>+K77</f>
        <v>0</v>
      </c>
      <c r="L76" s="72">
        <f t="shared" si="22"/>
        <v>0</v>
      </c>
      <c r="M76" s="72">
        <f t="shared" si="32"/>
        <v>0</v>
      </c>
      <c r="N76" s="53">
        <f t="shared" si="33"/>
        <v>2044369640</v>
      </c>
      <c r="P76" s="195"/>
      <c r="S76" s="206"/>
      <c r="T76" s="206"/>
      <c r="U76" s="243"/>
    </row>
    <row r="77" spans="1:21" s="49" customFormat="1" ht="18" customHeight="1" x14ac:dyDescent="0.25">
      <c r="A77" s="56"/>
      <c r="B77" s="57"/>
      <c r="C77" s="57"/>
      <c r="D77" s="73" t="s">
        <v>212</v>
      </c>
      <c r="E77" s="57" t="s">
        <v>214</v>
      </c>
      <c r="F77" s="58">
        <f>+F78</f>
        <v>180000000</v>
      </c>
      <c r="G77" s="59">
        <f>+G78</f>
        <v>0</v>
      </c>
      <c r="H77" s="59">
        <f t="shared" ref="G77:H81" si="35">+H78</f>
        <v>0</v>
      </c>
      <c r="I77" s="59">
        <f t="shared" si="34"/>
        <v>0</v>
      </c>
      <c r="J77" s="59"/>
      <c r="K77" s="59">
        <f>+K78</f>
        <v>0</v>
      </c>
      <c r="L77" s="59">
        <f t="shared" si="22"/>
        <v>0</v>
      </c>
      <c r="M77" s="59">
        <f t="shared" si="32"/>
        <v>0</v>
      </c>
      <c r="N77" s="58">
        <f t="shared" si="33"/>
        <v>180000000</v>
      </c>
      <c r="P77" s="192"/>
      <c r="S77" s="205"/>
      <c r="T77" s="205"/>
      <c r="U77" s="242"/>
    </row>
    <row r="78" spans="1:21" s="49" customFormat="1" ht="18" customHeight="1" x14ac:dyDescent="0.25">
      <c r="A78" s="61"/>
      <c r="B78" s="62"/>
      <c r="C78" s="62"/>
      <c r="D78" s="74" t="s">
        <v>213</v>
      </c>
      <c r="E78" s="62" t="s">
        <v>215</v>
      </c>
      <c r="F78" s="63">
        <v>180000000</v>
      </c>
      <c r="G78" s="75"/>
      <c r="H78" s="75"/>
      <c r="I78" s="75">
        <f t="shared" si="34"/>
        <v>0</v>
      </c>
      <c r="J78" s="75"/>
      <c r="K78" s="75"/>
      <c r="L78" s="75">
        <f t="shared" si="22"/>
        <v>0</v>
      </c>
      <c r="M78" s="75">
        <f t="shared" si="32"/>
        <v>0</v>
      </c>
      <c r="N78" s="63">
        <f t="shared" si="33"/>
        <v>180000000</v>
      </c>
      <c r="P78" s="192"/>
      <c r="S78" s="205"/>
      <c r="T78" s="228">
        <v>181789686</v>
      </c>
      <c r="U78" s="242"/>
    </row>
    <row r="79" spans="1:21" s="49" customFormat="1" ht="18" customHeight="1" x14ac:dyDescent="0.25">
      <c r="A79" s="56"/>
      <c r="B79" s="57"/>
      <c r="C79" s="57"/>
      <c r="D79" s="73" t="s">
        <v>431</v>
      </c>
      <c r="E79" s="57" t="s">
        <v>432</v>
      </c>
      <c r="F79" s="58">
        <f>+F80</f>
        <v>123544200</v>
      </c>
      <c r="G79" s="59">
        <f t="shared" si="35"/>
        <v>0</v>
      </c>
      <c r="H79" s="59">
        <f t="shared" si="35"/>
        <v>0</v>
      </c>
      <c r="I79" s="59">
        <f>+G79+H79</f>
        <v>0</v>
      </c>
      <c r="J79" s="59"/>
      <c r="K79" s="59">
        <f>+K80</f>
        <v>0</v>
      </c>
      <c r="L79" s="59">
        <f t="shared" si="22"/>
        <v>0</v>
      </c>
      <c r="M79" s="59">
        <f t="shared" si="32"/>
        <v>0</v>
      </c>
      <c r="N79" s="58">
        <f t="shared" si="33"/>
        <v>123544200</v>
      </c>
      <c r="P79" s="192"/>
      <c r="S79" s="205"/>
      <c r="T79" s="228"/>
      <c r="U79" s="242"/>
    </row>
    <row r="80" spans="1:21" s="49" customFormat="1" ht="18" customHeight="1" x14ac:dyDescent="0.25">
      <c r="A80" s="61"/>
      <c r="B80" s="62"/>
      <c r="C80" s="62"/>
      <c r="D80" s="74" t="s">
        <v>429</v>
      </c>
      <c r="E80" s="62" t="s">
        <v>430</v>
      </c>
      <c r="F80" s="63">
        <v>123544200</v>
      </c>
      <c r="G80" s="75"/>
      <c r="H80" s="75"/>
      <c r="I80" s="75">
        <f>+G80+H80</f>
        <v>0</v>
      </c>
      <c r="J80" s="75"/>
      <c r="K80" s="75"/>
      <c r="L80" s="75"/>
      <c r="M80" s="75">
        <f t="shared" si="32"/>
        <v>0</v>
      </c>
      <c r="N80" s="63">
        <f>+F80-M80</f>
        <v>123544200</v>
      </c>
      <c r="P80" s="192"/>
      <c r="S80" s="205"/>
      <c r="T80" s="228">
        <v>9843850</v>
      </c>
      <c r="U80" s="242"/>
    </row>
    <row r="81" spans="1:21" s="49" customFormat="1" ht="18" customHeight="1" x14ac:dyDescent="0.25">
      <c r="A81" s="56"/>
      <c r="B81" s="57"/>
      <c r="C81" s="57"/>
      <c r="D81" s="73" t="s">
        <v>453</v>
      </c>
      <c r="E81" s="57" t="s">
        <v>456</v>
      </c>
      <c r="F81" s="58">
        <f>+F82</f>
        <v>1740825440</v>
      </c>
      <c r="G81" s="59">
        <f t="shared" si="35"/>
        <v>0</v>
      </c>
      <c r="H81" s="59">
        <f t="shared" si="35"/>
        <v>0</v>
      </c>
      <c r="I81" s="59">
        <f>+G81+H81</f>
        <v>0</v>
      </c>
      <c r="J81" s="59"/>
      <c r="K81" s="59">
        <f>+K82</f>
        <v>0</v>
      </c>
      <c r="L81" s="59">
        <f t="shared" ref="L81" si="36">+J81+K81</f>
        <v>0</v>
      </c>
      <c r="M81" s="59">
        <f t="shared" si="32"/>
        <v>0</v>
      </c>
      <c r="N81" s="58">
        <f t="shared" ref="N81" si="37">+F81-M81</f>
        <v>1740825440</v>
      </c>
      <c r="P81" s="192"/>
      <c r="S81" s="205"/>
      <c r="T81" s="228"/>
      <c r="U81" s="242"/>
    </row>
    <row r="82" spans="1:21" s="49" customFormat="1" ht="18" customHeight="1" x14ac:dyDescent="0.25">
      <c r="A82" s="61"/>
      <c r="B82" s="62"/>
      <c r="C82" s="62"/>
      <c r="D82" s="74" t="s">
        <v>454</v>
      </c>
      <c r="E82" s="62" t="s">
        <v>455</v>
      </c>
      <c r="F82" s="63">
        <v>1740825440</v>
      </c>
      <c r="G82" s="75"/>
      <c r="H82" s="75"/>
      <c r="I82" s="75">
        <f>+G82+H82</f>
        <v>0</v>
      </c>
      <c r="J82" s="75"/>
      <c r="K82" s="75"/>
      <c r="L82" s="75"/>
      <c r="M82" s="75">
        <f t="shared" si="32"/>
        <v>0</v>
      </c>
      <c r="N82" s="63">
        <f>+F82-M82</f>
        <v>1740825440</v>
      </c>
      <c r="P82" s="192"/>
      <c r="S82" s="205"/>
      <c r="T82" s="228">
        <v>9843850</v>
      </c>
      <c r="U82" s="242"/>
    </row>
    <row r="83" spans="1:21" s="55" customFormat="1" ht="18" customHeight="1" x14ac:dyDescent="0.25">
      <c r="A83" s="50"/>
      <c r="B83" s="51"/>
      <c r="C83" s="51"/>
      <c r="D83" s="71" t="s">
        <v>216</v>
      </c>
      <c r="E83" s="51" t="s">
        <v>219</v>
      </c>
      <c r="F83" s="53">
        <f>+F84+F95+F99</f>
        <v>10039198750</v>
      </c>
      <c r="G83" s="72">
        <f>+G84+G95+G99</f>
        <v>0</v>
      </c>
      <c r="H83" s="72">
        <f>+H84+H95+H99</f>
        <v>0</v>
      </c>
      <c r="I83" s="72">
        <f>+G83+H83</f>
        <v>0</v>
      </c>
      <c r="J83" s="72"/>
      <c r="K83" s="72">
        <f>+K84</f>
        <v>0</v>
      </c>
      <c r="L83" s="72">
        <f t="shared" si="22"/>
        <v>0</v>
      </c>
      <c r="M83" s="72">
        <f t="shared" si="32"/>
        <v>0</v>
      </c>
      <c r="N83" s="53">
        <f t="shared" si="33"/>
        <v>10039198750</v>
      </c>
      <c r="P83" s="195"/>
      <c r="S83" s="206"/>
      <c r="T83" s="206"/>
      <c r="U83" s="243"/>
    </row>
    <row r="84" spans="1:21" s="49" customFormat="1" ht="18" customHeight="1" x14ac:dyDescent="0.25">
      <c r="A84" s="56"/>
      <c r="B84" s="57"/>
      <c r="C84" s="57"/>
      <c r="D84" s="73" t="s">
        <v>217</v>
      </c>
      <c r="E84" s="57" t="s">
        <v>220</v>
      </c>
      <c r="F84" s="58">
        <f>SUM(F85:F94)</f>
        <v>8593798750</v>
      </c>
      <c r="G84" s="59">
        <f>SUM(G85:G94)</f>
        <v>0</v>
      </c>
      <c r="H84" s="59">
        <f>SUM(H85:H94)</f>
        <v>0</v>
      </c>
      <c r="I84" s="59">
        <f t="shared" si="34"/>
        <v>0</v>
      </c>
      <c r="J84" s="59"/>
      <c r="K84" s="59">
        <f>+SUM(K85:K94)</f>
        <v>0</v>
      </c>
      <c r="L84" s="59">
        <f t="shared" si="22"/>
        <v>0</v>
      </c>
      <c r="M84" s="59">
        <f t="shared" si="32"/>
        <v>0</v>
      </c>
      <c r="N84" s="58">
        <f t="shared" si="33"/>
        <v>8593798750</v>
      </c>
      <c r="P84" s="192"/>
      <c r="S84" s="205"/>
      <c r="T84" s="205"/>
      <c r="U84" s="242"/>
    </row>
    <row r="85" spans="1:21" s="49" customFormat="1" ht="18" customHeight="1" x14ac:dyDescent="0.25">
      <c r="A85" s="61"/>
      <c r="B85" s="62"/>
      <c r="C85" s="62"/>
      <c r="D85" s="74" t="s">
        <v>218</v>
      </c>
      <c r="E85" s="62" t="s">
        <v>221</v>
      </c>
      <c r="F85" s="63">
        <v>356112500</v>
      </c>
      <c r="G85" s="75"/>
      <c r="H85" s="75"/>
      <c r="I85" s="75">
        <f t="shared" si="34"/>
        <v>0</v>
      </c>
      <c r="J85" s="75"/>
      <c r="K85" s="75"/>
      <c r="L85" s="75">
        <f t="shared" si="22"/>
        <v>0</v>
      </c>
      <c r="M85" s="75">
        <f t="shared" si="32"/>
        <v>0</v>
      </c>
      <c r="N85" s="63">
        <f>+F85-M85</f>
        <v>356112500</v>
      </c>
      <c r="P85" s="192"/>
      <c r="S85" s="205"/>
      <c r="T85" s="228">
        <v>129401006</v>
      </c>
      <c r="U85" s="242"/>
    </row>
    <row r="86" spans="1:21" s="49" customFormat="1" ht="18" customHeight="1" x14ac:dyDescent="0.25">
      <c r="A86" s="61"/>
      <c r="B86" s="62"/>
      <c r="C86" s="62"/>
      <c r="D86" s="74" t="s">
        <v>222</v>
      </c>
      <c r="E86" s="62" t="s">
        <v>223</v>
      </c>
      <c r="F86" s="63">
        <v>413550000</v>
      </c>
      <c r="G86" s="75"/>
      <c r="H86" s="75"/>
      <c r="I86" s="75">
        <f t="shared" si="34"/>
        <v>0</v>
      </c>
      <c r="J86" s="75"/>
      <c r="K86" s="75"/>
      <c r="L86" s="75">
        <f t="shared" si="22"/>
        <v>0</v>
      </c>
      <c r="M86" s="75">
        <f t="shared" si="32"/>
        <v>0</v>
      </c>
      <c r="N86" s="63">
        <f t="shared" ref="N86:N100" si="38">+F86-M86</f>
        <v>413550000</v>
      </c>
      <c r="P86" s="192"/>
      <c r="S86" s="205"/>
      <c r="T86" s="228">
        <v>140492521</v>
      </c>
      <c r="U86" s="242"/>
    </row>
    <row r="87" spans="1:21" s="49" customFormat="1" ht="18" customHeight="1" x14ac:dyDescent="0.25">
      <c r="A87" s="61"/>
      <c r="B87" s="62"/>
      <c r="C87" s="62"/>
      <c r="D87" s="74" t="s">
        <v>224</v>
      </c>
      <c r="E87" s="62" t="s">
        <v>225</v>
      </c>
      <c r="F87" s="63">
        <v>45950000</v>
      </c>
      <c r="G87" s="75"/>
      <c r="H87" s="75"/>
      <c r="I87" s="75">
        <f t="shared" si="34"/>
        <v>0</v>
      </c>
      <c r="J87" s="75"/>
      <c r="K87" s="75"/>
      <c r="L87" s="75">
        <f t="shared" si="22"/>
        <v>0</v>
      </c>
      <c r="M87" s="75">
        <f t="shared" si="32"/>
        <v>0</v>
      </c>
      <c r="N87" s="63">
        <f t="shared" si="38"/>
        <v>45950000</v>
      </c>
      <c r="P87" s="192"/>
      <c r="S87" s="205"/>
      <c r="T87" s="228">
        <v>14788686</v>
      </c>
      <c r="U87" s="242"/>
    </row>
    <row r="88" spans="1:21" s="49" customFormat="1" ht="18" customHeight="1" x14ac:dyDescent="0.25">
      <c r="A88" s="61"/>
      <c r="B88" s="62"/>
      <c r="C88" s="62"/>
      <c r="D88" s="74" t="s">
        <v>226</v>
      </c>
      <c r="E88" s="62" t="s">
        <v>227</v>
      </c>
      <c r="F88" s="63">
        <v>252725000</v>
      </c>
      <c r="G88" s="75"/>
      <c r="H88" s="75"/>
      <c r="I88" s="75">
        <f t="shared" si="34"/>
        <v>0</v>
      </c>
      <c r="J88" s="75"/>
      <c r="K88" s="75"/>
      <c r="L88" s="75">
        <f t="shared" si="22"/>
        <v>0</v>
      </c>
      <c r="M88" s="75">
        <f t="shared" si="32"/>
        <v>0</v>
      </c>
      <c r="N88" s="63">
        <f t="shared" si="38"/>
        <v>252725000</v>
      </c>
      <c r="P88" s="192"/>
      <c r="S88" s="205"/>
      <c r="T88" s="228">
        <v>75422301</v>
      </c>
      <c r="U88" s="242"/>
    </row>
    <row r="89" spans="1:21" s="49" customFormat="1" ht="18" customHeight="1" x14ac:dyDescent="0.25">
      <c r="A89" s="61"/>
      <c r="B89" s="62"/>
      <c r="C89" s="62"/>
      <c r="D89" s="74" t="s">
        <v>228</v>
      </c>
      <c r="E89" s="62" t="s">
        <v>229</v>
      </c>
      <c r="F89" s="63">
        <v>3101625000</v>
      </c>
      <c r="G89" s="75"/>
      <c r="H89" s="75"/>
      <c r="I89" s="75">
        <f t="shared" si="34"/>
        <v>0</v>
      </c>
      <c r="J89" s="75"/>
      <c r="K89" s="75"/>
      <c r="L89" s="75">
        <f t="shared" si="22"/>
        <v>0</v>
      </c>
      <c r="M89" s="75">
        <f t="shared" si="32"/>
        <v>0</v>
      </c>
      <c r="N89" s="63">
        <f t="shared" si="38"/>
        <v>3101625000</v>
      </c>
      <c r="P89" s="192"/>
      <c r="S89" s="205"/>
      <c r="T89" s="228">
        <v>1035208051</v>
      </c>
      <c r="U89" s="242"/>
    </row>
    <row r="90" spans="1:21" s="49" customFormat="1" ht="18" customHeight="1" x14ac:dyDescent="0.25">
      <c r="A90" s="61"/>
      <c r="B90" s="62"/>
      <c r="C90" s="62"/>
      <c r="D90" s="74" t="s">
        <v>230</v>
      </c>
      <c r="E90" s="62" t="s">
        <v>231</v>
      </c>
      <c r="F90" s="63">
        <v>13785000</v>
      </c>
      <c r="G90" s="75"/>
      <c r="H90" s="75"/>
      <c r="I90" s="75">
        <f t="shared" si="34"/>
        <v>0</v>
      </c>
      <c r="J90" s="75"/>
      <c r="K90" s="75"/>
      <c r="L90" s="75">
        <f t="shared" si="22"/>
        <v>0</v>
      </c>
      <c r="M90" s="75">
        <f t="shared" si="32"/>
        <v>0</v>
      </c>
      <c r="N90" s="63">
        <f t="shared" si="38"/>
        <v>13785000</v>
      </c>
      <c r="P90" s="192"/>
      <c r="S90" s="205"/>
      <c r="T90" s="228">
        <v>3697172</v>
      </c>
      <c r="U90" s="242"/>
    </row>
    <row r="91" spans="1:21" s="49" customFormat="1" ht="18" customHeight="1" x14ac:dyDescent="0.25">
      <c r="A91" s="61"/>
      <c r="B91" s="62"/>
      <c r="C91" s="62"/>
      <c r="D91" s="74" t="s">
        <v>232</v>
      </c>
      <c r="E91" s="62" t="s">
        <v>233</v>
      </c>
      <c r="F91" s="63">
        <v>126362500</v>
      </c>
      <c r="G91" s="75"/>
      <c r="H91" s="75"/>
      <c r="I91" s="75">
        <f t="shared" si="34"/>
        <v>0</v>
      </c>
      <c r="J91" s="75"/>
      <c r="K91" s="75"/>
      <c r="L91" s="75">
        <f t="shared" si="22"/>
        <v>0</v>
      </c>
      <c r="M91" s="75">
        <f t="shared" si="32"/>
        <v>0</v>
      </c>
      <c r="N91" s="63">
        <f t="shared" si="38"/>
        <v>126362500</v>
      </c>
      <c r="P91" s="192"/>
      <c r="S91" s="205"/>
      <c r="T91" s="228">
        <v>36971716</v>
      </c>
      <c r="U91" s="242"/>
    </row>
    <row r="92" spans="1:21" s="49" customFormat="1" ht="19.5" customHeight="1" x14ac:dyDescent="0.25">
      <c r="A92" s="171"/>
      <c r="B92" s="162"/>
      <c r="C92" s="162"/>
      <c r="D92" s="267" t="s">
        <v>234</v>
      </c>
      <c r="E92" s="172" t="s">
        <v>235</v>
      </c>
      <c r="F92" s="173">
        <v>2297500</v>
      </c>
      <c r="G92" s="163"/>
      <c r="H92" s="163"/>
      <c r="I92" s="163">
        <f t="shared" si="34"/>
        <v>0</v>
      </c>
      <c r="J92" s="163"/>
      <c r="K92" s="163"/>
      <c r="L92" s="163">
        <f t="shared" si="22"/>
        <v>0</v>
      </c>
      <c r="M92" s="163">
        <f t="shared" si="32"/>
        <v>0</v>
      </c>
      <c r="N92" s="173">
        <f t="shared" si="38"/>
        <v>2297500</v>
      </c>
      <c r="P92" s="192"/>
      <c r="S92" s="205"/>
      <c r="T92" s="228">
        <v>739434</v>
      </c>
      <c r="U92" s="242"/>
    </row>
    <row r="93" spans="1:21" s="49" customFormat="1" ht="30.75" customHeight="1" x14ac:dyDescent="0.25">
      <c r="A93" s="171"/>
      <c r="B93" s="162"/>
      <c r="C93" s="162"/>
      <c r="D93" s="267" t="s">
        <v>236</v>
      </c>
      <c r="E93" s="172" t="s">
        <v>237</v>
      </c>
      <c r="F93" s="173">
        <v>1156791250</v>
      </c>
      <c r="G93" s="163"/>
      <c r="H93" s="163"/>
      <c r="I93" s="163">
        <f t="shared" si="34"/>
        <v>0</v>
      </c>
      <c r="J93" s="163"/>
      <c r="K93" s="163"/>
      <c r="L93" s="163">
        <f t="shared" si="22"/>
        <v>0</v>
      </c>
      <c r="M93" s="163">
        <f t="shared" si="32"/>
        <v>0</v>
      </c>
      <c r="N93" s="173">
        <f t="shared" si="38"/>
        <v>1156791250</v>
      </c>
      <c r="P93" s="192"/>
      <c r="S93" s="205"/>
      <c r="T93" s="228">
        <v>735805964</v>
      </c>
      <c r="U93" s="242"/>
    </row>
    <row r="94" spans="1:21" s="49" customFormat="1" ht="31.5" x14ac:dyDescent="0.25">
      <c r="A94" s="171"/>
      <c r="B94" s="162"/>
      <c r="C94" s="162"/>
      <c r="D94" s="267" t="s">
        <v>238</v>
      </c>
      <c r="E94" s="172" t="s">
        <v>239</v>
      </c>
      <c r="F94" s="173">
        <v>3124600000</v>
      </c>
      <c r="G94" s="163"/>
      <c r="H94" s="163"/>
      <c r="I94" s="163">
        <f t="shared" si="34"/>
        <v>0</v>
      </c>
      <c r="J94" s="163"/>
      <c r="K94" s="163"/>
      <c r="L94" s="163">
        <f t="shared" si="22"/>
        <v>0</v>
      </c>
      <c r="M94" s="163">
        <f t="shared" si="32"/>
        <v>0</v>
      </c>
      <c r="N94" s="173">
        <f t="shared" si="38"/>
        <v>3124600000</v>
      </c>
      <c r="P94" s="192"/>
      <c r="S94" s="205"/>
      <c r="T94" s="228">
        <v>983447649</v>
      </c>
      <c r="U94" s="242"/>
    </row>
    <row r="95" spans="1:21" s="49" customFormat="1" ht="18" customHeight="1" x14ac:dyDescent="0.25">
      <c r="A95" s="56"/>
      <c r="B95" s="57"/>
      <c r="C95" s="57"/>
      <c r="D95" s="73" t="s">
        <v>433</v>
      </c>
      <c r="E95" s="57" t="s">
        <v>434</v>
      </c>
      <c r="F95" s="58">
        <f>+F96+F97+F98</f>
        <v>984100000</v>
      </c>
      <c r="G95" s="59">
        <f>+G96+G97</f>
        <v>0</v>
      </c>
      <c r="H95" s="59">
        <f>+H96+H97</f>
        <v>0</v>
      </c>
      <c r="I95" s="59">
        <f>+G95+H95</f>
        <v>0</v>
      </c>
      <c r="J95" s="59">
        <f>+J96+J97</f>
        <v>0</v>
      </c>
      <c r="K95" s="59">
        <f>+SUM(K101:K110)</f>
        <v>0</v>
      </c>
      <c r="L95" s="59">
        <f>+J95+K95</f>
        <v>0</v>
      </c>
      <c r="M95" s="59">
        <f t="shared" si="32"/>
        <v>0</v>
      </c>
      <c r="N95" s="58">
        <f t="shared" si="38"/>
        <v>984100000</v>
      </c>
      <c r="P95" s="192"/>
      <c r="S95" s="205"/>
      <c r="T95" s="228"/>
      <c r="U95" s="242"/>
    </row>
    <row r="96" spans="1:21" s="49" customFormat="1" ht="18" customHeight="1" x14ac:dyDescent="0.25">
      <c r="A96" s="61"/>
      <c r="B96" s="62"/>
      <c r="C96" s="62"/>
      <c r="D96" s="74" t="s">
        <v>435</v>
      </c>
      <c r="E96" s="62" t="s">
        <v>437</v>
      </c>
      <c r="F96" s="63">
        <v>516750000</v>
      </c>
      <c r="G96" s="75"/>
      <c r="H96" s="75"/>
      <c r="I96" s="75">
        <f t="shared" si="34"/>
        <v>0</v>
      </c>
      <c r="J96" s="75"/>
      <c r="K96" s="75"/>
      <c r="L96" s="75">
        <f t="shared" si="22"/>
        <v>0</v>
      </c>
      <c r="M96" s="75">
        <f t="shared" si="32"/>
        <v>0</v>
      </c>
      <c r="N96" s="63">
        <f t="shared" si="38"/>
        <v>516750000</v>
      </c>
      <c r="P96" s="192"/>
      <c r="S96" s="205"/>
      <c r="T96" s="228">
        <v>40950000</v>
      </c>
      <c r="U96" s="242"/>
    </row>
    <row r="97" spans="1:21" s="49" customFormat="1" ht="18" customHeight="1" x14ac:dyDescent="0.25">
      <c r="A97" s="61"/>
      <c r="B97" s="62"/>
      <c r="C97" s="62"/>
      <c r="D97" s="74" t="s">
        <v>436</v>
      </c>
      <c r="E97" s="62" t="s">
        <v>438</v>
      </c>
      <c r="F97" s="63">
        <v>19500000</v>
      </c>
      <c r="G97" s="75"/>
      <c r="H97" s="75"/>
      <c r="I97" s="75">
        <f t="shared" si="34"/>
        <v>0</v>
      </c>
      <c r="J97" s="75"/>
      <c r="K97" s="75"/>
      <c r="L97" s="75">
        <f t="shared" si="22"/>
        <v>0</v>
      </c>
      <c r="M97" s="75">
        <f t="shared" si="32"/>
        <v>0</v>
      </c>
      <c r="N97" s="63">
        <f t="shared" si="38"/>
        <v>19500000</v>
      </c>
      <c r="P97" s="192"/>
      <c r="S97" s="205"/>
      <c r="T97" s="228">
        <v>1100000</v>
      </c>
      <c r="U97" s="242"/>
    </row>
    <row r="98" spans="1:21" s="49" customFormat="1" ht="18" customHeight="1" x14ac:dyDescent="0.25">
      <c r="A98" s="61"/>
      <c r="B98" s="62"/>
      <c r="C98" s="62"/>
      <c r="D98" s="74" t="s">
        <v>457</v>
      </c>
      <c r="E98" s="62" t="s">
        <v>458</v>
      </c>
      <c r="F98" s="63">
        <v>447850000</v>
      </c>
      <c r="G98" s="75"/>
      <c r="H98" s="75"/>
      <c r="I98" s="75">
        <f t="shared" si="34"/>
        <v>0</v>
      </c>
      <c r="J98" s="75"/>
      <c r="K98" s="75"/>
      <c r="L98" s="75">
        <f t="shared" si="22"/>
        <v>0</v>
      </c>
      <c r="M98" s="75">
        <f t="shared" si="32"/>
        <v>0</v>
      </c>
      <c r="N98" s="63">
        <f t="shared" si="38"/>
        <v>447850000</v>
      </c>
      <c r="P98" s="192"/>
      <c r="S98" s="205"/>
      <c r="T98" s="228">
        <v>1100000</v>
      </c>
      <c r="U98" s="242"/>
    </row>
    <row r="99" spans="1:21" s="49" customFormat="1" ht="18" customHeight="1" x14ac:dyDescent="0.25">
      <c r="A99" s="56"/>
      <c r="B99" s="57"/>
      <c r="C99" s="57"/>
      <c r="D99" s="73" t="s">
        <v>439</v>
      </c>
      <c r="E99" s="57" t="s">
        <v>442</v>
      </c>
      <c r="F99" s="58">
        <f>+F100</f>
        <v>461300000</v>
      </c>
      <c r="G99" s="59">
        <f>+G100</f>
        <v>0</v>
      </c>
      <c r="H99" s="59">
        <f>+H100</f>
        <v>0</v>
      </c>
      <c r="I99" s="59">
        <f t="shared" si="34"/>
        <v>0</v>
      </c>
      <c r="J99" s="59"/>
      <c r="K99" s="59">
        <f>+SUM(K104:K113)</f>
        <v>0</v>
      </c>
      <c r="L99" s="59">
        <f t="shared" si="22"/>
        <v>0</v>
      </c>
      <c r="M99" s="59">
        <f t="shared" si="32"/>
        <v>0</v>
      </c>
      <c r="N99" s="58">
        <f t="shared" si="38"/>
        <v>461300000</v>
      </c>
      <c r="P99" s="192"/>
      <c r="S99" s="205"/>
      <c r="T99" s="205"/>
      <c r="U99" s="242"/>
    </row>
    <row r="100" spans="1:21" s="49" customFormat="1" ht="18" customHeight="1" x14ac:dyDescent="0.25">
      <c r="A100" s="61"/>
      <c r="B100" s="62"/>
      <c r="C100" s="62"/>
      <c r="D100" s="74" t="s">
        <v>440</v>
      </c>
      <c r="E100" s="62" t="s">
        <v>441</v>
      </c>
      <c r="F100" s="63">
        <v>461300000</v>
      </c>
      <c r="G100" s="75"/>
      <c r="H100" s="75"/>
      <c r="I100" s="75">
        <f t="shared" si="34"/>
        <v>0</v>
      </c>
      <c r="J100" s="75"/>
      <c r="K100" s="75"/>
      <c r="L100" s="75">
        <f t="shared" si="22"/>
        <v>0</v>
      </c>
      <c r="M100" s="75">
        <f t="shared" si="32"/>
        <v>0</v>
      </c>
      <c r="N100" s="63">
        <f t="shared" si="38"/>
        <v>461300000</v>
      </c>
      <c r="P100" s="192"/>
      <c r="S100" s="205"/>
      <c r="T100" s="228">
        <v>34250000</v>
      </c>
      <c r="U100" s="242"/>
    </row>
    <row r="101" spans="1:21" s="55" customFormat="1" ht="18" customHeight="1" x14ac:dyDescent="0.25">
      <c r="A101" s="50"/>
      <c r="B101" s="51"/>
      <c r="C101" s="51"/>
      <c r="D101" s="71" t="s">
        <v>240</v>
      </c>
      <c r="E101" s="51" t="s">
        <v>241</v>
      </c>
      <c r="F101" s="53">
        <f>+F102</f>
        <v>757451250</v>
      </c>
      <c r="G101" s="72">
        <f>+G102</f>
        <v>0</v>
      </c>
      <c r="H101" s="72">
        <f>+H102</f>
        <v>0</v>
      </c>
      <c r="I101" s="72">
        <f>+G101+H101</f>
        <v>0</v>
      </c>
      <c r="J101" s="72">
        <f>+J102</f>
        <v>0</v>
      </c>
      <c r="K101" s="72">
        <f>+K102</f>
        <v>0</v>
      </c>
      <c r="L101" s="72">
        <f>+J101+K101</f>
        <v>0</v>
      </c>
      <c r="M101" s="72">
        <f t="shared" si="32"/>
        <v>0</v>
      </c>
      <c r="N101" s="53">
        <f>+F101-M101</f>
        <v>757451250</v>
      </c>
      <c r="P101" s="195"/>
      <c r="S101" s="206"/>
      <c r="T101" s="206"/>
      <c r="U101" s="243"/>
    </row>
    <row r="102" spans="1:21" s="49" customFormat="1" ht="18" customHeight="1" x14ac:dyDescent="0.25">
      <c r="A102" s="56"/>
      <c r="B102" s="57"/>
      <c r="C102" s="57"/>
      <c r="D102" s="73" t="s">
        <v>242</v>
      </c>
      <c r="E102" s="57" t="s">
        <v>409</v>
      </c>
      <c r="F102" s="58">
        <f>SUM(F103:F112)</f>
        <v>757451250</v>
      </c>
      <c r="G102" s="59">
        <f>SUM(G103:G112)</f>
        <v>0</v>
      </c>
      <c r="H102" s="59">
        <f>SUM(H103:H112)</f>
        <v>0</v>
      </c>
      <c r="I102" s="59">
        <f>+G102+H102</f>
        <v>0</v>
      </c>
      <c r="J102" s="59">
        <f>SUM(J103:J112)</f>
        <v>0</v>
      </c>
      <c r="K102" s="59">
        <f>SUM(K103:K112)</f>
        <v>0</v>
      </c>
      <c r="L102" s="59">
        <f>+J102+K102</f>
        <v>0</v>
      </c>
      <c r="M102" s="59">
        <f>+I102+L102</f>
        <v>0</v>
      </c>
      <c r="N102" s="58">
        <f>+F102-M102</f>
        <v>757451250</v>
      </c>
      <c r="P102" s="192"/>
      <c r="S102" s="205"/>
      <c r="T102" s="205"/>
      <c r="U102" s="242"/>
    </row>
    <row r="103" spans="1:21" s="49" customFormat="1" ht="18" customHeight="1" x14ac:dyDescent="0.25">
      <c r="A103" s="61"/>
      <c r="B103" s="62"/>
      <c r="C103" s="62"/>
      <c r="D103" s="74" t="s">
        <v>243</v>
      </c>
      <c r="E103" s="62" t="s">
        <v>331</v>
      </c>
      <c r="F103" s="63">
        <v>31387500</v>
      </c>
      <c r="G103" s="75"/>
      <c r="H103" s="75"/>
      <c r="I103" s="75">
        <f t="shared" ref="I103:I110" si="39">+G103+H103</f>
        <v>0</v>
      </c>
      <c r="J103" s="75"/>
      <c r="K103" s="75"/>
      <c r="L103" s="75">
        <f t="shared" si="22"/>
        <v>0</v>
      </c>
      <c r="M103" s="75">
        <f t="shared" ref="M103:M112" si="40">+I103+L103</f>
        <v>0</v>
      </c>
      <c r="N103" s="63">
        <f t="shared" ref="N103:N108" si="41">+F103-M103</f>
        <v>31387500</v>
      </c>
      <c r="P103" s="192"/>
      <c r="S103" s="205"/>
      <c r="T103" s="228">
        <v>11319472</v>
      </c>
      <c r="U103" s="242"/>
    </row>
    <row r="104" spans="1:21" s="49" customFormat="1" ht="18" customHeight="1" x14ac:dyDescent="0.25">
      <c r="A104" s="61"/>
      <c r="B104" s="62"/>
      <c r="C104" s="62"/>
      <c r="D104" s="74" t="s">
        <v>244</v>
      </c>
      <c r="E104" s="62" t="s">
        <v>245</v>
      </c>
      <c r="F104" s="63">
        <v>36450000</v>
      </c>
      <c r="G104" s="75"/>
      <c r="H104" s="75"/>
      <c r="I104" s="75">
        <f t="shared" si="39"/>
        <v>0</v>
      </c>
      <c r="J104" s="75"/>
      <c r="K104" s="75"/>
      <c r="L104" s="75">
        <f t="shared" si="22"/>
        <v>0</v>
      </c>
      <c r="M104" s="75">
        <f t="shared" si="40"/>
        <v>0</v>
      </c>
      <c r="N104" s="63">
        <f t="shared" si="41"/>
        <v>36450000</v>
      </c>
      <c r="P104" s="192"/>
      <c r="S104" s="205"/>
      <c r="T104" s="228">
        <v>12289712</v>
      </c>
      <c r="U104" s="242"/>
    </row>
    <row r="105" spans="1:21" s="49" customFormat="1" ht="18" customHeight="1" x14ac:dyDescent="0.25">
      <c r="A105" s="61"/>
      <c r="B105" s="62"/>
      <c r="C105" s="62"/>
      <c r="D105" s="74" t="s">
        <v>246</v>
      </c>
      <c r="E105" s="62" t="s">
        <v>247</v>
      </c>
      <c r="F105" s="63">
        <v>4050000</v>
      </c>
      <c r="G105" s="75"/>
      <c r="H105" s="75"/>
      <c r="I105" s="75">
        <f t="shared" si="39"/>
        <v>0</v>
      </c>
      <c r="J105" s="75"/>
      <c r="K105" s="75"/>
      <c r="L105" s="75">
        <f t="shared" si="22"/>
        <v>0</v>
      </c>
      <c r="M105" s="75">
        <f t="shared" si="40"/>
        <v>0</v>
      </c>
      <c r="N105" s="63">
        <f t="shared" si="41"/>
        <v>4050000</v>
      </c>
      <c r="P105" s="192"/>
      <c r="S105" s="205"/>
      <c r="T105" s="228">
        <v>1293654</v>
      </c>
      <c r="U105" s="242"/>
    </row>
    <row r="106" spans="1:21" s="49" customFormat="1" ht="18" customHeight="1" x14ac:dyDescent="0.25">
      <c r="A106" s="61"/>
      <c r="B106" s="62"/>
      <c r="C106" s="62"/>
      <c r="D106" s="74" t="s">
        <v>248</v>
      </c>
      <c r="E106" s="62" t="s">
        <v>249</v>
      </c>
      <c r="F106" s="63">
        <v>22275000</v>
      </c>
      <c r="G106" s="75"/>
      <c r="H106" s="75"/>
      <c r="I106" s="75">
        <f t="shared" si="39"/>
        <v>0</v>
      </c>
      <c r="J106" s="75"/>
      <c r="K106" s="75"/>
      <c r="L106" s="75">
        <f t="shared" si="22"/>
        <v>0</v>
      </c>
      <c r="M106" s="75">
        <f t="shared" si="40"/>
        <v>0</v>
      </c>
      <c r="N106" s="63">
        <f t="shared" si="41"/>
        <v>22275000</v>
      </c>
      <c r="P106" s="192"/>
      <c r="S106" s="205"/>
      <c r="T106" s="228">
        <v>6597635</v>
      </c>
      <c r="U106" s="242"/>
    </row>
    <row r="107" spans="1:21" s="49" customFormat="1" ht="18" customHeight="1" x14ac:dyDescent="0.25">
      <c r="A107" s="61"/>
      <c r="B107" s="62"/>
      <c r="C107" s="62"/>
      <c r="D107" s="74" t="s">
        <v>250</v>
      </c>
      <c r="E107" s="62" t="s">
        <v>251</v>
      </c>
      <c r="F107" s="63">
        <v>273375000</v>
      </c>
      <c r="G107" s="75"/>
      <c r="H107" s="75"/>
      <c r="I107" s="75">
        <f t="shared" si="39"/>
        <v>0</v>
      </c>
      <c r="J107" s="75"/>
      <c r="K107" s="75"/>
      <c r="L107" s="75">
        <f t="shared" si="22"/>
        <v>0</v>
      </c>
      <c r="M107" s="75">
        <f t="shared" si="40"/>
        <v>0</v>
      </c>
      <c r="N107" s="63">
        <f t="shared" si="41"/>
        <v>273375000</v>
      </c>
      <c r="P107" s="192"/>
      <c r="S107" s="205"/>
      <c r="T107" s="228">
        <v>90555775</v>
      </c>
      <c r="U107" s="242"/>
    </row>
    <row r="108" spans="1:21" s="49" customFormat="1" ht="18" customHeight="1" x14ac:dyDescent="0.25">
      <c r="A108" s="61"/>
      <c r="B108" s="62"/>
      <c r="C108" s="62"/>
      <c r="D108" s="74" t="s">
        <v>252</v>
      </c>
      <c r="E108" s="62" t="s">
        <v>253</v>
      </c>
      <c r="F108" s="63">
        <v>1215000</v>
      </c>
      <c r="G108" s="75"/>
      <c r="H108" s="75"/>
      <c r="I108" s="75">
        <f t="shared" si="39"/>
        <v>0</v>
      </c>
      <c r="J108" s="75"/>
      <c r="K108" s="75"/>
      <c r="L108" s="75">
        <f t="shared" si="22"/>
        <v>0</v>
      </c>
      <c r="M108" s="75">
        <f t="shared" si="40"/>
        <v>0</v>
      </c>
      <c r="N108" s="63">
        <f t="shared" si="41"/>
        <v>1215000</v>
      </c>
      <c r="P108" s="192"/>
      <c r="S108" s="205"/>
      <c r="T108" s="228">
        <v>323413</v>
      </c>
      <c r="U108" s="242"/>
    </row>
    <row r="109" spans="1:21" s="49" customFormat="1" ht="18" customHeight="1" x14ac:dyDescent="0.25">
      <c r="A109" s="61"/>
      <c r="B109" s="62"/>
      <c r="C109" s="62"/>
      <c r="D109" s="74" t="s">
        <v>254</v>
      </c>
      <c r="E109" s="62" t="s">
        <v>255</v>
      </c>
      <c r="F109" s="63">
        <v>11137500</v>
      </c>
      <c r="G109" s="75"/>
      <c r="H109" s="75"/>
      <c r="I109" s="75">
        <f t="shared" si="39"/>
        <v>0</v>
      </c>
      <c r="J109" s="75"/>
      <c r="K109" s="75"/>
      <c r="L109" s="75">
        <f t="shared" si="22"/>
        <v>0</v>
      </c>
      <c r="M109" s="75">
        <f t="shared" si="40"/>
        <v>0</v>
      </c>
      <c r="N109" s="63">
        <f>+F109-M109</f>
        <v>11137500</v>
      </c>
      <c r="P109" s="192"/>
      <c r="S109" s="205"/>
      <c r="T109" s="228">
        <v>3234135</v>
      </c>
      <c r="U109" s="242"/>
    </row>
    <row r="110" spans="1:21" s="49" customFormat="1" ht="32.25" customHeight="1" x14ac:dyDescent="0.25">
      <c r="A110" s="171"/>
      <c r="B110" s="162"/>
      <c r="C110" s="162"/>
      <c r="D110" s="267" t="s">
        <v>256</v>
      </c>
      <c r="E110" s="172" t="s">
        <v>257</v>
      </c>
      <c r="F110" s="173">
        <v>202500</v>
      </c>
      <c r="G110" s="163"/>
      <c r="H110" s="163"/>
      <c r="I110" s="163">
        <f t="shared" si="39"/>
        <v>0</v>
      </c>
      <c r="J110" s="163"/>
      <c r="K110" s="163"/>
      <c r="L110" s="163">
        <f t="shared" si="22"/>
        <v>0</v>
      </c>
      <c r="M110" s="163">
        <f t="shared" si="40"/>
        <v>0</v>
      </c>
      <c r="N110" s="173">
        <f>+F110-M110</f>
        <v>202500</v>
      </c>
      <c r="P110" s="192"/>
      <c r="S110" s="205"/>
      <c r="T110" s="228">
        <v>64683</v>
      </c>
      <c r="U110" s="242"/>
    </row>
    <row r="111" spans="1:21" s="49" customFormat="1" ht="31.5" x14ac:dyDescent="0.25">
      <c r="A111" s="171"/>
      <c r="B111" s="162"/>
      <c r="C111" s="162"/>
      <c r="D111" s="267" t="s">
        <v>258</v>
      </c>
      <c r="E111" s="172" t="s">
        <v>259</v>
      </c>
      <c r="F111" s="173">
        <v>101958750</v>
      </c>
      <c r="G111" s="163"/>
      <c r="H111" s="163"/>
      <c r="I111" s="163">
        <f>+G111+H111</f>
        <v>0</v>
      </c>
      <c r="J111" s="163"/>
      <c r="K111" s="163"/>
      <c r="L111" s="163">
        <f t="shared" si="22"/>
        <v>0</v>
      </c>
      <c r="M111" s="163">
        <f t="shared" si="40"/>
        <v>0</v>
      </c>
      <c r="N111" s="173">
        <f>+F111-M111</f>
        <v>101958750</v>
      </c>
      <c r="P111" s="192"/>
      <c r="S111" s="205"/>
      <c r="T111" s="228">
        <v>59194036</v>
      </c>
      <c r="U111" s="242"/>
    </row>
    <row r="112" spans="1:21" s="134" customFormat="1" ht="31.5" x14ac:dyDescent="0.25">
      <c r="A112" s="165"/>
      <c r="B112" s="166"/>
      <c r="C112" s="166"/>
      <c r="D112" s="268" t="s">
        <v>260</v>
      </c>
      <c r="E112" s="167" t="s">
        <v>261</v>
      </c>
      <c r="F112" s="168">
        <v>275400000</v>
      </c>
      <c r="G112" s="169"/>
      <c r="H112" s="169"/>
      <c r="I112" s="169">
        <f t="shared" ref="I112" si="42">+G112+H112</f>
        <v>0</v>
      </c>
      <c r="J112" s="169"/>
      <c r="K112" s="169"/>
      <c r="L112" s="169">
        <f t="shared" si="22"/>
        <v>0</v>
      </c>
      <c r="M112" s="169">
        <f t="shared" si="40"/>
        <v>0</v>
      </c>
      <c r="N112" s="168">
        <f>+F112-M112</f>
        <v>275400000</v>
      </c>
      <c r="P112" s="197"/>
      <c r="S112" s="218"/>
      <c r="T112" s="229">
        <v>86027985</v>
      </c>
      <c r="U112" s="247"/>
    </row>
    <row r="113" spans="1:21" s="121" customFormat="1" ht="18" customHeight="1" x14ac:dyDescent="0.25">
      <c r="A113" s="116">
        <v>4</v>
      </c>
      <c r="B113" s="117"/>
      <c r="C113" s="117" t="s">
        <v>84</v>
      </c>
      <c r="D113" s="118"/>
      <c r="E113" s="128" t="s">
        <v>85</v>
      </c>
      <c r="F113" s="119">
        <f>+F114</f>
        <v>31153000</v>
      </c>
      <c r="G113" s="120">
        <f t="shared" ref="F113:H114" si="43">+G114</f>
        <v>0</v>
      </c>
      <c r="H113" s="120">
        <f t="shared" si="43"/>
        <v>0</v>
      </c>
      <c r="I113" s="120">
        <f>+G113+H113</f>
        <v>0</v>
      </c>
      <c r="J113" s="120">
        <f>+J114</f>
        <v>0</v>
      </c>
      <c r="K113" s="120">
        <f>+K114</f>
        <v>0</v>
      </c>
      <c r="L113" s="120">
        <f>+J113+K113</f>
        <v>0</v>
      </c>
      <c r="M113" s="120">
        <f>+I113+L113</f>
        <v>0</v>
      </c>
      <c r="N113" s="119">
        <f>+F113-M113</f>
        <v>31153000</v>
      </c>
      <c r="P113" s="190"/>
      <c r="R113" s="122"/>
      <c r="S113" s="216"/>
      <c r="T113" s="216"/>
      <c r="U113" s="246"/>
    </row>
    <row r="114" spans="1:21" s="107" customFormat="1" ht="18" customHeight="1" x14ac:dyDescent="0.25">
      <c r="A114" s="101"/>
      <c r="B114" s="102"/>
      <c r="C114" s="102"/>
      <c r="D114" s="103" t="s">
        <v>207</v>
      </c>
      <c r="E114" s="104" t="s">
        <v>262</v>
      </c>
      <c r="F114" s="105">
        <f t="shared" si="43"/>
        <v>31153000</v>
      </c>
      <c r="G114" s="106">
        <f t="shared" si="43"/>
        <v>0</v>
      </c>
      <c r="H114" s="106">
        <f t="shared" si="43"/>
        <v>0</v>
      </c>
      <c r="I114" s="106">
        <f>+G114+H114</f>
        <v>0</v>
      </c>
      <c r="J114" s="106">
        <f t="shared" ref="J114:K116" si="44">+J115</f>
        <v>0</v>
      </c>
      <c r="K114" s="106">
        <f t="shared" si="44"/>
        <v>0</v>
      </c>
      <c r="L114" s="106">
        <f>+J114+K114</f>
        <v>0</v>
      </c>
      <c r="M114" s="106">
        <f t="shared" ref="M114:M120" si="45">+I114+L114</f>
        <v>0</v>
      </c>
      <c r="N114" s="105">
        <f t="shared" ref="N114:N117" si="46">+F114-M114</f>
        <v>31153000</v>
      </c>
      <c r="P114" s="191"/>
      <c r="R114" s="108"/>
      <c r="S114" s="217"/>
      <c r="T114" s="217"/>
      <c r="U114" s="241"/>
    </row>
    <row r="115" spans="1:21" s="49" customFormat="1" ht="18" customHeight="1" x14ac:dyDescent="0.25">
      <c r="A115" s="44"/>
      <c r="B115" s="77"/>
      <c r="C115" s="77"/>
      <c r="D115" s="45" t="s">
        <v>63</v>
      </c>
      <c r="E115" s="45" t="s">
        <v>30</v>
      </c>
      <c r="F115" s="47">
        <f>F116</f>
        <v>31153000</v>
      </c>
      <c r="G115" s="70">
        <f>+G116</f>
        <v>0</v>
      </c>
      <c r="H115" s="70">
        <f>+H116</f>
        <v>0</v>
      </c>
      <c r="I115" s="70">
        <f>+G115+H115</f>
        <v>0</v>
      </c>
      <c r="J115" s="70">
        <f>+J116</f>
        <v>0</v>
      </c>
      <c r="K115" s="70">
        <f t="shared" si="44"/>
        <v>0</v>
      </c>
      <c r="L115" s="70">
        <f>+J115+K115</f>
        <v>0</v>
      </c>
      <c r="M115" s="70">
        <f t="shared" si="45"/>
        <v>0</v>
      </c>
      <c r="N115" s="47">
        <f t="shared" si="46"/>
        <v>31153000</v>
      </c>
      <c r="P115" s="192"/>
      <c r="S115" s="205"/>
      <c r="T115" s="205"/>
      <c r="U115" s="242"/>
    </row>
    <row r="116" spans="1:21" s="55" customFormat="1" ht="18" customHeight="1" x14ac:dyDescent="0.25">
      <c r="A116" s="50"/>
      <c r="B116" s="51"/>
      <c r="C116" s="51"/>
      <c r="D116" s="51" t="s">
        <v>263</v>
      </c>
      <c r="E116" s="52" t="s">
        <v>264</v>
      </c>
      <c r="F116" s="53">
        <f>+F117</f>
        <v>31153000</v>
      </c>
      <c r="G116" s="54">
        <f>+G117</f>
        <v>0</v>
      </c>
      <c r="H116" s="54">
        <f>+H117</f>
        <v>0</v>
      </c>
      <c r="I116" s="54">
        <f>+G116+H116</f>
        <v>0</v>
      </c>
      <c r="J116" s="54">
        <f t="shared" si="44"/>
        <v>0</v>
      </c>
      <c r="K116" s="54">
        <f t="shared" si="44"/>
        <v>0</v>
      </c>
      <c r="L116" s="54">
        <f>+J116+K116</f>
        <v>0</v>
      </c>
      <c r="M116" s="54">
        <f t="shared" si="45"/>
        <v>0</v>
      </c>
      <c r="N116" s="53">
        <f t="shared" si="46"/>
        <v>31153000</v>
      </c>
      <c r="P116" s="195"/>
      <c r="S116" s="206"/>
      <c r="T116" s="206"/>
      <c r="U116" s="243"/>
    </row>
    <row r="117" spans="1:21" s="49" customFormat="1" ht="18" customHeight="1" x14ac:dyDescent="0.25">
      <c r="A117" s="56"/>
      <c r="B117" s="78"/>
      <c r="C117" s="78"/>
      <c r="D117" s="57" t="s">
        <v>64</v>
      </c>
      <c r="E117" s="57" t="s">
        <v>65</v>
      </c>
      <c r="F117" s="58">
        <f>F118+F119+F120</f>
        <v>31153000</v>
      </c>
      <c r="G117" s="59">
        <f>SUM(G118:G120)</f>
        <v>0</v>
      </c>
      <c r="H117" s="59">
        <f>SUM(H118:H120)</f>
        <v>0</v>
      </c>
      <c r="I117" s="59">
        <f>+G117+H117</f>
        <v>0</v>
      </c>
      <c r="J117" s="59">
        <f>SUM(J118:J120)</f>
        <v>0</v>
      </c>
      <c r="K117" s="59">
        <f>SUM(K118:K120)</f>
        <v>0</v>
      </c>
      <c r="L117" s="59">
        <f>+J117+K117</f>
        <v>0</v>
      </c>
      <c r="M117" s="59">
        <f t="shared" si="45"/>
        <v>0</v>
      </c>
      <c r="N117" s="58">
        <f t="shared" si="46"/>
        <v>31153000</v>
      </c>
      <c r="P117" s="192"/>
      <c r="S117" s="205"/>
      <c r="T117" s="205"/>
      <c r="U117" s="242"/>
    </row>
    <row r="118" spans="1:21" s="49" customFormat="1" ht="18" customHeight="1" x14ac:dyDescent="0.25">
      <c r="A118" s="61"/>
      <c r="B118" s="79"/>
      <c r="C118" s="79"/>
      <c r="D118" s="62" t="s">
        <v>66</v>
      </c>
      <c r="E118" s="62" t="s">
        <v>67</v>
      </c>
      <c r="F118" s="63">
        <v>1447000</v>
      </c>
      <c r="G118" s="75"/>
      <c r="H118" s="75"/>
      <c r="I118" s="75">
        <f t="shared" ref="I118:I120" si="47">+G118+H118</f>
        <v>0</v>
      </c>
      <c r="J118" s="75"/>
      <c r="K118" s="75"/>
      <c r="L118" s="75">
        <f t="shared" ref="L118:L120" si="48">+J118+K118</f>
        <v>0</v>
      </c>
      <c r="M118" s="75">
        <f t="shared" si="45"/>
        <v>0</v>
      </c>
      <c r="N118" s="63">
        <f>+F118-M118</f>
        <v>1447000</v>
      </c>
      <c r="P118" s="192"/>
      <c r="S118" s="205"/>
      <c r="T118" s="205"/>
      <c r="U118" s="242"/>
    </row>
    <row r="119" spans="1:21" s="49" customFormat="1" ht="18" customHeight="1" x14ac:dyDescent="0.25">
      <c r="A119" s="61"/>
      <c r="B119" s="79"/>
      <c r="C119" s="79"/>
      <c r="D119" s="62" t="s">
        <v>337</v>
      </c>
      <c r="E119" s="62" t="s">
        <v>338</v>
      </c>
      <c r="F119" s="63">
        <v>3792000</v>
      </c>
      <c r="G119" s="75"/>
      <c r="H119" s="75"/>
      <c r="I119" s="75">
        <f t="shared" si="47"/>
        <v>0</v>
      </c>
      <c r="J119" s="75"/>
      <c r="K119" s="75"/>
      <c r="L119" s="75">
        <f t="shared" si="48"/>
        <v>0</v>
      </c>
      <c r="M119" s="75">
        <f t="shared" si="45"/>
        <v>0</v>
      </c>
      <c r="N119" s="63">
        <f t="shared" ref="N119:N120" si="49">+F119-M119</f>
        <v>3792000</v>
      </c>
      <c r="P119" s="192"/>
      <c r="S119" s="205"/>
      <c r="T119" s="205"/>
      <c r="U119" s="242"/>
    </row>
    <row r="120" spans="1:21" s="49" customFormat="1" ht="18" customHeight="1" x14ac:dyDescent="0.25">
      <c r="A120" s="61"/>
      <c r="B120" s="79"/>
      <c r="C120" s="79"/>
      <c r="D120" s="62" t="s">
        <v>68</v>
      </c>
      <c r="E120" s="62" t="s">
        <v>69</v>
      </c>
      <c r="F120" s="63">
        <v>25914000</v>
      </c>
      <c r="G120" s="75"/>
      <c r="H120" s="75"/>
      <c r="I120" s="75">
        <f t="shared" si="47"/>
        <v>0</v>
      </c>
      <c r="J120" s="75"/>
      <c r="K120" s="75"/>
      <c r="L120" s="75">
        <f t="shared" si="48"/>
        <v>0</v>
      </c>
      <c r="M120" s="75">
        <f t="shared" si="45"/>
        <v>0</v>
      </c>
      <c r="N120" s="63">
        <f t="shared" si="49"/>
        <v>25914000</v>
      </c>
      <c r="P120" s="192"/>
      <c r="S120" s="205"/>
      <c r="T120" s="205"/>
      <c r="U120" s="242"/>
    </row>
    <row r="121" spans="1:21" s="134" customFormat="1" ht="18" customHeight="1" x14ac:dyDescent="0.25">
      <c r="A121" s="129"/>
      <c r="B121" s="130"/>
      <c r="C121" s="130"/>
      <c r="D121" s="131"/>
      <c r="E121" s="131"/>
      <c r="F121" s="132"/>
      <c r="G121" s="133"/>
      <c r="H121" s="133"/>
      <c r="I121" s="133"/>
      <c r="J121" s="133"/>
      <c r="K121" s="133"/>
      <c r="L121" s="133"/>
      <c r="M121" s="133"/>
      <c r="N121" s="132"/>
      <c r="P121" s="197"/>
      <c r="S121" s="218"/>
      <c r="T121" s="218"/>
      <c r="U121" s="247"/>
    </row>
    <row r="122" spans="1:21" s="137" customFormat="1" ht="18" customHeight="1" x14ac:dyDescent="0.25">
      <c r="A122" s="109"/>
      <c r="B122" s="110" t="s">
        <v>405</v>
      </c>
      <c r="C122" s="110"/>
      <c r="D122" s="110"/>
      <c r="E122" s="110" t="s">
        <v>406</v>
      </c>
      <c r="F122" s="135">
        <f t="shared" ref="F122:G124" si="50">+F123</f>
        <v>654671250</v>
      </c>
      <c r="G122" s="136">
        <f t="shared" si="50"/>
        <v>0</v>
      </c>
      <c r="H122" s="136">
        <f>+H123</f>
        <v>0</v>
      </c>
      <c r="I122" s="136">
        <f t="shared" ref="I122:I136" si="51">+G122+H122</f>
        <v>0</v>
      </c>
      <c r="J122" s="136">
        <f>+J124</f>
        <v>0</v>
      </c>
      <c r="K122" s="136">
        <f>+K123</f>
        <v>0</v>
      </c>
      <c r="L122" s="136">
        <f>+J122+K122</f>
        <v>0</v>
      </c>
      <c r="M122" s="136">
        <f t="shared" ref="M122" si="52">+I122+L122</f>
        <v>0</v>
      </c>
      <c r="N122" s="135">
        <f t="shared" ref="N122:N130" si="53">+F122-M122</f>
        <v>654671250</v>
      </c>
      <c r="P122" s="198"/>
      <c r="R122" s="138"/>
      <c r="S122" s="219"/>
      <c r="T122" s="219"/>
      <c r="U122" s="248"/>
    </row>
    <row r="123" spans="1:21" s="121" customFormat="1" ht="18" customHeight="1" x14ac:dyDescent="0.25">
      <c r="A123" s="232">
        <v>5</v>
      </c>
      <c r="B123" s="117"/>
      <c r="C123" s="117" t="s">
        <v>86</v>
      </c>
      <c r="D123" s="118"/>
      <c r="E123" s="128" t="s">
        <v>87</v>
      </c>
      <c r="F123" s="119">
        <f t="shared" si="50"/>
        <v>654671250</v>
      </c>
      <c r="G123" s="120">
        <f t="shared" si="50"/>
        <v>0</v>
      </c>
      <c r="H123" s="120">
        <f>+H124</f>
        <v>0</v>
      </c>
      <c r="I123" s="120">
        <f t="shared" si="51"/>
        <v>0</v>
      </c>
      <c r="J123" s="120">
        <f>+J124</f>
        <v>0</v>
      </c>
      <c r="K123" s="120">
        <f>+K124</f>
        <v>0</v>
      </c>
      <c r="L123" s="120">
        <f>+J123+K123</f>
        <v>0</v>
      </c>
      <c r="M123" s="120">
        <f>+I123+L123</f>
        <v>0</v>
      </c>
      <c r="N123" s="119">
        <f t="shared" si="53"/>
        <v>654671250</v>
      </c>
      <c r="P123" s="190"/>
      <c r="R123" s="122"/>
      <c r="S123" s="216"/>
      <c r="T123" s="216"/>
      <c r="U123" s="246"/>
    </row>
    <row r="124" spans="1:21" s="107" customFormat="1" ht="18" customHeight="1" x14ac:dyDescent="0.25">
      <c r="A124" s="101"/>
      <c r="B124" s="102"/>
      <c r="C124" s="102"/>
      <c r="D124" s="103" t="s">
        <v>207</v>
      </c>
      <c r="E124" s="104" t="s">
        <v>262</v>
      </c>
      <c r="F124" s="105">
        <f t="shared" si="50"/>
        <v>654671250</v>
      </c>
      <c r="G124" s="106">
        <f t="shared" si="50"/>
        <v>0</v>
      </c>
      <c r="H124" s="106">
        <f>+H125</f>
        <v>0</v>
      </c>
      <c r="I124" s="106">
        <f t="shared" si="51"/>
        <v>0</v>
      </c>
      <c r="J124" s="106">
        <f>+J125</f>
        <v>0</v>
      </c>
      <c r="K124" s="106">
        <f>+K125</f>
        <v>0</v>
      </c>
      <c r="L124" s="106">
        <f t="shared" ref="L124:L136" si="54">+J124+K124</f>
        <v>0</v>
      </c>
      <c r="M124" s="106">
        <f t="shared" ref="M124:M127" si="55">+I124+L124</f>
        <v>0</v>
      </c>
      <c r="N124" s="105">
        <f t="shared" si="53"/>
        <v>654671250</v>
      </c>
      <c r="P124" s="191"/>
      <c r="R124" s="108"/>
      <c r="S124" s="217"/>
      <c r="T124" s="217"/>
      <c r="U124" s="241"/>
    </row>
    <row r="125" spans="1:21" s="49" customFormat="1" ht="18" customHeight="1" x14ac:dyDescent="0.25">
      <c r="A125" s="44"/>
      <c r="B125" s="45"/>
      <c r="C125" s="45"/>
      <c r="D125" s="69" t="s">
        <v>63</v>
      </c>
      <c r="E125" s="45" t="s">
        <v>30</v>
      </c>
      <c r="F125" s="47">
        <f>F131+F126</f>
        <v>654671250</v>
      </c>
      <c r="G125" s="70">
        <f>+G126+G131</f>
        <v>0</v>
      </c>
      <c r="H125" s="70">
        <f>+H126+H131</f>
        <v>0</v>
      </c>
      <c r="I125" s="70">
        <f t="shared" si="51"/>
        <v>0</v>
      </c>
      <c r="J125" s="70">
        <f>+J126+J131</f>
        <v>0</v>
      </c>
      <c r="K125" s="70">
        <f>+K131+K126</f>
        <v>0</v>
      </c>
      <c r="L125" s="70">
        <f t="shared" si="54"/>
        <v>0</v>
      </c>
      <c r="M125" s="70">
        <f t="shared" si="55"/>
        <v>0</v>
      </c>
      <c r="N125" s="47">
        <f t="shared" si="53"/>
        <v>654671250</v>
      </c>
      <c r="P125" s="192"/>
      <c r="S125" s="205"/>
      <c r="T125" s="205"/>
      <c r="U125" s="242"/>
    </row>
    <row r="126" spans="1:21" s="55" customFormat="1" ht="18" customHeight="1" x14ac:dyDescent="0.25">
      <c r="A126" s="50"/>
      <c r="B126" s="51"/>
      <c r="C126" s="51"/>
      <c r="D126" s="71" t="s">
        <v>263</v>
      </c>
      <c r="E126" s="52" t="s">
        <v>264</v>
      </c>
      <c r="F126" s="53">
        <f>+F127</f>
        <v>137486250</v>
      </c>
      <c r="G126" s="72">
        <f>+G127</f>
        <v>0</v>
      </c>
      <c r="H126" s="72">
        <f>+H127</f>
        <v>0</v>
      </c>
      <c r="I126" s="72">
        <f t="shared" si="51"/>
        <v>0</v>
      </c>
      <c r="J126" s="72">
        <f>+J127</f>
        <v>0</v>
      </c>
      <c r="K126" s="72">
        <f>+K127</f>
        <v>0</v>
      </c>
      <c r="L126" s="72">
        <f t="shared" si="54"/>
        <v>0</v>
      </c>
      <c r="M126" s="72">
        <f t="shared" si="55"/>
        <v>0</v>
      </c>
      <c r="N126" s="53">
        <f t="shared" si="53"/>
        <v>137486250</v>
      </c>
      <c r="P126" s="195"/>
      <c r="S126" s="206"/>
      <c r="T126" s="206"/>
      <c r="U126" s="243"/>
    </row>
    <row r="127" spans="1:21" s="49" customFormat="1" ht="18" customHeight="1" x14ac:dyDescent="0.25">
      <c r="A127" s="56"/>
      <c r="B127" s="57"/>
      <c r="C127" s="57"/>
      <c r="D127" s="73" t="s">
        <v>64</v>
      </c>
      <c r="E127" s="57" t="s">
        <v>65</v>
      </c>
      <c r="F127" s="58">
        <f>+F128+F129+F130</f>
        <v>137486250</v>
      </c>
      <c r="G127" s="59">
        <f>SUM(G128:G129)</f>
        <v>0</v>
      </c>
      <c r="H127" s="59">
        <f>SUM(H128:H129)</f>
        <v>0</v>
      </c>
      <c r="I127" s="59">
        <f t="shared" si="51"/>
        <v>0</v>
      </c>
      <c r="J127" s="59">
        <f>SUM(J128:J130)</f>
        <v>0</v>
      </c>
      <c r="K127" s="59">
        <f>SUM(K128:K130)</f>
        <v>0</v>
      </c>
      <c r="L127" s="59">
        <f t="shared" si="54"/>
        <v>0</v>
      </c>
      <c r="M127" s="59">
        <f t="shared" si="55"/>
        <v>0</v>
      </c>
      <c r="N127" s="58">
        <f t="shared" si="53"/>
        <v>137486250</v>
      </c>
      <c r="P127" s="192"/>
      <c r="S127" s="205"/>
      <c r="T127" s="205"/>
      <c r="U127" s="242"/>
    </row>
    <row r="128" spans="1:21" s="49" customFormat="1" ht="18" customHeight="1" x14ac:dyDescent="0.25">
      <c r="A128" s="61"/>
      <c r="B128" s="62"/>
      <c r="C128" s="62"/>
      <c r="D128" s="74" t="s">
        <v>66</v>
      </c>
      <c r="E128" s="62" t="s">
        <v>67</v>
      </c>
      <c r="F128" s="63">
        <v>2756250</v>
      </c>
      <c r="G128" s="75"/>
      <c r="H128" s="75"/>
      <c r="I128" s="75">
        <f t="shared" si="51"/>
        <v>0</v>
      </c>
      <c r="J128" s="75"/>
      <c r="K128" s="75"/>
      <c r="L128" s="75">
        <f t="shared" si="54"/>
        <v>0</v>
      </c>
      <c r="M128" s="75">
        <f>+I128+L128</f>
        <v>0</v>
      </c>
      <c r="N128" s="63">
        <f t="shared" si="53"/>
        <v>2756250</v>
      </c>
      <c r="P128" s="192"/>
      <c r="S128" s="228">
        <f>945000</f>
        <v>945000</v>
      </c>
      <c r="T128" s="205"/>
      <c r="U128" s="242"/>
    </row>
    <row r="129" spans="1:21" s="49" customFormat="1" ht="18" customHeight="1" x14ac:dyDescent="0.25">
      <c r="A129" s="61"/>
      <c r="B129" s="62"/>
      <c r="C129" s="62"/>
      <c r="D129" s="74" t="s">
        <v>369</v>
      </c>
      <c r="E129" s="62" t="s">
        <v>370</v>
      </c>
      <c r="F129" s="63">
        <v>7230000</v>
      </c>
      <c r="G129" s="75"/>
      <c r="H129" s="75"/>
      <c r="I129" s="75">
        <f t="shared" si="51"/>
        <v>0</v>
      </c>
      <c r="J129" s="75"/>
      <c r="K129" s="75"/>
      <c r="L129" s="75">
        <f t="shared" si="54"/>
        <v>0</v>
      </c>
      <c r="M129" s="75">
        <f>+I129+L129</f>
        <v>0</v>
      </c>
      <c r="N129" s="63">
        <f t="shared" si="53"/>
        <v>7230000</v>
      </c>
      <c r="P129" s="192"/>
      <c r="S129" s="205"/>
      <c r="T129" s="205"/>
      <c r="U129" s="242"/>
    </row>
    <row r="130" spans="1:21" s="49" customFormat="1" ht="18" customHeight="1" x14ac:dyDescent="0.25">
      <c r="A130" s="61"/>
      <c r="B130" s="62"/>
      <c r="C130" s="62"/>
      <c r="D130" s="74" t="s">
        <v>447</v>
      </c>
      <c r="E130" s="62" t="s">
        <v>448</v>
      </c>
      <c r="F130" s="63">
        <v>127500000</v>
      </c>
      <c r="G130" s="75"/>
      <c r="H130" s="75"/>
      <c r="I130" s="75">
        <f t="shared" si="51"/>
        <v>0</v>
      </c>
      <c r="J130" s="75"/>
      <c r="K130" s="75"/>
      <c r="L130" s="75">
        <f t="shared" si="54"/>
        <v>0</v>
      </c>
      <c r="M130" s="75">
        <f>+I130+L130</f>
        <v>0</v>
      </c>
      <c r="N130" s="63">
        <f t="shared" si="53"/>
        <v>127500000</v>
      </c>
      <c r="P130" s="192"/>
      <c r="S130" s="205"/>
      <c r="T130" s="205"/>
      <c r="U130" s="242"/>
    </row>
    <row r="131" spans="1:21" s="55" customFormat="1" ht="18" customHeight="1" x14ac:dyDescent="0.25">
      <c r="A131" s="50"/>
      <c r="B131" s="51"/>
      <c r="C131" s="51"/>
      <c r="D131" s="71" t="s">
        <v>265</v>
      </c>
      <c r="E131" s="51" t="s">
        <v>266</v>
      </c>
      <c r="F131" s="53">
        <f>+F132</f>
        <v>517185000</v>
      </c>
      <c r="G131" s="72">
        <f>+G132</f>
        <v>0</v>
      </c>
      <c r="H131" s="72">
        <f>+H132</f>
        <v>0</v>
      </c>
      <c r="I131" s="72">
        <f t="shared" si="51"/>
        <v>0</v>
      </c>
      <c r="J131" s="72">
        <f>+J132</f>
        <v>0</v>
      </c>
      <c r="K131" s="72">
        <f>+K132</f>
        <v>0</v>
      </c>
      <c r="L131" s="72">
        <f t="shared" si="54"/>
        <v>0</v>
      </c>
      <c r="M131" s="72">
        <f t="shared" ref="M131:M132" si="56">+I131+L131</f>
        <v>0</v>
      </c>
      <c r="N131" s="53">
        <f>+F131-M131</f>
        <v>517185000</v>
      </c>
      <c r="P131" s="195"/>
      <c r="S131" s="206"/>
      <c r="T131" s="206"/>
      <c r="U131" s="243"/>
    </row>
    <row r="132" spans="1:21" s="49" customFormat="1" ht="18" customHeight="1" x14ac:dyDescent="0.25">
      <c r="A132" s="56"/>
      <c r="B132" s="57"/>
      <c r="C132" s="57"/>
      <c r="D132" s="73" t="s">
        <v>71</v>
      </c>
      <c r="E132" s="57" t="s">
        <v>72</v>
      </c>
      <c r="F132" s="58">
        <f>SUM(F133:F136)</f>
        <v>517185000</v>
      </c>
      <c r="G132" s="59">
        <f>SUM(G133:G134)</f>
        <v>0</v>
      </c>
      <c r="H132" s="59">
        <f>SUM(H133:H134)</f>
        <v>0</v>
      </c>
      <c r="I132" s="59">
        <f t="shared" si="51"/>
        <v>0</v>
      </c>
      <c r="J132" s="59">
        <f>SUM(J133:J136)</f>
        <v>0</v>
      </c>
      <c r="K132" s="59">
        <f>SUM(K133:K136)</f>
        <v>0</v>
      </c>
      <c r="L132" s="59">
        <f>+J132+K132</f>
        <v>0</v>
      </c>
      <c r="M132" s="59">
        <f t="shared" si="56"/>
        <v>0</v>
      </c>
      <c r="N132" s="58">
        <f>+F132-M132</f>
        <v>517185000</v>
      </c>
      <c r="P132" s="192"/>
      <c r="S132" s="205"/>
      <c r="T132" s="205"/>
      <c r="U132" s="242"/>
    </row>
    <row r="133" spans="1:21" s="49" customFormat="1" ht="18" customHeight="1" x14ac:dyDescent="0.25">
      <c r="A133" s="61"/>
      <c r="B133" s="62"/>
      <c r="C133" s="62"/>
      <c r="D133" s="74" t="s">
        <v>73</v>
      </c>
      <c r="E133" s="62" t="s">
        <v>74</v>
      </c>
      <c r="F133" s="63">
        <v>128100000</v>
      </c>
      <c r="G133" s="75"/>
      <c r="H133" s="75"/>
      <c r="I133" s="75">
        <f t="shared" si="51"/>
        <v>0</v>
      </c>
      <c r="J133" s="75"/>
      <c r="K133" s="75"/>
      <c r="L133" s="75">
        <f t="shared" si="54"/>
        <v>0</v>
      </c>
      <c r="M133" s="75">
        <f>+I133+L133</f>
        <v>0</v>
      </c>
      <c r="N133" s="63">
        <f t="shared" ref="N133:N136" si="57">+F133-M133</f>
        <v>128100000</v>
      </c>
      <c r="P133" s="192"/>
      <c r="S133" s="228">
        <f>9654000</f>
        <v>9654000</v>
      </c>
      <c r="T133" s="228">
        <f>56100000+126390000</f>
        <v>182490000</v>
      </c>
      <c r="U133" s="242"/>
    </row>
    <row r="134" spans="1:21" s="49" customFormat="1" ht="18" customHeight="1" x14ac:dyDescent="0.25">
      <c r="A134" s="61"/>
      <c r="B134" s="62"/>
      <c r="C134" s="62"/>
      <c r="D134" s="74" t="s">
        <v>88</v>
      </c>
      <c r="E134" s="62" t="s">
        <v>89</v>
      </c>
      <c r="F134" s="63">
        <v>79635000</v>
      </c>
      <c r="G134" s="75"/>
      <c r="H134" s="75"/>
      <c r="I134" s="75">
        <f t="shared" si="51"/>
        <v>0</v>
      </c>
      <c r="J134" s="75"/>
      <c r="K134" s="75"/>
      <c r="L134" s="75">
        <f t="shared" si="54"/>
        <v>0</v>
      </c>
      <c r="M134" s="75">
        <f t="shared" ref="M134" si="58">+I134+L134</f>
        <v>0</v>
      </c>
      <c r="N134" s="63">
        <f t="shared" si="57"/>
        <v>79635000</v>
      </c>
      <c r="P134" s="192"/>
      <c r="S134" s="228">
        <f>11010500</f>
        <v>11010500</v>
      </c>
      <c r="T134" s="205"/>
      <c r="U134" s="242"/>
    </row>
    <row r="135" spans="1:21" s="49" customFormat="1" ht="18" customHeight="1" x14ac:dyDescent="0.25">
      <c r="A135" s="61"/>
      <c r="B135" s="62"/>
      <c r="C135" s="62"/>
      <c r="D135" s="74" t="s">
        <v>445</v>
      </c>
      <c r="E135" s="62" t="s">
        <v>446</v>
      </c>
      <c r="F135" s="63">
        <v>241950000</v>
      </c>
      <c r="G135" s="75"/>
      <c r="H135" s="75"/>
      <c r="I135" s="75">
        <f t="shared" si="51"/>
        <v>0</v>
      </c>
      <c r="J135" s="75"/>
      <c r="K135" s="75"/>
      <c r="L135" s="75">
        <f t="shared" si="54"/>
        <v>0</v>
      </c>
      <c r="M135" s="75">
        <f>+I135+L135</f>
        <v>0</v>
      </c>
      <c r="N135" s="63">
        <f t="shared" si="57"/>
        <v>241950000</v>
      </c>
      <c r="P135" s="192"/>
      <c r="S135" s="205"/>
      <c r="T135" s="205"/>
      <c r="U135" s="242"/>
    </row>
    <row r="136" spans="1:21" s="49" customFormat="1" ht="18" customHeight="1" x14ac:dyDescent="0.25">
      <c r="A136" s="61"/>
      <c r="B136" s="62"/>
      <c r="C136" s="62"/>
      <c r="D136" s="74" t="s">
        <v>107</v>
      </c>
      <c r="E136" s="62" t="s">
        <v>108</v>
      </c>
      <c r="F136" s="63">
        <v>67500000</v>
      </c>
      <c r="G136" s="75"/>
      <c r="H136" s="75"/>
      <c r="I136" s="75">
        <f t="shared" si="51"/>
        <v>0</v>
      </c>
      <c r="J136" s="75"/>
      <c r="K136" s="75"/>
      <c r="L136" s="75">
        <f t="shared" si="54"/>
        <v>0</v>
      </c>
      <c r="M136" s="75">
        <f>+I136+L136</f>
        <v>0</v>
      </c>
      <c r="N136" s="63">
        <f t="shared" si="57"/>
        <v>67500000</v>
      </c>
      <c r="P136" s="192"/>
      <c r="S136" s="205"/>
      <c r="T136" s="205"/>
      <c r="U136" s="242"/>
    </row>
    <row r="137" spans="1:21" s="134" customFormat="1" ht="18" customHeight="1" x14ac:dyDescent="0.25">
      <c r="A137" s="129"/>
      <c r="B137" s="131"/>
      <c r="C137" s="131"/>
      <c r="D137" s="131"/>
      <c r="E137" s="131"/>
      <c r="F137" s="132"/>
      <c r="G137" s="133"/>
      <c r="H137" s="133"/>
      <c r="I137" s="133"/>
      <c r="J137" s="133"/>
      <c r="K137" s="133"/>
      <c r="L137" s="133"/>
      <c r="M137" s="133"/>
      <c r="N137" s="132"/>
      <c r="P137" s="197"/>
      <c r="S137" s="218"/>
      <c r="T137" s="218"/>
      <c r="U137" s="247"/>
    </row>
    <row r="138" spans="1:21" s="137" customFormat="1" ht="18" customHeight="1" x14ac:dyDescent="0.25">
      <c r="A138" s="109"/>
      <c r="B138" s="110" t="s">
        <v>380</v>
      </c>
      <c r="C138" s="110"/>
      <c r="D138" s="110"/>
      <c r="E138" s="110" t="s">
        <v>381</v>
      </c>
      <c r="F138" s="135">
        <f>+F139+F165+F173+F184+F206</f>
        <v>4317651500</v>
      </c>
      <c r="G138" s="136">
        <f>+G139+G165+G173+G184+G206</f>
        <v>0</v>
      </c>
      <c r="H138" s="136" t="e">
        <f>+H139+H165+H173+H184+H206</f>
        <v>#REF!</v>
      </c>
      <c r="I138" s="136" t="e">
        <f t="shared" ref="I138:I164" si="59">+G138+H138</f>
        <v>#REF!</v>
      </c>
      <c r="J138" s="136">
        <f>+J139+J165+J173+J184+J206</f>
        <v>0</v>
      </c>
      <c r="K138" s="136" t="e">
        <f>+K139+K165+K173+K184+K206</f>
        <v>#REF!</v>
      </c>
      <c r="L138" s="136" t="e">
        <f t="shared" ref="L138:L146" si="60">+J138+K138</f>
        <v>#REF!</v>
      </c>
      <c r="M138" s="136" t="e">
        <f t="shared" ref="M138" si="61">+I138+L138</f>
        <v>#REF!</v>
      </c>
      <c r="N138" s="135" t="e">
        <f t="shared" ref="N138:N146" si="62">+F138-M138</f>
        <v>#REF!</v>
      </c>
      <c r="P138" s="198"/>
      <c r="R138" s="138"/>
      <c r="S138" s="219"/>
      <c r="T138" s="219"/>
      <c r="U138" s="248"/>
    </row>
    <row r="139" spans="1:21" s="121" customFormat="1" ht="18" customHeight="1" x14ac:dyDescent="0.25">
      <c r="A139" s="116">
        <v>6</v>
      </c>
      <c r="B139" s="117"/>
      <c r="C139" s="117" t="s">
        <v>90</v>
      </c>
      <c r="D139" s="118"/>
      <c r="E139" s="128" t="s">
        <v>91</v>
      </c>
      <c r="F139" s="119">
        <f>+F140+F147</f>
        <v>1165936000</v>
      </c>
      <c r="G139" s="120">
        <f>+G140+G147</f>
        <v>0</v>
      </c>
      <c r="H139" s="120">
        <f>+H140+H147</f>
        <v>0</v>
      </c>
      <c r="I139" s="120">
        <f t="shared" si="59"/>
        <v>0</v>
      </c>
      <c r="J139" s="120">
        <f>+J140+J147</f>
        <v>0</v>
      </c>
      <c r="K139" s="120">
        <f>+K140+K147</f>
        <v>0</v>
      </c>
      <c r="L139" s="120">
        <f t="shared" si="60"/>
        <v>0</v>
      </c>
      <c r="M139" s="120">
        <f>+I139+L139</f>
        <v>0</v>
      </c>
      <c r="N139" s="119">
        <f t="shared" si="62"/>
        <v>1165936000</v>
      </c>
      <c r="P139" s="190"/>
      <c r="R139" s="122"/>
      <c r="S139" s="216"/>
      <c r="T139" s="216"/>
      <c r="U139" s="246"/>
    </row>
    <row r="140" spans="1:21" s="107" customFormat="1" ht="18" customHeight="1" x14ac:dyDescent="0.25">
      <c r="A140" s="101"/>
      <c r="B140" s="102"/>
      <c r="C140" s="141"/>
      <c r="D140" s="103" t="s">
        <v>207</v>
      </c>
      <c r="E140" s="104" t="s">
        <v>262</v>
      </c>
      <c r="F140" s="105">
        <f>+F141</f>
        <v>39736000</v>
      </c>
      <c r="G140" s="106">
        <f>+G141</f>
        <v>0</v>
      </c>
      <c r="H140" s="106">
        <f>+H141</f>
        <v>0</v>
      </c>
      <c r="I140" s="106">
        <f t="shared" si="59"/>
        <v>0</v>
      </c>
      <c r="J140" s="106">
        <f t="shared" ref="J140:K142" si="63">+J141</f>
        <v>0</v>
      </c>
      <c r="K140" s="106">
        <f t="shared" si="63"/>
        <v>0</v>
      </c>
      <c r="L140" s="106">
        <f t="shared" si="60"/>
        <v>0</v>
      </c>
      <c r="M140" s="106">
        <f t="shared" ref="M140:M164" si="64">+I140+L140</f>
        <v>0</v>
      </c>
      <c r="N140" s="105">
        <f t="shared" si="62"/>
        <v>39736000</v>
      </c>
      <c r="P140" s="191"/>
      <c r="R140" s="108"/>
      <c r="S140" s="217"/>
      <c r="T140" s="217"/>
      <c r="U140" s="241"/>
    </row>
    <row r="141" spans="1:21" s="67" customFormat="1" ht="18" customHeight="1" x14ac:dyDescent="0.25">
      <c r="A141" s="81"/>
      <c r="B141" s="82"/>
      <c r="C141" s="44"/>
      <c r="D141" s="45" t="s">
        <v>63</v>
      </c>
      <c r="E141" s="45" t="s">
        <v>30</v>
      </c>
      <c r="F141" s="47">
        <f>+F142</f>
        <v>39736000</v>
      </c>
      <c r="G141" s="70">
        <f t="shared" ref="G141:H142" si="65">+G142</f>
        <v>0</v>
      </c>
      <c r="H141" s="70">
        <f t="shared" si="65"/>
        <v>0</v>
      </c>
      <c r="I141" s="70">
        <f t="shared" si="59"/>
        <v>0</v>
      </c>
      <c r="J141" s="70">
        <f t="shared" si="63"/>
        <v>0</v>
      </c>
      <c r="K141" s="70">
        <f t="shared" si="63"/>
        <v>0</v>
      </c>
      <c r="L141" s="70">
        <f t="shared" si="60"/>
        <v>0</v>
      </c>
      <c r="M141" s="70">
        <f t="shared" si="64"/>
        <v>0</v>
      </c>
      <c r="N141" s="47">
        <f t="shared" si="62"/>
        <v>39736000</v>
      </c>
      <c r="P141" s="192"/>
      <c r="S141" s="205"/>
      <c r="T141" s="205"/>
      <c r="U141" s="249"/>
    </row>
    <row r="142" spans="1:21" s="55" customFormat="1" ht="18" customHeight="1" x14ac:dyDescent="0.25">
      <c r="A142" s="50"/>
      <c r="B142" s="51"/>
      <c r="C142" s="50"/>
      <c r="D142" s="71" t="s">
        <v>263</v>
      </c>
      <c r="E142" s="51" t="s">
        <v>264</v>
      </c>
      <c r="F142" s="53">
        <f>+F143</f>
        <v>39736000</v>
      </c>
      <c r="G142" s="72">
        <f t="shared" si="65"/>
        <v>0</v>
      </c>
      <c r="H142" s="72">
        <f t="shared" si="65"/>
        <v>0</v>
      </c>
      <c r="I142" s="72">
        <f t="shared" si="59"/>
        <v>0</v>
      </c>
      <c r="J142" s="72">
        <f t="shared" si="63"/>
        <v>0</v>
      </c>
      <c r="K142" s="72">
        <f t="shared" si="63"/>
        <v>0</v>
      </c>
      <c r="L142" s="72">
        <f t="shared" si="60"/>
        <v>0</v>
      </c>
      <c r="M142" s="72">
        <f t="shared" si="64"/>
        <v>0</v>
      </c>
      <c r="N142" s="53">
        <f t="shared" si="62"/>
        <v>39736000</v>
      </c>
      <c r="P142" s="195"/>
      <c r="S142" s="206"/>
      <c r="T142" s="206"/>
      <c r="U142" s="243"/>
    </row>
    <row r="143" spans="1:21" s="67" customFormat="1" ht="18" customHeight="1" x14ac:dyDescent="0.25">
      <c r="A143" s="83"/>
      <c r="B143" s="84"/>
      <c r="C143" s="56"/>
      <c r="D143" s="57" t="s">
        <v>64</v>
      </c>
      <c r="E143" s="57" t="s">
        <v>65</v>
      </c>
      <c r="F143" s="58">
        <f>F145+F144+F146</f>
        <v>39736000</v>
      </c>
      <c r="G143" s="59">
        <f>+G145</f>
        <v>0</v>
      </c>
      <c r="H143" s="59">
        <f>+H145</f>
        <v>0</v>
      </c>
      <c r="I143" s="59">
        <f t="shared" si="59"/>
        <v>0</v>
      </c>
      <c r="J143" s="59">
        <f>+J145</f>
        <v>0</v>
      </c>
      <c r="K143" s="59">
        <f>+K145</f>
        <v>0</v>
      </c>
      <c r="L143" s="59">
        <f t="shared" si="60"/>
        <v>0</v>
      </c>
      <c r="M143" s="59">
        <f t="shared" si="64"/>
        <v>0</v>
      </c>
      <c r="N143" s="58">
        <f t="shared" si="62"/>
        <v>39736000</v>
      </c>
      <c r="P143" s="192"/>
      <c r="S143" s="205"/>
      <c r="T143" s="205"/>
      <c r="U143" s="249"/>
    </row>
    <row r="144" spans="1:21" s="86" customFormat="1" ht="18" customHeight="1" x14ac:dyDescent="0.25">
      <c r="A144" s="85"/>
      <c r="B144" s="66"/>
      <c r="C144" s="61"/>
      <c r="D144" s="62" t="s">
        <v>66</v>
      </c>
      <c r="E144" s="62" t="s">
        <v>67</v>
      </c>
      <c r="F144" s="63">
        <v>13500</v>
      </c>
      <c r="G144" s="75"/>
      <c r="H144" s="75"/>
      <c r="I144" s="75">
        <f t="shared" si="59"/>
        <v>0</v>
      </c>
      <c r="J144" s="75"/>
      <c r="K144" s="75"/>
      <c r="L144" s="75">
        <f t="shared" si="60"/>
        <v>0</v>
      </c>
      <c r="M144" s="75">
        <f t="shared" si="64"/>
        <v>0</v>
      </c>
      <c r="N144" s="63">
        <f t="shared" si="62"/>
        <v>13500</v>
      </c>
      <c r="P144" s="194"/>
      <c r="S144" s="214"/>
      <c r="T144" s="214"/>
      <c r="U144" s="250"/>
    </row>
    <row r="145" spans="1:21" s="86" customFormat="1" ht="18" customHeight="1" x14ac:dyDescent="0.25">
      <c r="A145" s="85"/>
      <c r="B145" s="66"/>
      <c r="C145" s="61"/>
      <c r="D145" s="62" t="s">
        <v>339</v>
      </c>
      <c r="E145" s="62" t="s">
        <v>340</v>
      </c>
      <c r="F145" s="63">
        <v>29175000</v>
      </c>
      <c r="G145" s="75"/>
      <c r="H145" s="75"/>
      <c r="I145" s="75">
        <f t="shared" si="59"/>
        <v>0</v>
      </c>
      <c r="J145" s="75"/>
      <c r="K145" s="75"/>
      <c r="L145" s="75">
        <f t="shared" si="60"/>
        <v>0</v>
      </c>
      <c r="M145" s="75">
        <f t="shared" si="64"/>
        <v>0</v>
      </c>
      <c r="N145" s="63">
        <f t="shared" si="62"/>
        <v>29175000</v>
      </c>
      <c r="P145" s="194"/>
      <c r="S145" s="214"/>
      <c r="T145" s="214"/>
      <c r="U145" s="250"/>
    </row>
    <row r="146" spans="1:21" s="86" customFormat="1" ht="18" customHeight="1" x14ac:dyDescent="0.25">
      <c r="A146" s="85"/>
      <c r="B146" s="66"/>
      <c r="C146" s="61"/>
      <c r="D146" s="62" t="s">
        <v>371</v>
      </c>
      <c r="E146" s="62" t="s">
        <v>372</v>
      </c>
      <c r="F146" s="63">
        <v>10547500</v>
      </c>
      <c r="G146" s="75"/>
      <c r="H146" s="75"/>
      <c r="I146" s="75">
        <f t="shared" si="59"/>
        <v>0</v>
      </c>
      <c r="J146" s="75"/>
      <c r="K146" s="75"/>
      <c r="L146" s="75">
        <f t="shared" si="60"/>
        <v>0</v>
      </c>
      <c r="M146" s="75">
        <f t="shared" si="64"/>
        <v>0</v>
      </c>
      <c r="N146" s="63">
        <f t="shared" si="62"/>
        <v>10547500</v>
      </c>
      <c r="P146" s="194"/>
      <c r="S146" s="214"/>
      <c r="T146" s="214"/>
      <c r="U146" s="250"/>
    </row>
    <row r="147" spans="1:21" s="42" customFormat="1" ht="18" customHeight="1" x14ac:dyDescent="0.25">
      <c r="A147" s="36"/>
      <c r="B147" s="37"/>
      <c r="C147" s="80"/>
      <c r="D147" s="38" t="s">
        <v>267</v>
      </c>
      <c r="E147" s="39" t="s">
        <v>268</v>
      </c>
      <c r="F147" s="40">
        <f>+F148</f>
        <v>1126200000</v>
      </c>
      <c r="G147" s="41">
        <f>+G148</f>
        <v>0</v>
      </c>
      <c r="H147" s="41">
        <f>+H148</f>
        <v>0</v>
      </c>
      <c r="I147" s="41">
        <f>+G147+H147</f>
        <v>0</v>
      </c>
      <c r="J147" s="41">
        <f>+J148</f>
        <v>0</v>
      </c>
      <c r="K147" s="41">
        <f>+K148</f>
        <v>0</v>
      </c>
      <c r="L147" s="41">
        <f>+J147+K147</f>
        <v>0</v>
      </c>
      <c r="M147" s="41">
        <f t="shared" si="64"/>
        <v>0</v>
      </c>
      <c r="N147" s="40">
        <f>+F147-M147</f>
        <v>1126200000</v>
      </c>
      <c r="P147" s="199"/>
      <c r="R147" s="43"/>
      <c r="S147" s="220"/>
      <c r="T147" s="220"/>
      <c r="U147" s="251"/>
    </row>
    <row r="148" spans="1:21" s="67" customFormat="1" ht="18" customHeight="1" x14ac:dyDescent="0.25">
      <c r="A148" s="81"/>
      <c r="B148" s="82"/>
      <c r="C148" s="44"/>
      <c r="D148" s="45" t="s">
        <v>78</v>
      </c>
      <c r="E148" s="45" t="s">
        <v>75</v>
      </c>
      <c r="F148" s="47">
        <f>+F149+F159+F156</f>
        <v>1126200000</v>
      </c>
      <c r="G148" s="70">
        <f>+G149+G159</f>
        <v>0</v>
      </c>
      <c r="H148" s="70">
        <f>+H149+H159</f>
        <v>0</v>
      </c>
      <c r="I148" s="70">
        <f>+G148+H148</f>
        <v>0</v>
      </c>
      <c r="J148" s="70">
        <f>+J149+J159</f>
        <v>0</v>
      </c>
      <c r="K148" s="70">
        <f>+K149+K159</f>
        <v>0</v>
      </c>
      <c r="L148" s="70">
        <f>+J148+K148</f>
        <v>0</v>
      </c>
      <c r="M148" s="70">
        <f t="shared" si="64"/>
        <v>0</v>
      </c>
      <c r="N148" s="47">
        <f>+F148-M148</f>
        <v>1126200000</v>
      </c>
      <c r="P148" s="192"/>
      <c r="S148" s="205"/>
      <c r="T148" s="205"/>
      <c r="U148" s="249"/>
    </row>
    <row r="149" spans="1:21" s="55" customFormat="1" ht="18" customHeight="1" x14ac:dyDescent="0.25">
      <c r="A149" s="50"/>
      <c r="B149" s="51"/>
      <c r="C149" s="50"/>
      <c r="D149" s="71" t="s">
        <v>269</v>
      </c>
      <c r="E149" s="51" t="s">
        <v>270</v>
      </c>
      <c r="F149" s="53">
        <f>+F153+F150</f>
        <v>385400000</v>
      </c>
      <c r="G149" s="72">
        <f>+G153</f>
        <v>0</v>
      </c>
      <c r="H149" s="72">
        <f>+H153</f>
        <v>0</v>
      </c>
      <c r="I149" s="72">
        <f>+G149+H149</f>
        <v>0</v>
      </c>
      <c r="J149" s="72">
        <f>+J153</f>
        <v>0</v>
      </c>
      <c r="K149" s="72">
        <f>+K153+K150</f>
        <v>0</v>
      </c>
      <c r="L149" s="72">
        <f>+J149+K149</f>
        <v>0</v>
      </c>
      <c r="M149" s="72">
        <f t="shared" si="64"/>
        <v>0</v>
      </c>
      <c r="N149" s="53">
        <f>+F149-M149</f>
        <v>385400000</v>
      </c>
      <c r="P149" s="195"/>
      <c r="S149" s="206"/>
      <c r="T149" s="206"/>
      <c r="U149" s="243"/>
    </row>
    <row r="150" spans="1:21" s="67" customFormat="1" ht="18" customHeight="1" x14ac:dyDescent="0.25">
      <c r="A150" s="83"/>
      <c r="B150" s="84"/>
      <c r="C150" s="56"/>
      <c r="D150" s="57" t="s">
        <v>76</v>
      </c>
      <c r="E150" s="57" t="s">
        <v>394</v>
      </c>
      <c r="F150" s="58">
        <f>F151+F152</f>
        <v>180100000</v>
      </c>
      <c r="G150" s="59">
        <f>G151</f>
        <v>0</v>
      </c>
      <c r="H150" s="59">
        <f>+H151</f>
        <v>0</v>
      </c>
      <c r="I150" s="59">
        <f>+G150+H150</f>
        <v>0</v>
      </c>
      <c r="J150" s="59">
        <f>J151</f>
        <v>0</v>
      </c>
      <c r="K150" s="59">
        <f>+K151</f>
        <v>0</v>
      </c>
      <c r="L150" s="59">
        <f>+J150+K150</f>
        <v>0</v>
      </c>
      <c r="M150" s="59">
        <f t="shared" si="64"/>
        <v>0</v>
      </c>
      <c r="N150" s="58">
        <f>+F150-M150</f>
        <v>180100000</v>
      </c>
      <c r="P150" s="192"/>
      <c r="S150" s="205"/>
      <c r="T150" s="205"/>
      <c r="U150" s="249"/>
    </row>
    <row r="151" spans="1:21" s="86" customFormat="1" ht="18" customHeight="1" x14ac:dyDescent="0.25">
      <c r="A151" s="85"/>
      <c r="B151" s="66"/>
      <c r="C151" s="61"/>
      <c r="D151" s="62" t="s">
        <v>393</v>
      </c>
      <c r="E151" s="62" t="s">
        <v>394</v>
      </c>
      <c r="F151" s="63">
        <v>99600000</v>
      </c>
      <c r="G151" s="75"/>
      <c r="H151" s="75"/>
      <c r="I151" s="75">
        <f t="shared" ref="I151:I152" si="66">+G151+H151</f>
        <v>0</v>
      </c>
      <c r="J151" s="75"/>
      <c r="K151" s="75"/>
      <c r="L151" s="75">
        <f t="shared" ref="L151:L152" si="67">+J151+K151</f>
        <v>0</v>
      </c>
      <c r="M151" s="75">
        <f t="shared" si="64"/>
        <v>0</v>
      </c>
      <c r="N151" s="63">
        <f t="shared" ref="N151:N152" si="68">+F151-M151</f>
        <v>99600000</v>
      </c>
      <c r="P151" s="194"/>
      <c r="S151" s="230">
        <v>13000000</v>
      </c>
      <c r="T151" s="214"/>
      <c r="U151" s="250"/>
    </row>
    <row r="152" spans="1:21" s="86" customFormat="1" ht="18" customHeight="1" x14ac:dyDescent="0.25">
      <c r="A152" s="85"/>
      <c r="B152" s="66"/>
      <c r="C152" s="61"/>
      <c r="D152" s="62" t="s">
        <v>117</v>
      </c>
      <c r="E152" s="62" t="s">
        <v>118</v>
      </c>
      <c r="F152" s="63">
        <v>80500000</v>
      </c>
      <c r="G152" s="75"/>
      <c r="H152" s="75"/>
      <c r="I152" s="75">
        <f t="shared" si="66"/>
        <v>0</v>
      </c>
      <c r="J152" s="75"/>
      <c r="K152" s="75"/>
      <c r="L152" s="75">
        <f t="shared" si="67"/>
        <v>0</v>
      </c>
      <c r="M152" s="75">
        <f t="shared" si="64"/>
        <v>0</v>
      </c>
      <c r="N152" s="63">
        <f t="shared" si="68"/>
        <v>80500000</v>
      </c>
      <c r="P152" s="194"/>
      <c r="S152" s="230">
        <v>13000000</v>
      </c>
      <c r="T152" s="214"/>
      <c r="U152" s="250"/>
    </row>
    <row r="153" spans="1:21" s="67" customFormat="1" ht="18" customHeight="1" x14ac:dyDescent="0.25">
      <c r="A153" s="83"/>
      <c r="B153" s="84"/>
      <c r="C153" s="56"/>
      <c r="D153" s="57" t="s">
        <v>92</v>
      </c>
      <c r="E153" s="57" t="s">
        <v>94</v>
      </c>
      <c r="F153" s="58">
        <f>F154+F155</f>
        <v>205300000</v>
      </c>
      <c r="G153" s="59">
        <f>+G154+G155</f>
        <v>0</v>
      </c>
      <c r="H153" s="59">
        <f>+H154+H155</f>
        <v>0</v>
      </c>
      <c r="I153" s="59">
        <f>+G153+H153</f>
        <v>0</v>
      </c>
      <c r="J153" s="59">
        <f>J154+J155</f>
        <v>0</v>
      </c>
      <c r="K153" s="59">
        <f>+K154+K155</f>
        <v>0</v>
      </c>
      <c r="L153" s="59">
        <f>+J153+K153</f>
        <v>0</v>
      </c>
      <c r="M153" s="59">
        <f t="shared" si="64"/>
        <v>0</v>
      </c>
      <c r="N153" s="58">
        <f>+F153-M153</f>
        <v>205300000</v>
      </c>
      <c r="P153" s="192"/>
      <c r="S153" s="205"/>
      <c r="T153" s="205"/>
      <c r="U153" s="249"/>
    </row>
    <row r="154" spans="1:21" s="86" customFormat="1" ht="18" customHeight="1" x14ac:dyDescent="0.25">
      <c r="A154" s="85"/>
      <c r="B154" s="66"/>
      <c r="C154" s="61"/>
      <c r="D154" s="62" t="s">
        <v>93</v>
      </c>
      <c r="E154" s="62" t="s">
        <v>95</v>
      </c>
      <c r="F154" s="63">
        <v>180000000</v>
      </c>
      <c r="G154" s="75"/>
      <c r="H154" s="75"/>
      <c r="I154" s="75">
        <f t="shared" ref="I154:I155" si="69">+G154+H154</f>
        <v>0</v>
      </c>
      <c r="J154" s="75"/>
      <c r="K154" s="75"/>
      <c r="L154" s="75">
        <f t="shared" ref="L154:L164" si="70">+J154+K154</f>
        <v>0</v>
      </c>
      <c r="M154" s="75">
        <f t="shared" si="64"/>
        <v>0</v>
      </c>
      <c r="N154" s="63">
        <f t="shared" ref="N154:N155" si="71">+F154-M154</f>
        <v>180000000</v>
      </c>
      <c r="P154" s="194"/>
      <c r="S154" s="214"/>
      <c r="T154" s="214"/>
      <c r="U154" s="250"/>
    </row>
    <row r="155" spans="1:21" s="86" customFormat="1" ht="18" customHeight="1" x14ac:dyDescent="0.25">
      <c r="A155" s="85"/>
      <c r="B155" s="66"/>
      <c r="C155" s="61"/>
      <c r="D155" s="62" t="s">
        <v>397</v>
      </c>
      <c r="E155" s="62" t="s">
        <v>398</v>
      </c>
      <c r="F155" s="63">
        <v>25300000</v>
      </c>
      <c r="G155" s="75"/>
      <c r="H155" s="75"/>
      <c r="I155" s="75">
        <f t="shared" si="69"/>
        <v>0</v>
      </c>
      <c r="J155" s="75"/>
      <c r="K155" s="75"/>
      <c r="L155" s="75">
        <f t="shared" si="70"/>
        <v>0</v>
      </c>
      <c r="M155" s="75">
        <f t="shared" si="64"/>
        <v>0</v>
      </c>
      <c r="N155" s="63">
        <f t="shared" si="71"/>
        <v>25300000</v>
      </c>
      <c r="P155" s="194"/>
      <c r="S155" s="214"/>
      <c r="T155" s="214"/>
      <c r="U155" s="250"/>
    </row>
    <row r="156" spans="1:21" s="55" customFormat="1" ht="18" customHeight="1" x14ac:dyDescent="0.25">
      <c r="A156" s="50"/>
      <c r="B156" s="51"/>
      <c r="C156" s="50"/>
      <c r="D156" s="71" t="s">
        <v>399</v>
      </c>
      <c r="E156" s="51" t="s">
        <v>400</v>
      </c>
      <c r="F156" s="53">
        <f>+F157</f>
        <v>200000000</v>
      </c>
      <c r="G156" s="72">
        <f>+G160</f>
        <v>0</v>
      </c>
      <c r="H156" s="72">
        <f>+H160</f>
        <v>0</v>
      </c>
      <c r="I156" s="72">
        <f>+G156+H156</f>
        <v>0</v>
      </c>
      <c r="J156" s="72">
        <f>+J160</f>
        <v>0</v>
      </c>
      <c r="K156" s="72">
        <f>+K160+K157</f>
        <v>0</v>
      </c>
      <c r="L156" s="72">
        <f>+J156+K156</f>
        <v>0</v>
      </c>
      <c r="M156" s="72">
        <f t="shared" si="64"/>
        <v>0</v>
      </c>
      <c r="N156" s="53">
        <f>+F156-M156</f>
        <v>200000000</v>
      </c>
      <c r="P156" s="195"/>
      <c r="S156" s="206"/>
      <c r="T156" s="206"/>
      <c r="U156" s="243"/>
    </row>
    <row r="157" spans="1:21" s="67" customFormat="1" ht="18" customHeight="1" x14ac:dyDescent="0.25">
      <c r="A157" s="83"/>
      <c r="B157" s="84"/>
      <c r="C157" s="56"/>
      <c r="D157" s="57" t="s">
        <v>401</v>
      </c>
      <c r="E157" s="57" t="s">
        <v>402</v>
      </c>
      <c r="F157" s="58">
        <f>+F158</f>
        <v>200000000</v>
      </c>
      <c r="G157" s="59">
        <f>G158</f>
        <v>0</v>
      </c>
      <c r="H157" s="59">
        <f>+H158</f>
        <v>0</v>
      </c>
      <c r="I157" s="59">
        <f>+G157+H157</f>
        <v>0</v>
      </c>
      <c r="J157" s="59">
        <f>J158</f>
        <v>0</v>
      </c>
      <c r="K157" s="59">
        <f>+K158</f>
        <v>0</v>
      </c>
      <c r="L157" s="59">
        <f>+J157+K157</f>
        <v>0</v>
      </c>
      <c r="M157" s="59">
        <f t="shared" si="64"/>
        <v>0</v>
      </c>
      <c r="N157" s="58">
        <f>+F157-M157</f>
        <v>200000000</v>
      </c>
      <c r="P157" s="192"/>
      <c r="S157" s="205"/>
      <c r="T157" s="205"/>
      <c r="U157" s="249"/>
    </row>
    <row r="158" spans="1:21" s="86" customFormat="1" ht="18" customHeight="1" x14ac:dyDescent="0.25">
      <c r="A158" s="85"/>
      <c r="B158" s="66"/>
      <c r="C158" s="61"/>
      <c r="D158" s="62" t="s">
        <v>459</v>
      </c>
      <c r="E158" s="62" t="s">
        <v>460</v>
      </c>
      <c r="F158" s="63">
        <v>200000000</v>
      </c>
      <c r="G158" s="75"/>
      <c r="H158" s="75"/>
      <c r="I158" s="75">
        <f t="shared" ref="I158" si="72">+G158+H158</f>
        <v>0</v>
      </c>
      <c r="J158" s="75"/>
      <c r="K158" s="75"/>
      <c r="L158" s="75">
        <f t="shared" ref="L158" si="73">+J158+K158</f>
        <v>0</v>
      </c>
      <c r="M158" s="75">
        <f t="shared" si="64"/>
        <v>0</v>
      </c>
      <c r="N158" s="63">
        <f t="shared" ref="N158" si="74">+F158-M158</f>
        <v>200000000</v>
      </c>
      <c r="P158" s="194"/>
      <c r="S158" s="230">
        <v>13000000</v>
      </c>
      <c r="T158" s="214"/>
      <c r="U158" s="250"/>
    </row>
    <row r="159" spans="1:21" s="55" customFormat="1" ht="18" customHeight="1" x14ac:dyDescent="0.25">
      <c r="A159" s="50"/>
      <c r="B159" s="51"/>
      <c r="C159" s="50"/>
      <c r="D159" s="71" t="s">
        <v>273</v>
      </c>
      <c r="E159" s="51" t="s">
        <v>274</v>
      </c>
      <c r="F159" s="53">
        <f>+F160+F162</f>
        <v>540800000</v>
      </c>
      <c r="G159" s="72">
        <f>+G160+G162</f>
        <v>0</v>
      </c>
      <c r="H159" s="72">
        <f>+H160+H162</f>
        <v>0</v>
      </c>
      <c r="I159" s="72">
        <f>+G159+H159</f>
        <v>0</v>
      </c>
      <c r="J159" s="72">
        <f t="shared" ref="J159:K160" si="75">+J160</f>
        <v>0</v>
      </c>
      <c r="K159" s="72">
        <f t="shared" si="75"/>
        <v>0</v>
      </c>
      <c r="L159" s="72">
        <f t="shared" si="70"/>
        <v>0</v>
      </c>
      <c r="M159" s="72">
        <f t="shared" si="64"/>
        <v>0</v>
      </c>
      <c r="N159" s="53">
        <f>+F159-M159</f>
        <v>540800000</v>
      </c>
      <c r="P159" s="195"/>
      <c r="S159" s="206"/>
      <c r="T159" s="206"/>
      <c r="U159" s="243"/>
    </row>
    <row r="160" spans="1:21" s="67" customFormat="1" ht="18" customHeight="1" x14ac:dyDescent="0.25">
      <c r="A160" s="83"/>
      <c r="B160" s="84"/>
      <c r="C160" s="56"/>
      <c r="D160" s="57" t="s">
        <v>96</v>
      </c>
      <c r="E160" s="57" t="s">
        <v>98</v>
      </c>
      <c r="F160" s="58">
        <f>F161</f>
        <v>335000000</v>
      </c>
      <c r="G160" s="59">
        <f>+G161</f>
        <v>0</v>
      </c>
      <c r="H160" s="59">
        <f>+H161</f>
        <v>0</v>
      </c>
      <c r="I160" s="59">
        <f>+G160+H160</f>
        <v>0</v>
      </c>
      <c r="J160" s="59">
        <f>+J161</f>
        <v>0</v>
      </c>
      <c r="K160" s="59">
        <f t="shared" si="75"/>
        <v>0</v>
      </c>
      <c r="L160" s="59">
        <f t="shared" si="70"/>
        <v>0</v>
      </c>
      <c r="M160" s="59">
        <f t="shared" si="64"/>
        <v>0</v>
      </c>
      <c r="N160" s="58">
        <f>+F160-M160</f>
        <v>335000000</v>
      </c>
      <c r="P160" s="192"/>
      <c r="S160" s="205"/>
      <c r="T160" s="205"/>
      <c r="U160" s="249"/>
    </row>
    <row r="161" spans="1:21" s="86" customFormat="1" ht="18" customHeight="1" x14ac:dyDescent="0.25">
      <c r="A161" s="85"/>
      <c r="B161" s="66"/>
      <c r="C161" s="61"/>
      <c r="D161" s="62" t="s">
        <v>97</v>
      </c>
      <c r="E161" s="62" t="s">
        <v>99</v>
      </c>
      <c r="F161" s="63">
        <v>335000000</v>
      </c>
      <c r="G161" s="75"/>
      <c r="H161" s="75"/>
      <c r="I161" s="75">
        <f t="shared" si="59"/>
        <v>0</v>
      </c>
      <c r="J161" s="75"/>
      <c r="K161" s="75"/>
      <c r="L161" s="75">
        <f t="shared" si="70"/>
        <v>0</v>
      </c>
      <c r="M161" s="75">
        <f t="shared" si="64"/>
        <v>0</v>
      </c>
      <c r="N161" s="63">
        <f t="shared" ref="N161" si="76">+F161-M161</f>
        <v>335000000</v>
      </c>
      <c r="P161" s="194"/>
      <c r="S161" s="214"/>
      <c r="T161" s="214"/>
      <c r="U161" s="250"/>
    </row>
    <row r="162" spans="1:21" s="67" customFormat="1" ht="18" customHeight="1" x14ac:dyDescent="0.25">
      <c r="A162" s="83"/>
      <c r="B162" s="84"/>
      <c r="C162" s="56"/>
      <c r="D162" s="57" t="s">
        <v>382</v>
      </c>
      <c r="E162" s="57" t="s">
        <v>383</v>
      </c>
      <c r="F162" s="58">
        <f>SUM(F163:F164)</f>
        <v>205800000</v>
      </c>
      <c r="G162" s="59">
        <f>SUM(G163:G164)</f>
        <v>0</v>
      </c>
      <c r="H162" s="59">
        <f>SUM(H163:H164)</f>
        <v>0</v>
      </c>
      <c r="I162" s="59">
        <f>+G162+H162</f>
        <v>0</v>
      </c>
      <c r="J162" s="59">
        <f>SUM(J163:J164)</f>
        <v>0</v>
      </c>
      <c r="K162" s="59">
        <f>SUM(K163:K164)</f>
        <v>0</v>
      </c>
      <c r="L162" s="59">
        <f>+J162+K162</f>
        <v>0</v>
      </c>
      <c r="M162" s="59">
        <f t="shared" si="64"/>
        <v>0</v>
      </c>
      <c r="N162" s="58">
        <f>+F162-M162</f>
        <v>205800000</v>
      </c>
      <c r="P162" s="192"/>
      <c r="S162" s="205"/>
      <c r="T162" s="205"/>
      <c r="U162" s="249"/>
    </row>
    <row r="163" spans="1:21" s="86" customFormat="1" ht="18" customHeight="1" x14ac:dyDescent="0.25">
      <c r="A163" s="85"/>
      <c r="B163" s="66"/>
      <c r="C163" s="61"/>
      <c r="D163" s="62" t="s">
        <v>384</v>
      </c>
      <c r="E163" s="62" t="s">
        <v>385</v>
      </c>
      <c r="F163" s="63">
        <v>170400000</v>
      </c>
      <c r="G163" s="75"/>
      <c r="H163" s="75"/>
      <c r="I163" s="75">
        <f t="shared" si="59"/>
        <v>0</v>
      </c>
      <c r="J163" s="75"/>
      <c r="K163" s="75"/>
      <c r="L163" s="75">
        <f t="shared" si="70"/>
        <v>0</v>
      </c>
      <c r="M163" s="75">
        <f t="shared" si="64"/>
        <v>0</v>
      </c>
      <c r="N163" s="63">
        <f t="shared" ref="N163:N164" si="77">+F163-M163</f>
        <v>170400000</v>
      </c>
      <c r="P163" s="194"/>
      <c r="S163" s="214"/>
      <c r="T163" s="214"/>
      <c r="U163" s="250"/>
    </row>
    <row r="164" spans="1:21" s="144" customFormat="1" ht="18" customHeight="1" x14ac:dyDescent="0.25">
      <c r="A164" s="142"/>
      <c r="B164" s="143"/>
      <c r="C164" s="123"/>
      <c r="D164" s="124" t="s">
        <v>386</v>
      </c>
      <c r="E164" s="124" t="s">
        <v>387</v>
      </c>
      <c r="F164" s="125">
        <v>35400000</v>
      </c>
      <c r="G164" s="140"/>
      <c r="H164" s="140"/>
      <c r="I164" s="140">
        <f t="shared" si="59"/>
        <v>0</v>
      </c>
      <c r="J164" s="140"/>
      <c r="K164" s="140"/>
      <c r="L164" s="140">
        <f t="shared" si="70"/>
        <v>0</v>
      </c>
      <c r="M164" s="140">
        <f t="shared" si="64"/>
        <v>0</v>
      </c>
      <c r="N164" s="125">
        <f t="shared" si="77"/>
        <v>35400000</v>
      </c>
      <c r="P164" s="196"/>
      <c r="S164" s="215"/>
      <c r="T164" s="215"/>
      <c r="U164" s="252"/>
    </row>
    <row r="165" spans="1:21" s="121" customFormat="1" ht="18" customHeight="1" x14ac:dyDescent="0.25">
      <c r="A165" s="116">
        <v>7</v>
      </c>
      <c r="B165" s="117"/>
      <c r="C165" s="145" t="s">
        <v>102</v>
      </c>
      <c r="D165" s="118"/>
      <c r="E165" s="128" t="s">
        <v>103</v>
      </c>
      <c r="F165" s="119">
        <f t="shared" ref="F165:H168" si="78">+F166</f>
        <v>540210000</v>
      </c>
      <c r="G165" s="120">
        <f t="shared" si="78"/>
        <v>0</v>
      </c>
      <c r="H165" s="120">
        <f t="shared" si="78"/>
        <v>0</v>
      </c>
      <c r="I165" s="120">
        <f>+G165+H165</f>
        <v>0</v>
      </c>
      <c r="J165" s="120">
        <f>+J166</f>
        <v>0</v>
      </c>
      <c r="K165" s="120">
        <f t="shared" ref="J165:K168" si="79">+K166</f>
        <v>0</v>
      </c>
      <c r="L165" s="120">
        <f>+J165+K165</f>
        <v>0</v>
      </c>
      <c r="M165" s="120">
        <f>+I165+L165</f>
        <v>0</v>
      </c>
      <c r="N165" s="119">
        <f>+F165-M165</f>
        <v>540210000</v>
      </c>
      <c r="P165" s="190"/>
      <c r="R165" s="122"/>
      <c r="S165" s="216"/>
      <c r="T165" s="216"/>
      <c r="U165" s="246"/>
    </row>
    <row r="166" spans="1:21" s="107" customFormat="1" ht="18" customHeight="1" x14ac:dyDescent="0.25">
      <c r="A166" s="101"/>
      <c r="B166" s="102"/>
      <c r="C166" s="141"/>
      <c r="D166" s="103" t="s">
        <v>207</v>
      </c>
      <c r="E166" s="104" t="s">
        <v>262</v>
      </c>
      <c r="F166" s="105">
        <f t="shared" si="78"/>
        <v>540210000</v>
      </c>
      <c r="G166" s="106">
        <f t="shared" si="78"/>
        <v>0</v>
      </c>
      <c r="H166" s="106">
        <f t="shared" si="78"/>
        <v>0</v>
      </c>
      <c r="I166" s="106">
        <f>+G166+H166</f>
        <v>0</v>
      </c>
      <c r="J166" s="106">
        <f t="shared" si="79"/>
        <v>0</v>
      </c>
      <c r="K166" s="106">
        <f t="shared" si="79"/>
        <v>0</v>
      </c>
      <c r="L166" s="106">
        <f>+J166+K166</f>
        <v>0</v>
      </c>
      <c r="M166" s="106">
        <f t="shared" ref="M166:M169" si="80">+I166+L166</f>
        <v>0</v>
      </c>
      <c r="N166" s="105">
        <f>+F166-M166</f>
        <v>540210000</v>
      </c>
      <c r="P166" s="191"/>
      <c r="R166" s="108"/>
      <c r="S166" s="217"/>
      <c r="T166" s="217"/>
      <c r="U166" s="241"/>
    </row>
    <row r="167" spans="1:21" s="67" customFormat="1" ht="18" customHeight="1" x14ac:dyDescent="0.25">
      <c r="A167" s="81"/>
      <c r="B167" s="82"/>
      <c r="C167" s="44"/>
      <c r="D167" s="45" t="s">
        <v>63</v>
      </c>
      <c r="E167" s="45" t="s">
        <v>30</v>
      </c>
      <c r="F167" s="47">
        <f t="shared" si="78"/>
        <v>540210000</v>
      </c>
      <c r="G167" s="70">
        <f t="shared" si="78"/>
        <v>0</v>
      </c>
      <c r="H167" s="70">
        <f t="shared" si="78"/>
        <v>0</v>
      </c>
      <c r="I167" s="70">
        <f>+G167+H167</f>
        <v>0</v>
      </c>
      <c r="J167" s="70">
        <f t="shared" si="79"/>
        <v>0</v>
      </c>
      <c r="K167" s="70">
        <f t="shared" si="79"/>
        <v>0</v>
      </c>
      <c r="L167" s="70">
        <f>+J167+K167</f>
        <v>0</v>
      </c>
      <c r="M167" s="70">
        <f t="shared" si="80"/>
        <v>0</v>
      </c>
      <c r="N167" s="47">
        <f>+F167-M167</f>
        <v>540210000</v>
      </c>
      <c r="P167" s="192"/>
      <c r="S167" s="205"/>
      <c r="T167" s="205"/>
      <c r="U167" s="249"/>
    </row>
    <row r="168" spans="1:21" s="55" customFormat="1" ht="18" customHeight="1" x14ac:dyDescent="0.25">
      <c r="A168" s="50"/>
      <c r="B168" s="51"/>
      <c r="C168" s="50"/>
      <c r="D168" s="71" t="s">
        <v>263</v>
      </c>
      <c r="E168" s="51" t="s">
        <v>264</v>
      </c>
      <c r="F168" s="53">
        <f t="shared" si="78"/>
        <v>540210000</v>
      </c>
      <c r="G168" s="72">
        <f>+G169</f>
        <v>0</v>
      </c>
      <c r="H168" s="72">
        <f>+H169</f>
        <v>0</v>
      </c>
      <c r="I168" s="72">
        <f>+G168+H168</f>
        <v>0</v>
      </c>
      <c r="J168" s="72">
        <f t="shared" si="79"/>
        <v>0</v>
      </c>
      <c r="K168" s="72">
        <f t="shared" si="79"/>
        <v>0</v>
      </c>
      <c r="L168" s="72">
        <f>+J168+K168</f>
        <v>0</v>
      </c>
      <c r="M168" s="72">
        <f t="shared" si="80"/>
        <v>0</v>
      </c>
      <c r="N168" s="53">
        <f>+F168-M168</f>
        <v>540210000</v>
      </c>
      <c r="P168" s="195"/>
      <c r="S168" s="206"/>
      <c r="T168" s="206"/>
      <c r="U168" s="243"/>
    </row>
    <row r="169" spans="1:21" s="67" customFormat="1" ht="18" customHeight="1" x14ac:dyDescent="0.25">
      <c r="A169" s="83"/>
      <c r="B169" s="84"/>
      <c r="C169" s="56"/>
      <c r="D169" s="57" t="s">
        <v>64</v>
      </c>
      <c r="E169" s="57" t="s">
        <v>65</v>
      </c>
      <c r="F169" s="58">
        <f>SUM(F170:F172)</f>
        <v>540210000</v>
      </c>
      <c r="G169" s="59">
        <f>SUM(G170:G172)</f>
        <v>0</v>
      </c>
      <c r="H169" s="59">
        <f>SUM(H170:H172)</f>
        <v>0</v>
      </c>
      <c r="I169" s="59">
        <f>+G169+H169</f>
        <v>0</v>
      </c>
      <c r="J169" s="59">
        <f>SUM(J170:J172)</f>
        <v>0</v>
      </c>
      <c r="K169" s="59">
        <f>SUM(K170:K172)</f>
        <v>0</v>
      </c>
      <c r="L169" s="59">
        <f>+J169+K169</f>
        <v>0</v>
      </c>
      <c r="M169" s="59">
        <f t="shared" si="80"/>
        <v>0</v>
      </c>
      <c r="N169" s="58">
        <f>+F169-M169</f>
        <v>540210000</v>
      </c>
      <c r="P169" s="192"/>
      <c r="S169" s="205"/>
      <c r="T169" s="205"/>
      <c r="U169" s="249"/>
    </row>
    <row r="170" spans="1:21" s="86" customFormat="1" ht="18" customHeight="1" x14ac:dyDescent="0.25">
      <c r="A170" s="85"/>
      <c r="B170" s="66"/>
      <c r="C170" s="61"/>
      <c r="D170" s="62" t="s">
        <v>388</v>
      </c>
      <c r="E170" s="62" t="s">
        <v>389</v>
      </c>
      <c r="F170" s="63">
        <v>57760000</v>
      </c>
      <c r="G170" s="75"/>
      <c r="H170" s="75"/>
      <c r="I170" s="75">
        <f t="shared" ref="I170" si="81">+G170+H170</f>
        <v>0</v>
      </c>
      <c r="J170" s="75"/>
      <c r="K170" s="75"/>
      <c r="L170" s="75">
        <f t="shared" ref="L170:L172" si="82">+J170+K170</f>
        <v>0</v>
      </c>
      <c r="M170" s="75">
        <f>+I170+L170</f>
        <v>0</v>
      </c>
      <c r="N170" s="63">
        <f t="shared" ref="N170:N172" si="83">+F170-M170</f>
        <v>57760000</v>
      </c>
      <c r="P170" s="194"/>
      <c r="S170" s="230">
        <f>3952000+3557000</f>
        <v>7509000</v>
      </c>
      <c r="T170" s="214"/>
      <c r="U170" s="250"/>
    </row>
    <row r="171" spans="1:21" s="86" customFormat="1" ht="18" customHeight="1" x14ac:dyDescent="0.25">
      <c r="A171" s="85"/>
      <c r="B171" s="66"/>
      <c r="C171" s="61"/>
      <c r="D171" s="62" t="s">
        <v>70</v>
      </c>
      <c r="E171" s="62" t="s">
        <v>33</v>
      </c>
      <c r="F171" s="63">
        <v>382450000</v>
      </c>
      <c r="G171" s="75"/>
      <c r="H171" s="75"/>
      <c r="I171" s="75">
        <f>+G171+H171</f>
        <v>0</v>
      </c>
      <c r="J171" s="75"/>
      <c r="K171" s="75"/>
      <c r="L171" s="75">
        <f t="shared" si="82"/>
        <v>0</v>
      </c>
      <c r="M171" s="75">
        <f t="shared" ref="M171:M172" si="84">+I171+L171</f>
        <v>0</v>
      </c>
      <c r="N171" s="63">
        <f t="shared" si="83"/>
        <v>382450000</v>
      </c>
      <c r="P171" s="194"/>
      <c r="S171" s="230">
        <f>3750000+3250000+3250000+1250000+3500000+14650000+3500000+1650000+1650000+14550000</f>
        <v>51000000</v>
      </c>
      <c r="T171" s="214"/>
      <c r="U171" s="250"/>
    </row>
    <row r="172" spans="1:21" s="144" customFormat="1" ht="18" customHeight="1" x14ac:dyDescent="0.25">
      <c r="A172" s="142"/>
      <c r="B172" s="143"/>
      <c r="C172" s="123"/>
      <c r="D172" s="124" t="s">
        <v>104</v>
      </c>
      <c r="E172" s="124" t="s">
        <v>390</v>
      </c>
      <c r="F172" s="125">
        <v>100000000</v>
      </c>
      <c r="G172" s="140"/>
      <c r="H172" s="140"/>
      <c r="I172" s="140"/>
      <c r="J172" s="140">
        <v>0</v>
      </c>
      <c r="K172" s="140"/>
      <c r="L172" s="140">
        <f t="shared" si="82"/>
        <v>0</v>
      </c>
      <c r="M172" s="140">
        <f t="shared" si="84"/>
        <v>0</v>
      </c>
      <c r="N172" s="125">
        <f t="shared" si="83"/>
        <v>100000000</v>
      </c>
      <c r="P172" s="196"/>
      <c r="S172" s="215"/>
      <c r="T172" s="215"/>
      <c r="U172" s="252"/>
    </row>
    <row r="173" spans="1:21" s="121" customFormat="1" ht="18" customHeight="1" x14ac:dyDescent="0.25">
      <c r="A173" s="116">
        <v>8</v>
      </c>
      <c r="B173" s="117"/>
      <c r="C173" s="145" t="s">
        <v>105</v>
      </c>
      <c r="D173" s="118"/>
      <c r="E173" s="128" t="s">
        <v>106</v>
      </c>
      <c r="F173" s="119">
        <f t="shared" ref="F173:H180" si="85">+F174</f>
        <v>1600450000</v>
      </c>
      <c r="G173" s="120">
        <f t="shared" si="85"/>
        <v>0</v>
      </c>
      <c r="H173" s="120">
        <f>+H174</f>
        <v>0</v>
      </c>
      <c r="I173" s="120">
        <f>+G173+H173</f>
        <v>0</v>
      </c>
      <c r="J173" s="120">
        <f t="shared" ref="J173:K180" si="86">+J174</f>
        <v>0</v>
      </c>
      <c r="K173" s="120">
        <f t="shared" si="86"/>
        <v>0</v>
      </c>
      <c r="L173" s="120">
        <f>+J173+K173</f>
        <v>0</v>
      </c>
      <c r="M173" s="120">
        <f>+I173+L173</f>
        <v>0</v>
      </c>
      <c r="N173" s="119">
        <f>+F173-M173</f>
        <v>1600450000</v>
      </c>
      <c r="P173" s="190"/>
      <c r="R173" s="122"/>
      <c r="S173" s="216"/>
      <c r="T173" s="216"/>
      <c r="U173" s="246"/>
    </row>
    <row r="174" spans="1:21" s="107" customFormat="1" ht="18" customHeight="1" x14ac:dyDescent="0.25">
      <c r="A174" s="101"/>
      <c r="B174" s="102"/>
      <c r="C174" s="141"/>
      <c r="D174" s="103" t="s">
        <v>207</v>
      </c>
      <c r="E174" s="104" t="s">
        <v>262</v>
      </c>
      <c r="F174" s="105">
        <f>+F175</f>
        <v>1600450000</v>
      </c>
      <c r="G174" s="106">
        <f t="shared" si="85"/>
        <v>0</v>
      </c>
      <c r="H174" s="106">
        <f t="shared" si="85"/>
        <v>0</v>
      </c>
      <c r="I174" s="106">
        <f>+G174+H174</f>
        <v>0</v>
      </c>
      <c r="J174" s="106">
        <f t="shared" si="86"/>
        <v>0</v>
      </c>
      <c r="K174" s="106">
        <f t="shared" si="86"/>
        <v>0</v>
      </c>
      <c r="L174" s="106">
        <f>+J174+K174</f>
        <v>0</v>
      </c>
      <c r="M174" s="106">
        <f t="shared" ref="M174:M182" si="87">+I174+L174</f>
        <v>0</v>
      </c>
      <c r="N174" s="105">
        <f>+F174-M174</f>
        <v>1600450000</v>
      </c>
      <c r="P174" s="191"/>
      <c r="R174" s="108"/>
      <c r="S174" s="217"/>
      <c r="T174" s="217"/>
      <c r="U174" s="241"/>
    </row>
    <row r="175" spans="1:21" s="67" customFormat="1" ht="18" customHeight="1" x14ac:dyDescent="0.25">
      <c r="A175" s="81"/>
      <c r="B175" s="82"/>
      <c r="C175" s="44"/>
      <c r="D175" s="45" t="s">
        <v>63</v>
      </c>
      <c r="E175" s="45" t="s">
        <v>30</v>
      </c>
      <c r="F175" s="47">
        <f>+F180+F176</f>
        <v>1600450000</v>
      </c>
      <c r="G175" s="70">
        <f>+G180</f>
        <v>0</v>
      </c>
      <c r="H175" s="70">
        <f>+H180+H176</f>
        <v>0</v>
      </c>
      <c r="I175" s="70">
        <f>+G175+H175</f>
        <v>0</v>
      </c>
      <c r="J175" s="70">
        <f>+J180+J176</f>
        <v>0</v>
      </c>
      <c r="K175" s="70">
        <f>+K180+K176</f>
        <v>0</v>
      </c>
      <c r="L175" s="70">
        <f>+J175+K175</f>
        <v>0</v>
      </c>
      <c r="M175" s="70">
        <f t="shared" si="87"/>
        <v>0</v>
      </c>
      <c r="N175" s="47">
        <f>+F175-M175</f>
        <v>1600450000</v>
      </c>
      <c r="P175" s="192"/>
      <c r="S175" s="205"/>
      <c r="T175" s="205"/>
      <c r="U175" s="249"/>
    </row>
    <row r="176" spans="1:21" s="55" customFormat="1" ht="18" customHeight="1" x14ac:dyDescent="0.25">
      <c r="A176" s="50"/>
      <c r="B176" s="51"/>
      <c r="C176" s="50"/>
      <c r="D176" s="71" t="s">
        <v>263</v>
      </c>
      <c r="E176" s="51" t="s">
        <v>448</v>
      </c>
      <c r="F176" s="53">
        <f>+F177</f>
        <v>32500000</v>
      </c>
      <c r="G176" s="72">
        <f>+G177</f>
        <v>0</v>
      </c>
      <c r="H176" s="72">
        <f>+H177</f>
        <v>0</v>
      </c>
      <c r="I176" s="72">
        <f>+G176+H176</f>
        <v>0</v>
      </c>
      <c r="J176" s="72">
        <f t="shared" si="86"/>
        <v>0</v>
      </c>
      <c r="K176" s="72">
        <f t="shared" si="86"/>
        <v>0</v>
      </c>
      <c r="L176" s="72">
        <f>+J176+K176</f>
        <v>0</v>
      </c>
      <c r="M176" s="72">
        <f t="shared" si="87"/>
        <v>0</v>
      </c>
      <c r="N176" s="53">
        <f>+F176-M176</f>
        <v>32500000</v>
      </c>
      <c r="P176" s="195"/>
      <c r="S176" s="206"/>
      <c r="T176" s="206"/>
      <c r="U176" s="243"/>
    </row>
    <row r="177" spans="1:21" s="67" customFormat="1" ht="18" customHeight="1" x14ac:dyDescent="0.25">
      <c r="A177" s="83"/>
      <c r="B177" s="84"/>
      <c r="C177" s="56"/>
      <c r="D177" s="57" t="s">
        <v>64</v>
      </c>
      <c r="E177" s="57" t="s">
        <v>448</v>
      </c>
      <c r="F177" s="58">
        <f>+F179+F178</f>
        <v>32500000</v>
      </c>
      <c r="G177" s="59">
        <f>+G179</f>
        <v>0</v>
      </c>
      <c r="H177" s="59">
        <f>SUM(H179)</f>
        <v>0</v>
      </c>
      <c r="I177" s="59">
        <f>+G177+H177</f>
        <v>0</v>
      </c>
      <c r="J177" s="59">
        <f>+J179</f>
        <v>0</v>
      </c>
      <c r="K177" s="59">
        <f>+K179</f>
        <v>0</v>
      </c>
      <c r="L177" s="59">
        <f>+J177+K177</f>
        <v>0</v>
      </c>
      <c r="M177" s="59">
        <f t="shared" si="87"/>
        <v>0</v>
      </c>
      <c r="N177" s="58">
        <f>+F177-M177</f>
        <v>32500000</v>
      </c>
      <c r="P177" s="192"/>
      <c r="S177" s="205"/>
      <c r="T177" s="205"/>
      <c r="U177" s="249"/>
    </row>
    <row r="178" spans="1:21" s="86" customFormat="1" ht="18" customHeight="1" x14ac:dyDescent="0.25">
      <c r="A178" s="85"/>
      <c r="B178" s="66"/>
      <c r="C178" s="61"/>
      <c r="D178" s="62" t="s">
        <v>443</v>
      </c>
      <c r="E178" s="62" t="s">
        <v>444</v>
      </c>
      <c r="F178" s="63">
        <v>17500000</v>
      </c>
      <c r="G178" s="75"/>
      <c r="H178" s="75"/>
      <c r="I178" s="75">
        <f t="shared" ref="I178:I179" si="88">+G178+H178</f>
        <v>0</v>
      </c>
      <c r="J178" s="75"/>
      <c r="K178" s="75"/>
      <c r="L178" s="75">
        <f t="shared" ref="L178:L179" si="89">+J178+K178</f>
        <v>0</v>
      </c>
      <c r="M178" s="75">
        <f t="shared" si="87"/>
        <v>0</v>
      </c>
      <c r="N178" s="63">
        <f t="shared" ref="N178:N179" si="90">+F178-M178</f>
        <v>17500000</v>
      </c>
      <c r="P178" s="194"/>
      <c r="S178" s="214"/>
      <c r="T178" s="214"/>
      <c r="U178" s="250"/>
    </row>
    <row r="179" spans="1:21" s="86" customFormat="1" ht="18" customHeight="1" x14ac:dyDescent="0.25">
      <c r="A179" s="85"/>
      <c r="B179" s="66"/>
      <c r="C179" s="61"/>
      <c r="D179" s="62" t="s">
        <v>447</v>
      </c>
      <c r="E179" s="62" t="s">
        <v>448</v>
      </c>
      <c r="F179" s="63">
        <v>15000000</v>
      </c>
      <c r="G179" s="75"/>
      <c r="H179" s="75"/>
      <c r="I179" s="75">
        <f t="shared" si="88"/>
        <v>0</v>
      </c>
      <c r="J179" s="75"/>
      <c r="K179" s="75"/>
      <c r="L179" s="75">
        <f t="shared" si="89"/>
        <v>0</v>
      </c>
      <c r="M179" s="75">
        <f t="shared" si="87"/>
        <v>0</v>
      </c>
      <c r="N179" s="63">
        <f t="shared" si="90"/>
        <v>15000000</v>
      </c>
      <c r="P179" s="194"/>
      <c r="S179" s="214"/>
      <c r="T179" s="214"/>
      <c r="U179" s="250"/>
    </row>
    <row r="180" spans="1:21" s="55" customFormat="1" ht="18" customHeight="1" x14ac:dyDescent="0.25">
      <c r="A180" s="50"/>
      <c r="B180" s="51"/>
      <c r="C180" s="50"/>
      <c r="D180" s="71" t="s">
        <v>265</v>
      </c>
      <c r="E180" s="51" t="s">
        <v>266</v>
      </c>
      <c r="F180" s="53">
        <f t="shared" si="85"/>
        <v>1567950000</v>
      </c>
      <c r="G180" s="72">
        <f>+G181</f>
        <v>0</v>
      </c>
      <c r="H180" s="72">
        <f>+H181</f>
        <v>0</v>
      </c>
      <c r="I180" s="72">
        <f>+G180+H180</f>
        <v>0</v>
      </c>
      <c r="J180" s="72">
        <f t="shared" si="86"/>
        <v>0</v>
      </c>
      <c r="K180" s="72">
        <f t="shared" si="86"/>
        <v>0</v>
      </c>
      <c r="L180" s="72">
        <f>+J180+K180</f>
        <v>0</v>
      </c>
      <c r="M180" s="72">
        <f t="shared" si="87"/>
        <v>0</v>
      </c>
      <c r="N180" s="53">
        <f>+F180-M180</f>
        <v>1567950000</v>
      </c>
      <c r="P180" s="195"/>
      <c r="S180" s="206"/>
      <c r="T180" s="206"/>
      <c r="U180" s="243"/>
    </row>
    <row r="181" spans="1:21" s="67" customFormat="1" ht="18" customHeight="1" x14ac:dyDescent="0.25">
      <c r="A181" s="83"/>
      <c r="B181" s="84"/>
      <c r="C181" s="56"/>
      <c r="D181" s="57" t="s">
        <v>71</v>
      </c>
      <c r="E181" s="57" t="s">
        <v>72</v>
      </c>
      <c r="F181" s="58">
        <f>SUM(F182:F183)</f>
        <v>1567950000</v>
      </c>
      <c r="G181" s="59">
        <f>SUM(G182:G183)</f>
        <v>0</v>
      </c>
      <c r="H181" s="59">
        <f>SUM(H182:H183)</f>
        <v>0</v>
      </c>
      <c r="I181" s="59">
        <f>+G181+H181</f>
        <v>0</v>
      </c>
      <c r="J181" s="59">
        <f>SUM(J182:J183)</f>
        <v>0</v>
      </c>
      <c r="K181" s="59">
        <f>SUM(K182:K183)</f>
        <v>0</v>
      </c>
      <c r="L181" s="59">
        <f>+J181+K181</f>
        <v>0</v>
      </c>
      <c r="M181" s="59">
        <f t="shared" si="87"/>
        <v>0</v>
      </c>
      <c r="N181" s="58">
        <f>+F181-M181</f>
        <v>1567950000</v>
      </c>
      <c r="P181" s="192"/>
      <c r="S181" s="205"/>
      <c r="T181" s="205"/>
      <c r="U181" s="249"/>
    </row>
    <row r="182" spans="1:21" s="86" customFormat="1" ht="18" customHeight="1" x14ac:dyDescent="0.25">
      <c r="A182" s="85"/>
      <c r="B182" s="66"/>
      <c r="C182" s="61"/>
      <c r="D182" s="62" t="s">
        <v>73</v>
      </c>
      <c r="E182" s="62" t="s">
        <v>74</v>
      </c>
      <c r="F182" s="63">
        <v>1501270000</v>
      </c>
      <c r="G182" s="75"/>
      <c r="H182" s="75"/>
      <c r="I182" s="75">
        <f t="shared" ref="I182" si="91">+G182+H182</f>
        <v>0</v>
      </c>
      <c r="J182" s="75"/>
      <c r="K182" s="75"/>
      <c r="L182" s="75">
        <f t="shared" ref="L182:L193" si="92">+J182+K182</f>
        <v>0</v>
      </c>
      <c r="M182" s="75">
        <f t="shared" si="87"/>
        <v>0</v>
      </c>
      <c r="N182" s="63">
        <f t="shared" ref="N182:N183" si="93">+F182-M182</f>
        <v>1501270000</v>
      </c>
      <c r="P182" s="194"/>
      <c r="S182" s="230">
        <f>826000+330000+1082500+690000+26221500+1087300+7539000+835900+970000+44767635-230000-230000-230000-340000-340000-340000-340000-340000-230000-340000-340000-340000-245000+3850000</f>
        <v>84314835</v>
      </c>
      <c r="T182" s="230">
        <f>130560000</f>
        <v>130560000</v>
      </c>
      <c r="U182" s="250"/>
    </row>
    <row r="183" spans="1:21" s="144" customFormat="1" ht="18" customHeight="1" x14ac:dyDescent="0.25">
      <c r="A183" s="142"/>
      <c r="B183" s="143"/>
      <c r="C183" s="123"/>
      <c r="D183" s="124" t="s">
        <v>88</v>
      </c>
      <c r="E183" s="124" t="s">
        <v>391</v>
      </c>
      <c r="F183" s="125">
        <v>66680000</v>
      </c>
      <c r="G183" s="140"/>
      <c r="H183" s="140"/>
      <c r="I183" s="140"/>
      <c r="J183" s="140"/>
      <c r="K183" s="140"/>
      <c r="L183" s="140">
        <f t="shared" si="92"/>
        <v>0</v>
      </c>
      <c r="M183" s="140">
        <f>+I183+L183</f>
        <v>0</v>
      </c>
      <c r="N183" s="125">
        <f t="shared" si="93"/>
        <v>66680000</v>
      </c>
      <c r="P183" s="196"/>
      <c r="S183" s="239">
        <f>35820900-826000-330000-1082500-690000-26221500-1087300+120000+340000+230000+230000+230000+340000+340000+340000+340000+340000+230000+340000+340000+340000+245000</f>
        <v>9928600</v>
      </c>
      <c r="T183" s="215"/>
      <c r="U183" s="252"/>
    </row>
    <row r="184" spans="1:21" s="121" customFormat="1" ht="18" customHeight="1" x14ac:dyDescent="0.25">
      <c r="A184" s="116">
        <v>9</v>
      </c>
      <c r="B184" s="117"/>
      <c r="C184" s="145" t="s">
        <v>109</v>
      </c>
      <c r="D184" s="118"/>
      <c r="E184" s="128" t="s">
        <v>110</v>
      </c>
      <c r="F184" s="119">
        <f>+F185+F201</f>
        <v>200844000</v>
      </c>
      <c r="G184" s="120">
        <f>+G185+G201</f>
        <v>0</v>
      </c>
      <c r="H184" s="120" t="e">
        <f>+H185+H201</f>
        <v>#REF!</v>
      </c>
      <c r="I184" s="120" t="e">
        <f>+G184+H184</f>
        <v>#REF!</v>
      </c>
      <c r="J184" s="120">
        <f>+J185+J201</f>
        <v>0</v>
      </c>
      <c r="K184" s="120" t="e">
        <f>+K185+K201</f>
        <v>#REF!</v>
      </c>
      <c r="L184" s="120" t="e">
        <f t="shared" si="92"/>
        <v>#REF!</v>
      </c>
      <c r="M184" s="120" t="e">
        <f>+I184+L184</f>
        <v>#REF!</v>
      </c>
      <c r="N184" s="119" t="e">
        <f>+F184-M184</f>
        <v>#REF!</v>
      </c>
      <c r="P184" s="190"/>
      <c r="R184" s="122"/>
      <c r="S184" s="216"/>
      <c r="T184" s="216"/>
      <c r="U184" s="246"/>
    </row>
    <row r="185" spans="1:21" s="107" customFormat="1" ht="18" customHeight="1" x14ac:dyDescent="0.25">
      <c r="A185" s="101"/>
      <c r="B185" s="102"/>
      <c r="C185" s="141"/>
      <c r="D185" s="103" t="s">
        <v>207</v>
      </c>
      <c r="E185" s="104" t="s">
        <v>262</v>
      </c>
      <c r="F185" s="105">
        <f>+F186</f>
        <v>174844000</v>
      </c>
      <c r="G185" s="106">
        <f>+G186</f>
        <v>0</v>
      </c>
      <c r="H185" s="106" t="e">
        <f>+H186</f>
        <v>#REF!</v>
      </c>
      <c r="I185" s="106" t="e">
        <f>+G185+H185</f>
        <v>#REF!</v>
      </c>
      <c r="J185" s="106">
        <f>+J186</f>
        <v>0</v>
      </c>
      <c r="K185" s="106" t="e">
        <f>+K186</f>
        <v>#REF!</v>
      </c>
      <c r="L185" s="106" t="e">
        <f t="shared" si="92"/>
        <v>#REF!</v>
      </c>
      <c r="M185" s="106" t="e">
        <f>+I185+L185</f>
        <v>#REF!</v>
      </c>
      <c r="N185" s="105" t="e">
        <f>+F185-M185</f>
        <v>#REF!</v>
      </c>
      <c r="P185" s="191"/>
      <c r="R185" s="108"/>
      <c r="S185" s="217"/>
      <c r="T185" s="217"/>
      <c r="U185" s="241"/>
    </row>
    <row r="186" spans="1:21" s="67" customFormat="1" ht="18" customHeight="1" x14ac:dyDescent="0.25">
      <c r="A186" s="81"/>
      <c r="B186" s="82"/>
      <c r="C186" s="44"/>
      <c r="D186" s="45" t="s">
        <v>63</v>
      </c>
      <c r="E186" s="45" t="s">
        <v>30</v>
      </c>
      <c r="F186" s="47">
        <f>+F187+F194+F198</f>
        <v>174844000</v>
      </c>
      <c r="G186" s="70">
        <f>+G187+G194</f>
        <v>0</v>
      </c>
      <c r="H186" s="70" t="e">
        <f>+H187+H194</f>
        <v>#REF!</v>
      </c>
      <c r="I186" s="70" t="e">
        <f>+G186+H186</f>
        <v>#REF!</v>
      </c>
      <c r="J186" s="70">
        <f>+J187+J194</f>
        <v>0</v>
      </c>
      <c r="K186" s="70" t="e">
        <f>+K187+K194</f>
        <v>#REF!</v>
      </c>
      <c r="L186" s="70" t="e">
        <f t="shared" si="92"/>
        <v>#REF!</v>
      </c>
      <c r="M186" s="70" t="e">
        <f t="shared" ref="M186:M196" si="94">+I186+L186</f>
        <v>#REF!</v>
      </c>
      <c r="N186" s="47" t="e">
        <f>+F186-M186</f>
        <v>#REF!</v>
      </c>
      <c r="P186" s="192"/>
      <c r="S186" s="205"/>
      <c r="T186" s="205"/>
      <c r="U186" s="249"/>
    </row>
    <row r="187" spans="1:21" s="55" customFormat="1" ht="18" customHeight="1" x14ac:dyDescent="0.25">
      <c r="A187" s="50"/>
      <c r="B187" s="51"/>
      <c r="C187" s="50"/>
      <c r="D187" s="71" t="s">
        <v>263</v>
      </c>
      <c r="E187" s="51" t="s">
        <v>264</v>
      </c>
      <c r="F187" s="53">
        <f t="shared" ref="F187" si="95">+F188</f>
        <v>44044000</v>
      </c>
      <c r="G187" s="72">
        <f>+G188</f>
        <v>0</v>
      </c>
      <c r="H187" s="72">
        <f>+H188</f>
        <v>0</v>
      </c>
      <c r="I187" s="72">
        <f>+G187+H187</f>
        <v>0</v>
      </c>
      <c r="J187" s="72">
        <f>+J188</f>
        <v>0</v>
      </c>
      <c r="K187" s="72">
        <f>+K188</f>
        <v>0</v>
      </c>
      <c r="L187" s="72">
        <f t="shared" si="92"/>
        <v>0</v>
      </c>
      <c r="M187" s="72">
        <f t="shared" si="94"/>
        <v>0</v>
      </c>
      <c r="N187" s="53">
        <f>+F187-M187</f>
        <v>44044000</v>
      </c>
      <c r="P187" s="195"/>
      <c r="S187" s="206"/>
      <c r="T187" s="206"/>
      <c r="U187" s="243"/>
    </row>
    <row r="188" spans="1:21" s="67" customFormat="1" ht="18" customHeight="1" x14ac:dyDescent="0.25">
      <c r="A188" s="83"/>
      <c r="B188" s="84"/>
      <c r="C188" s="56"/>
      <c r="D188" s="57" t="s">
        <v>64</v>
      </c>
      <c r="E188" s="57" t="s">
        <v>65</v>
      </c>
      <c r="F188" s="58">
        <f>SUM(F189:F193)</f>
        <v>44044000</v>
      </c>
      <c r="G188" s="59">
        <f>SUM(G189:G193)</f>
        <v>0</v>
      </c>
      <c r="H188" s="59">
        <f>SUM(H189:H193)</f>
        <v>0</v>
      </c>
      <c r="I188" s="59">
        <f>+G188+H188</f>
        <v>0</v>
      </c>
      <c r="J188" s="59">
        <f>SUM(J189:J193)</f>
        <v>0</v>
      </c>
      <c r="K188" s="59">
        <f>SUM(K189:K193)</f>
        <v>0</v>
      </c>
      <c r="L188" s="59">
        <f t="shared" si="92"/>
        <v>0</v>
      </c>
      <c r="M188" s="59">
        <f t="shared" si="94"/>
        <v>0</v>
      </c>
      <c r="N188" s="58">
        <f>+F188-M188</f>
        <v>44044000</v>
      </c>
      <c r="P188" s="192"/>
      <c r="S188" s="205"/>
      <c r="T188" s="205"/>
      <c r="U188" s="249"/>
    </row>
    <row r="189" spans="1:21" s="86" customFormat="1" ht="18" customHeight="1" x14ac:dyDescent="0.25">
      <c r="A189" s="85"/>
      <c r="B189" s="66"/>
      <c r="C189" s="61"/>
      <c r="D189" s="62" t="s">
        <v>66</v>
      </c>
      <c r="E189" s="62" t="s">
        <v>67</v>
      </c>
      <c r="F189" s="63">
        <v>24037500</v>
      </c>
      <c r="G189" s="75"/>
      <c r="H189" s="75"/>
      <c r="I189" s="75">
        <f t="shared" ref="I189" si="96">+G189+H189</f>
        <v>0</v>
      </c>
      <c r="J189" s="75"/>
      <c r="K189" s="75"/>
      <c r="L189" s="75">
        <f t="shared" si="92"/>
        <v>0</v>
      </c>
      <c r="M189" s="140">
        <f t="shared" si="94"/>
        <v>0</v>
      </c>
      <c r="N189" s="63">
        <f t="shared" ref="N189:N193" si="97">+F189-M189</f>
        <v>24037500</v>
      </c>
      <c r="P189" s="194"/>
      <c r="S189" s="214"/>
      <c r="T189" s="214"/>
      <c r="U189" s="250"/>
    </row>
    <row r="190" spans="1:21" s="86" customFormat="1" ht="18" customHeight="1" x14ac:dyDescent="0.25">
      <c r="A190" s="85"/>
      <c r="B190" s="66"/>
      <c r="C190" s="61"/>
      <c r="D190" s="62" t="s">
        <v>337</v>
      </c>
      <c r="E190" s="62" t="s">
        <v>338</v>
      </c>
      <c r="F190" s="63">
        <v>12104000</v>
      </c>
      <c r="G190" s="75"/>
      <c r="H190" s="75"/>
      <c r="I190" s="75"/>
      <c r="J190" s="75"/>
      <c r="K190" s="75"/>
      <c r="L190" s="75">
        <f t="shared" si="92"/>
        <v>0</v>
      </c>
      <c r="M190" s="140">
        <f t="shared" si="94"/>
        <v>0</v>
      </c>
      <c r="N190" s="63">
        <f t="shared" si="97"/>
        <v>12104000</v>
      </c>
      <c r="P190" s="194"/>
      <c r="S190" s="214"/>
      <c r="T190" s="214"/>
      <c r="U190" s="250"/>
    </row>
    <row r="191" spans="1:21" s="86" customFormat="1" ht="18" customHeight="1" x14ac:dyDescent="0.25">
      <c r="A191" s="85"/>
      <c r="B191" s="66"/>
      <c r="C191" s="61"/>
      <c r="D191" s="62" t="s">
        <v>367</v>
      </c>
      <c r="E191" s="62" t="s">
        <v>368</v>
      </c>
      <c r="F191" s="63">
        <v>3142500</v>
      </c>
      <c r="G191" s="75"/>
      <c r="H191" s="75"/>
      <c r="I191" s="75"/>
      <c r="J191" s="75"/>
      <c r="K191" s="75"/>
      <c r="L191" s="75">
        <f t="shared" si="92"/>
        <v>0</v>
      </c>
      <c r="M191" s="140">
        <f t="shared" si="94"/>
        <v>0</v>
      </c>
      <c r="N191" s="63">
        <f t="shared" si="97"/>
        <v>3142500</v>
      </c>
      <c r="P191" s="194"/>
      <c r="S191" s="214"/>
      <c r="T191" s="214"/>
      <c r="U191" s="250"/>
    </row>
    <row r="192" spans="1:21" s="86" customFormat="1" ht="18" customHeight="1" x14ac:dyDescent="0.25">
      <c r="A192" s="85"/>
      <c r="B192" s="66"/>
      <c r="C192" s="61"/>
      <c r="D192" s="62" t="s">
        <v>373</v>
      </c>
      <c r="E192" s="62" t="s">
        <v>392</v>
      </c>
      <c r="F192" s="63">
        <v>560000</v>
      </c>
      <c r="G192" s="75"/>
      <c r="H192" s="75"/>
      <c r="I192" s="75"/>
      <c r="J192" s="75"/>
      <c r="K192" s="75"/>
      <c r="L192" s="75">
        <f t="shared" si="92"/>
        <v>0</v>
      </c>
      <c r="M192" s="140">
        <f t="shared" si="94"/>
        <v>0</v>
      </c>
      <c r="N192" s="63">
        <f t="shared" si="97"/>
        <v>560000</v>
      </c>
      <c r="P192" s="194"/>
      <c r="S192" s="214"/>
      <c r="T192" s="214"/>
      <c r="U192" s="250"/>
    </row>
    <row r="193" spans="1:21" s="86" customFormat="1" ht="18" customHeight="1" x14ac:dyDescent="0.25">
      <c r="A193" s="85"/>
      <c r="B193" s="66"/>
      <c r="C193" s="61"/>
      <c r="D193" s="62" t="s">
        <v>70</v>
      </c>
      <c r="E193" s="62" t="s">
        <v>33</v>
      </c>
      <c r="F193" s="63">
        <v>4200000</v>
      </c>
      <c r="G193" s="75"/>
      <c r="H193" s="75"/>
      <c r="I193" s="75"/>
      <c r="J193" s="75"/>
      <c r="K193" s="75"/>
      <c r="L193" s="75">
        <f t="shared" si="92"/>
        <v>0</v>
      </c>
      <c r="M193" s="140">
        <f t="shared" si="94"/>
        <v>0</v>
      </c>
      <c r="N193" s="63">
        <f t="shared" si="97"/>
        <v>4200000</v>
      </c>
      <c r="P193" s="194"/>
      <c r="S193" s="214"/>
      <c r="T193" s="214"/>
      <c r="U193" s="250"/>
    </row>
    <row r="194" spans="1:21" s="55" customFormat="1" ht="18" customHeight="1" x14ac:dyDescent="0.25">
      <c r="A194" s="50"/>
      <c r="B194" s="51"/>
      <c r="C194" s="50"/>
      <c r="D194" s="71" t="s">
        <v>271</v>
      </c>
      <c r="E194" s="51" t="s">
        <v>272</v>
      </c>
      <c r="F194" s="53">
        <f t="shared" ref="F194" si="98">+F195</f>
        <v>78300000</v>
      </c>
      <c r="G194" s="72">
        <f>+G195</f>
        <v>0</v>
      </c>
      <c r="H194" s="72" t="e">
        <f>+H195</f>
        <v>#REF!</v>
      </c>
      <c r="I194" s="72" t="e">
        <f>+G194+H194</f>
        <v>#REF!</v>
      </c>
      <c r="J194" s="72">
        <f>+J195</f>
        <v>0</v>
      </c>
      <c r="K194" s="72" t="e">
        <f>+K195</f>
        <v>#REF!</v>
      </c>
      <c r="L194" s="72" t="e">
        <f>+J194+K194</f>
        <v>#REF!</v>
      </c>
      <c r="M194" s="72" t="e">
        <f t="shared" si="94"/>
        <v>#REF!</v>
      </c>
      <c r="N194" s="53" t="e">
        <f>+F194-M194</f>
        <v>#REF!</v>
      </c>
      <c r="P194" s="195"/>
      <c r="S194" s="206"/>
      <c r="T194" s="206"/>
      <c r="U194" s="243"/>
    </row>
    <row r="195" spans="1:21" s="67" customFormat="1" ht="18" customHeight="1" x14ac:dyDescent="0.25">
      <c r="A195" s="83"/>
      <c r="B195" s="84"/>
      <c r="C195" s="56"/>
      <c r="D195" s="57" t="s">
        <v>81</v>
      </c>
      <c r="E195" s="57" t="s">
        <v>31</v>
      </c>
      <c r="F195" s="58">
        <f>SUM(F196:F197)</f>
        <v>78300000</v>
      </c>
      <c r="G195" s="59">
        <f>SUM(G197:G197)</f>
        <v>0</v>
      </c>
      <c r="H195" s="59" t="e">
        <f>+#REF!+H197</f>
        <v>#REF!</v>
      </c>
      <c r="I195" s="59" t="e">
        <f>+G195+H195</f>
        <v>#REF!</v>
      </c>
      <c r="J195" s="59">
        <f>SUM(J197:J197)</f>
        <v>0</v>
      </c>
      <c r="K195" s="59" t="e">
        <f>+#REF!+K197</f>
        <v>#REF!</v>
      </c>
      <c r="L195" s="59" t="e">
        <f>+J195+K195</f>
        <v>#REF!</v>
      </c>
      <c r="M195" s="59" t="e">
        <f t="shared" si="94"/>
        <v>#REF!</v>
      </c>
      <c r="N195" s="58" t="e">
        <f>+F195-M195</f>
        <v>#REF!</v>
      </c>
      <c r="P195" s="192"/>
      <c r="S195" s="205"/>
      <c r="T195" s="205"/>
      <c r="U195" s="249"/>
    </row>
    <row r="196" spans="1:21" s="86" customFormat="1" ht="18" customHeight="1" x14ac:dyDescent="0.25">
      <c r="A196" s="85"/>
      <c r="B196" s="66"/>
      <c r="C196" s="61"/>
      <c r="D196" s="62" t="s">
        <v>451</v>
      </c>
      <c r="E196" s="62" t="s">
        <v>461</v>
      </c>
      <c r="F196" s="63">
        <v>1500000</v>
      </c>
      <c r="G196" s="75"/>
      <c r="H196" s="75"/>
      <c r="I196" s="75">
        <f t="shared" ref="I196" si="99">+G196+H196</f>
        <v>0</v>
      </c>
      <c r="J196" s="75"/>
      <c r="K196" s="75"/>
      <c r="L196" s="75">
        <f t="shared" ref="L196" si="100">+J196+K196</f>
        <v>0</v>
      </c>
      <c r="M196" s="75">
        <f t="shared" si="94"/>
        <v>0</v>
      </c>
      <c r="N196" s="63">
        <f t="shared" ref="N196:N197" si="101">+F196-M196</f>
        <v>1500000</v>
      </c>
      <c r="P196" s="194"/>
      <c r="S196" s="214"/>
      <c r="T196" s="214"/>
      <c r="U196" s="250"/>
    </row>
    <row r="197" spans="1:21" s="86" customFormat="1" ht="18" customHeight="1" x14ac:dyDescent="0.25">
      <c r="A197" s="85"/>
      <c r="B197" s="66"/>
      <c r="C197" s="61"/>
      <c r="D197" s="62" t="s">
        <v>82</v>
      </c>
      <c r="E197" s="62" t="s">
        <v>83</v>
      </c>
      <c r="F197" s="63">
        <v>76800000</v>
      </c>
      <c r="G197" s="75"/>
      <c r="H197" s="75"/>
      <c r="I197" s="75">
        <f>+G197+H197</f>
        <v>0</v>
      </c>
      <c r="J197" s="75"/>
      <c r="K197" s="75"/>
      <c r="L197" s="75">
        <f>+J197+K197</f>
        <v>0</v>
      </c>
      <c r="M197" s="75">
        <f>+I197+L197</f>
        <v>0</v>
      </c>
      <c r="N197" s="63">
        <f t="shared" si="101"/>
        <v>76800000</v>
      </c>
      <c r="P197" s="194"/>
      <c r="S197" s="230">
        <f>6240000</f>
        <v>6240000</v>
      </c>
      <c r="T197" s="214"/>
      <c r="U197" s="250"/>
    </row>
    <row r="198" spans="1:21" s="55" customFormat="1" ht="18" customHeight="1" x14ac:dyDescent="0.25">
      <c r="A198" s="50"/>
      <c r="B198" s="51"/>
      <c r="C198" s="50"/>
      <c r="D198" s="71" t="s">
        <v>275</v>
      </c>
      <c r="E198" s="51" t="s">
        <v>276</v>
      </c>
      <c r="F198" s="53">
        <f>+F199</f>
        <v>52500000</v>
      </c>
      <c r="G198" s="72">
        <f>+G199</f>
        <v>0</v>
      </c>
      <c r="H198" s="72" t="e">
        <f>+H199</f>
        <v>#REF!</v>
      </c>
      <c r="I198" s="72" t="e">
        <f>+G198+H198</f>
        <v>#REF!</v>
      </c>
      <c r="J198" s="72">
        <f>+J199</f>
        <v>0</v>
      </c>
      <c r="K198" s="72" t="e">
        <f>+K199</f>
        <v>#REF!</v>
      </c>
      <c r="L198" s="72" t="e">
        <f>+J198+K198</f>
        <v>#REF!</v>
      </c>
      <c r="M198" s="72" t="e">
        <f t="shared" ref="M198:M205" si="102">+I198+L198</f>
        <v>#REF!</v>
      </c>
      <c r="N198" s="53" t="e">
        <f>+F198-M198</f>
        <v>#REF!</v>
      </c>
      <c r="P198" s="195"/>
      <c r="S198" s="206"/>
      <c r="T198" s="206"/>
      <c r="U198" s="243"/>
    </row>
    <row r="199" spans="1:21" s="67" customFormat="1" ht="18" customHeight="1" x14ac:dyDescent="0.25">
      <c r="A199" s="83"/>
      <c r="B199" s="84"/>
      <c r="C199" s="56"/>
      <c r="D199" s="57" t="s">
        <v>150</v>
      </c>
      <c r="E199" s="57" t="s">
        <v>32</v>
      </c>
      <c r="F199" s="58">
        <f>+F200</f>
        <v>52500000</v>
      </c>
      <c r="G199" s="59">
        <f>SUM(G201:G201)</f>
        <v>0</v>
      </c>
      <c r="H199" s="59" t="e">
        <f>+#REF!+H201</f>
        <v>#REF!</v>
      </c>
      <c r="I199" s="59" t="e">
        <f>+G199+H199</f>
        <v>#REF!</v>
      </c>
      <c r="J199" s="59">
        <f>SUM(J201:J201)</f>
        <v>0</v>
      </c>
      <c r="K199" s="59" t="e">
        <f>+#REF!+K201</f>
        <v>#REF!</v>
      </c>
      <c r="L199" s="59" t="e">
        <f>+J199+K199</f>
        <v>#REF!</v>
      </c>
      <c r="M199" s="59" t="e">
        <f t="shared" si="102"/>
        <v>#REF!</v>
      </c>
      <c r="N199" s="58" t="e">
        <f>+F199-M199</f>
        <v>#REF!</v>
      </c>
      <c r="P199" s="192"/>
      <c r="S199" s="205"/>
      <c r="T199" s="205"/>
      <c r="U199" s="249"/>
    </row>
    <row r="200" spans="1:21" s="86" customFormat="1" ht="36" customHeight="1" x14ac:dyDescent="0.25">
      <c r="A200" s="85"/>
      <c r="B200" s="66"/>
      <c r="C200" s="61"/>
      <c r="D200" s="62" t="s">
        <v>462</v>
      </c>
      <c r="E200" s="76" t="s">
        <v>463</v>
      </c>
      <c r="F200" s="63">
        <v>52500000</v>
      </c>
      <c r="G200" s="75"/>
      <c r="H200" s="75"/>
      <c r="I200" s="75">
        <f t="shared" ref="I200" si="103">+G200+H200</f>
        <v>0</v>
      </c>
      <c r="J200" s="75"/>
      <c r="K200" s="75"/>
      <c r="L200" s="75">
        <f t="shared" ref="L200" si="104">+J200+K200</f>
        <v>0</v>
      </c>
      <c r="M200" s="75">
        <f t="shared" si="102"/>
        <v>0</v>
      </c>
      <c r="N200" s="63">
        <f t="shared" ref="N200" si="105">+F200-M200</f>
        <v>52500000</v>
      </c>
      <c r="P200" s="194"/>
      <c r="S200" s="214"/>
      <c r="T200" s="214"/>
      <c r="U200" s="250"/>
    </row>
    <row r="201" spans="1:21" s="42" customFormat="1" ht="18" customHeight="1" x14ac:dyDescent="0.25">
      <c r="A201" s="36"/>
      <c r="B201" s="37"/>
      <c r="C201" s="80"/>
      <c r="D201" s="38" t="s">
        <v>267</v>
      </c>
      <c r="E201" s="39" t="s">
        <v>268</v>
      </c>
      <c r="F201" s="40">
        <f t="shared" ref="F201:H203" si="106">+F202</f>
        <v>26000000</v>
      </c>
      <c r="G201" s="41">
        <f t="shared" si="106"/>
        <v>0</v>
      </c>
      <c r="H201" s="41">
        <f t="shared" si="106"/>
        <v>0</v>
      </c>
      <c r="I201" s="41">
        <f>+G201+H201</f>
        <v>0</v>
      </c>
      <c r="J201" s="41">
        <f t="shared" ref="J201:K204" si="107">+J202</f>
        <v>0</v>
      </c>
      <c r="K201" s="41">
        <f t="shared" si="107"/>
        <v>0</v>
      </c>
      <c r="L201" s="41">
        <f>+J201+K201</f>
        <v>0</v>
      </c>
      <c r="M201" s="41">
        <f t="shared" si="102"/>
        <v>0</v>
      </c>
      <c r="N201" s="40">
        <f>+F201-M201</f>
        <v>26000000</v>
      </c>
      <c r="P201" s="199"/>
      <c r="R201" s="43"/>
      <c r="S201" s="220"/>
      <c r="T201" s="220"/>
      <c r="U201" s="251"/>
    </row>
    <row r="202" spans="1:21" s="67" customFormat="1" ht="18" customHeight="1" x14ac:dyDescent="0.25">
      <c r="A202" s="81"/>
      <c r="B202" s="82"/>
      <c r="C202" s="44"/>
      <c r="D202" s="45" t="s">
        <v>78</v>
      </c>
      <c r="E202" s="45" t="s">
        <v>75</v>
      </c>
      <c r="F202" s="47">
        <f t="shared" si="106"/>
        <v>26000000</v>
      </c>
      <c r="G202" s="70">
        <f t="shared" si="106"/>
        <v>0</v>
      </c>
      <c r="H202" s="70">
        <f t="shared" si="106"/>
        <v>0</v>
      </c>
      <c r="I202" s="70">
        <f t="shared" ref="I202:I205" si="108">+G202+H202</f>
        <v>0</v>
      </c>
      <c r="J202" s="70">
        <f t="shared" si="107"/>
        <v>0</v>
      </c>
      <c r="K202" s="70">
        <f t="shared" si="107"/>
        <v>0</v>
      </c>
      <c r="L202" s="70">
        <f t="shared" ref="L202:L203" si="109">+J202+K202</f>
        <v>0</v>
      </c>
      <c r="M202" s="70">
        <f t="shared" si="102"/>
        <v>0</v>
      </c>
      <c r="N202" s="47">
        <f>+F202-M202</f>
        <v>26000000</v>
      </c>
      <c r="P202" s="192"/>
      <c r="S202" s="205"/>
      <c r="T202" s="205"/>
      <c r="U202" s="249"/>
    </row>
    <row r="203" spans="1:21" s="55" customFormat="1" ht="18" customHeight="1" x14ac:dyDescent="0.25">
      <c r="A203" s="50"/>
      <c r="B203" s="51"/>
      <c r="C203" s="50"/>
      <c r="D203" s="71" t="s">
        <v>269</v>
      </c>
      <c r="E203" s="51" t="s">
        <v>270</v>
      </c>
      <c r="F203" s="53">
        <f t="shared" si="106"/>
        <v>26000000</v>
      </c>
      <c r="G203" s="72">
        <f>+G204</f>
        <v>0</v>
      </c>
      <c r="H203" s="72">
        <f>+H204</f>
        <v>0</v>
      </c>
      <c r="I203" s="72">
        <f t="shared" si="108"/>
        <v>0</v>
      </c>
      <c r="J203" s="72">
        <f t="shared" si="107"/>
        <v>0</v>
      </c>
      <c r="K203" s="72">
        <f t="shared" si="107"/>
        <v>0</v>
      </c>
      <c r="L203" s="72">
        <f t="shared" si="109"/>
        <v>0</v>
      </c>
      <c r="M203" s="72">
        <f t="shared" si="102"/>
        <v>0</v>
      </c>
      <c r="N203" s="53">
        <f>+F203-M203</f>
        <v>26000000</v>
      </c>
      <c r="P203" s="195"/>
      <c r="S203" s="206"/>
      <c r="T203" s="206"/>
      <c r="U203" s="243"/>
    </row>
    <row r="204" spans="1:21" s="67" customFormat="1" ht="18" customHeight="1" x14ac:dyDescent="0.25">
      <c r="A204" s="83"/>
      <c r="B204" s="84"/>
      <c r="C204" s="56"/>
      <c r="D204" s="57" t="s">
        <v>76</v>
      </c>
      <c r="E204" s="57" t="s">
        <v>77</v>
      </c>
      <c r="F204" s="58">
        <f>SUM(F205)</f>
        <v>26000000</v>
      </c>
      <c r="G204" s="59">
        <f>+G205</f>
        <v>0</v>
      </c>
      <c r="H204" s="59">
        <f>+H205</f>
        <v>0</v>
      </c>
      <c r="I204" s="59">
        <f>+G204+H204</f>
        <v>0</v>
      </c>
      <c r="J204" s="59">
        <f t="shared" si="107"/>
        <v>0</v>
      </c>
      <c r="K204" s="59">
        <f t="shared" si="107"/>
        <v>0</v>
      </c>
      <c r="L204" s="59">
        <f>+J204+K204</f>
        <v>0</v>
      </c>
      <c r="M204" s="59">
        <f t="shared" si="102"/>
        <v>0</v>
      </c>
      <c r="N204" s="58">
        <f>+F204-M204</f>
        <v>26000000</v>
      </c>
      <c r="P204" s="192"/>
      <c r="S204" s="205"/>
      <c r="T204" s="205"/>
      <c r="U204" s="249"/>
    </row>
    <row r="205" spans="1:21" s="144" customFormat="1" ht="18" customHeight="1" x14ac:dyDescent="0.25">
      <c r="A205" s="142"/>
      <c r="B205" s="143"/>
      <c r="C205" s="123"/>
      <c r="D205" s="124" t="s">
        <v>393</v>
      </c>
      <c r="E205" s="124" t="s">
        <v>394</v>
      </c>
      <c r="F205" s="125">
        <v>26000000</v>
      </c>
      <c r="G205" s="140"/>
      <c r="H205" s="140"/>
      <c r="I205" s="140">
        <f t="shared" si="108"/>
        <v>0</v>
      </c>
      <c r="J205" s="140"/>
      <c r="K205" s="140"/>
      <c r="L205" s="140">
        <f t="shared" ref="L205" si="110">+J205+K205</f>
        <v>0</v>
      </c>
      <c r="M205" s="140">
        <f t="shared" si="102"/>
        <v>0</v>
      </c>
      <c r="N205" s="125">
        <f t="shared" ref="N205" si="111">+F205-M205</f>
        <v>26000000</v>
      </c>
      <c r="P205" s="196"/>
      <c r="S205" s="215"/>
      <c r="T205" s="215"/>
      <c r="U205" s="252"/>
    </row>
    <row r="206" spans="1:21" s="121" customFormat="1" ht="18" customHeight="1" x14ac:dyDescent="0.25">
      <c r="A206" s="116">
        <v>10</v>
      </c>
      <c r="B206" s="117"/>
      <c r="C206" s="145" t="s">
        <v>112</v>
      </c>
      <c r="D206" s="118"/>
      <c r="E206" s="128" t="s">
        <v>113</v>
      </c>
      <c r="F206" s="119">
        <f>+F207+F221</f>
        <v>810211500</v>
      </c>
      <c r="G206" s="120">
        <f>G207+G221</f>
        <v>0</v>
      </c>
      <c r="H206" s="120">
        <f>H207+H221</f>
        <v>0</v>
      </c>
      <c r="I206" s="120">
        <f>+G206+H206</f>
        <v>0</v>
      </c>
      <c r="J206" s="120">
        <f>J207+J221</f>
        <v>0</v>
      </c>
      <c r="K206" s="120">
        <f>K207+K221</f>
        <v>0</v>
      </c>
      <c r="L206" s="120">
        <f>+J206+K206</f>
        <v>0</v>
      </c>
      <c r="M206" s="120">
        <f>+I206+L206</f>
        <v>0</v>
      </c>
      <c r="N206" s="119">
        <f>+F206-M206</f>
        <v>810211500</v>
      </c>
      <c r="P206" s="190"/>
      <c r="R206" s="122"/>
      <c r="S206" s="216"/>
      <c r="T206" s="216"/>
      <c r="U206" s="246"/>
    </row>
    <row r="207" spans="1:21" s="107" customFormat="1" ht="18" customHeight="1" x14ac:dyDescent="0.25">
      <c r="A207" s="101"/>
      <c r="B207" s="102"/>
      <c r="C207" s="141"/>
      <c r="D207" s="103" t="s">
        <v>207</v>
      </c>
      <c r="E207" s="104" t="s">
        <v>262</v>
      </c>
      <c r="F207" s="105">
        <f>+F208</f>
        <v>441471500</v>
      </c>
      <c r="G207" s="106">
        <f>+G208</f>
        <v>0</v>
      </c>
      <c r="H207" s="106">
        <f>+H208</f>
        <v>0</v>
      </c>
      <c r="I207" s="106">
        <f>+G207+H207</f>
        <v>0</v>
      </c>
      <c r="J207" s="106">
        <f>+J208</f>
        <v>0</v>
      </c>
      <c r="K207" s="106">
        <f>+K208</f>
        <v>0</v>
      </c>
      <c r="L207" s="106">
        <f>+J207+K207</f>
        <v>0</v>
      </c>
      <c r="M207" s="106">
        <f t="shared" ref="M207:M220" si="112">+I207+L207</f>
        <v>0</v>
      </c>
      <c r="N207" s="105">
        <f>+F207-M207</f>
        <v>441471500</v>
      </c>
      <c r="P207" s="191"/>
      <c r="R207" s="108"/>
      <c r="S207" s="217"/>
      <c r="T207" s="217"/>
      <c r="U207" s="241"/>
    </row>
    <row r="208" spans="1:21" s="67" customFormat="1" ht="18" customHeight="1" x14ac:dyDescent="0.25">
      <c r="A208" s="81"/>
      <c r="B208" s="82"/>
      <c r="C208" s="44"/>
      <c r="D208" s="45" t="s">
        <v>63</v>
      </c>
      <c r="E208" s="45" t="s">
        <v>30</v>
      </c>
      <c r="F208" s="47">
        <f>+F209+F212+F216</f>
        <v>441471500</v>
      </c>
      <c r="G208" s="70">
        <f>+G209+G212+G216</f>
        <v>0</v>
      </c>
      <c r="H208" s="70">
        <f>+H209+H212+H216</f>
        <v>0</v>
      </c>
      <c r="I208" s="70">
        <f t="shared" ref="I208:I218" si="113">+G208+H208</f>
        <v>0</v>
      </c>
      <c r="J208" s="70">
        <f>+J209+J212+J216</f>
        <v>0</v>
      </c>
      <c r="K208" s="70">
        <f>+K209+K212+K216</f>
        <v>0</v>
      </c>
      <c r="L208" s="70">
        <f t="shared" ref="L208:L209" si="114">+J208+K208</f>
        <v>0</v>
      </c>
      <c r="M208" s="70">
        <f t="shared" si="112"/>
        <v>0</v>
      </c>
      <c r="N208" s="47">
        <f>+F208-M208</f>
        <v>441471500</v>
      </c>
      <c r="P208" s="192"/>
      <c r="S208" s="205"/>
      <c r="T208" s="205"/>
      <c r="U208" s="249"/>
    </row>
    <row r="209" spans="1:21" s="55" customFormat="1" ht="18" customHeight="1" x14ac:dyDescent="0.25">
      <c r="A209" s="50"/>
      <c r="B209" s="51"/>
      <c r="C209" s="50"/>
      <c r="D209" s="71" t="s">
        <v>263</v>
      </c>
      <c r="E209" s="51" t="s">
        <v>264</v>
      </c>
      <c r="F209" s="53">
        <f t="shared" ref="F209:H209" si="115">+F210</f>
        <v>4031500</v>
      </c>
      <c r="G209" s="72">
        <f>+G210</f>
        <v>0</v>
      </c>
      <c r="H209" s="72">
        <f t="shared" si="115"/>
        <v>0</v>
      </c>
      <c r="I209" s="72">
        <f t="shared" si="113"/>
        <v>0</v>
      </c>
      <c r="J209" s="72">
        <f>+J210</f>
        <v>0</v>
      </c>
      <c r="K209" s="72">
        <f t="shared" ref="K209" si="116">+K210</f>
        <v>0</v>
      </c>
      <c r="L209" s="72">
        <f t="shared" si="114"/>
        <v>0</v>
      </c>
      <c r="M209" s="72">
        <f t="shared" si="112"/>
        <v>0</v>
      </c>
      <c r="N209" s="53">
        <f>+F209-M209</f>
        <v>4031500</v>
      </c>
      <c r="P209" s="195"/>
      <c r="S209" s="206"/>
      <c r="T209" s="206"/>
      <c r="U209" s="243"/>
    </row>
    <row r="210" spans="1:21" s="67" customFormat="1" ht="18" customHeight="1" x14ac:dyDescent="0.25">
      <c r="A210" s="83"/>
      <c r="B210" s="84"/>
      <c r="C210" s="56"/>
      <c r="D210" s="57" t="s">
        <v>64</v>
      </c>
      <c r="E210" s="57" t="s">
        <v>65</v>
      </c>
      <c r="F210" s="58">
        <f>F211</f>
        <v>4031500</v>
      </c>
      <c r="G210" s="59">
        <f>SUM(G211:G211)</f>
        <v>0</v>
      </c>
      <c r="H210" s="59">
        <f>SUM(H211:H211)</f>
        <v>0</v>
      </c>
      <c r="I210" s="59">
        <f>+G210+H210</f>
        <v>0</v>
      </c>
      <c r="J210" s="59">
        <f>SUM(J211:J211)</f>
        <v>0</v>
      </c>
      <c r="K210" s="59">
        <f>SUM(K211:K211)</f>
        <v>0</v>
      </c>
      <c r="L210" s="59">
        <f>+J210+K210</f>
        <v>0</v>
      </c>
      <c r="M210" s="59">
        <f t="shared" si="112"/>
        <v>0</v>
      </c>
      <c r="N210" s="58">
        <f>+F210-M210</f>
        <v>4031500</v>
      </c>
      <c r="P210" s="192"/>
      <c r="S210" s="205"/>
      <c r="T210" s="205"/>
      <c r="U210" s="249"/>
    </row>
    <row r="211" spans="1:21" s="86" customFormat="1" ht="18" customHeight="1" x14ac:dyDescent="0.25">
      <c r="A211" s="85"/>
      <c r="B211" s="66"/>
      <c r="C211" s="61"/>
      <c r="D211" s="62" t="s">
        <v>339</v>
      </c>
      <c r="E211" s="62" t="s">
        <v>340</v>
      </c>
      <c r="F211" s="63">
        <v>4031500</v>
      </c>
      <c r="G211" s="75"/>
      <c r="H211" s="75"/>
      <c r="I211" s="75">
        <f t="shared" si="113"/>
        <v>0</v>
      </c>
      <c r="J211" s="75"/>
      <c r="K211" s="75"/>
      <c r="L211" s="75">
        <f t="shared" ref="L211" si="117">+J211+K211</f>
        <v>0</v>
      </c>
      <c r="M211" s="75">
        <f t="shared" si="112"/>
        <v>0</v>
      </c>
      <c r="N211" s="63">
        <f t="shared" ref="N211" si="118">+F211-M211</f>
        <v>4031500</v>
      </c>
      <c r="P211" s="194"/>
      <c r="S211" s="214"/>
      <c r="T211" s="214"/>
      <c r="U211" s="250"/>
    </row>
    <row r="212" spans="1:21" s="55" customFormat="1" ht="18" customHeight="1" x14ac:dyDescent="0.25">
      <c r="A212" s="50"/>
      <c r="B212" s="51"/>
      <c r="C212" s="50"/>
      <c r="D212" s="71" t="s">
        <v>271</v>
      </c>
      <c r="E212" s="51" t="s">
        <v>272</v>
      </c>
      <c r="F212" s="53">
        <f t="shared" ref="F212:H212" si="119">+F213</f>
        <v>98700000</v>
      </c>
      <c r="G212" s="72">
        <f>+G213</f>
        <v>0</v>
      </c>
      <c r="H212" s="72">
        <f t="shared" si="119"/>
        <v>0</v>
      </c>
      <c r="I212" s="72">
        <f t="shared" si="113"/>
        <v>0</v>
      </c>
      <c r="J212" s="72">
        <f>+J213</f>
        <v>0</v>
      </c>
      <c r="K212" s="72">
        <f t="shared" ref="K212" si="120">+K213</f>
        <v>0</v>
      </c>
      <c r="L212" s="72">
        <f>+J212+K212</f>
        <v>0</v>
      </c>
      <c r="M212" s="72">
        <f t="shared" si="112"/>
        <v>0</v>
      </c>
      <c r="N212" s="53">
        <f>+F212-M212</f>
        <v>98700000</v>
      </c>
      <c r="P212" s="195"/>
      <c r="S212" s="206"/>
      <c r="T212" s="206"/>
      <c r="U212" s="243"/>
    </row>
    <row r="213" spans="1:21" s="67" customFormat="1" ht="18" customHeight="1" x14ac:dyDescent="0.25">
      <c r="A213" s="83"/>
      <c r="B213" s="84"/>
      <c r="C213" s="56"/>
      <c r="D213" s="57" t="s">
        <v>81</v>
      </c>
      <c r="E213" s="57" t="s">
        <v>31</v>
      </c>
      <c r="F213" s="58">
        <f>SUM(F214:F215)</f>
        <v>98700000</v>
      </c>
      <c r="G213" s="59">
        <f>SUM(G214:G215)</f>
        <v>0</v>
      </c>
      <c r="H213" s="59">
        <f>SUM(H214:H215)</f>
        <v>0</v>
      </c>
      <c r="I213" s="59">
        <f t="shared" si="113"/>
        <v>0</v>
      </c>
      <c r="J213" s="59">
        <f>SUM(J214:J215)</f>
        <v>0</v>
      </c>
      <c r="K213" s="59">
        <f>SUM(K214:K215)</f>
        <v>0</v>
      </c>
      <c r="L213" s="59">
        <f>+J213+K213</f>
        <v>0</v>
      </c>
      <c r="M213" s="59">
        <f t="shared" si="112"/>
        <v>0</v>
      </c>
      <c r="N213" s="58">
        <f>+F213-M213</f>
        <v>98700000</v>
      </c>
      <c r="P213" s="192"/>
      <c r="S213" s="205"/>
      <c r="T213" s="205"/>
      <c r="U213" s="249"/>
    </row>
    <row r="214" spans="1:21" s="86" customFormat="1" ht="18" customHeight="1" x14ac:dyDescent="0.25">
      <c r="A214" s="175"/>
      <c r="B214" s="65"/>
      <c r="C214" s="171"/>
      <c r="D214" s="162" t="s">
        <v>82</v>
      </c>
      <c r="E214" s="162" t="s">
        <v>83</v>
      </c>
      <c r="F214" s="173">
        <v>38400000</v>
      </c>
      <c r="G214" s="163"/>
      <c r="H214" s="163"/>
      <c r="I214" s="163">
        <f t="shared" si="113"/>
        <v>0</v>
      </c>
      <c r="J214" s="163"/>
      <c r="K214" s="163"/>
      <c r="L214" s="163">
        <f>+J214+K214</f>
        <v>0</v>
      </c>
      <c r="M214" s="163">
        <f>+I214+L214</f>
        <v>0</v>
      </c>
      <c r="N214" s="173">
        <f>+F214-M214</f>
        <v>38400000</v>
      </c>
      <c r="P214" s="194"/>
      <c r="S214" s="230">
        <v>1600000</v>
      </c>
      <c r="T214" s="214"/>
      <c r="U214" s="250"/>
    </row>
    <row r="215" spans="1:21" s="86" customFormat="1" ht="18" customHeight="1" x14ac:dyDescent="0.25">
      <c r="A215" s="175"/>
      <c r="B215" s="65"/>
      <c r="C215" s="171"/>
      <c r="D215" s="162" t="s">
        <v>111</v>
      </c>
      <c r="E215" s="162" t="s">
        <v>44</v>
      </c>
      <c r="F215" s="173">
        <v>60300000</v>
      </c>
      <c r="G215" s="163"/>
      <c r="H215" s="163"/>
      <c r="I215" s="163">
        <f t="shared" si="113"/>
        <v>0</v>
      </c>
      <c r="J215" s="163"/>
      <c r="K215" s="163"/>
      <c r="L215" s="163">
        <f t="shared" ref="L215" si="121">+J215+K215</f>
        <v>0</v>
      </c>
      <c r="M215" s="163">
        <f t="shared" si="112"/>
        <v>0</v>
      </c>
      <c r="N215" s="173">
        <f t="shared" ref="N215" si="122">+F215-M215</f>
        <v>60300000</v>
      </c>
      <c r="P215" s="194"/>
      <c r="S215" s="230"/>
      <c r="T215" s="214"/>
      <c r="U215" s="250"/>
    </row>
    <row r="216" spans="1:21" s="55" customFormat="1" ht="18" customHeight="1" x14ac:dyDescent="0.25">
      <c r="A216" s="50"/>
      <c r="B216" s="51"/>
      <c r="C216" s="50"/>
      <c r="D216" s="71" t="s">
        <v>275</v>
      </c>
      <c r="E216" s="51" t="s">
        <v>276</v>
      </c>
      <c r="F216" s="53">
        <f t="shared" ref="F216:H216" si="123">+F217</f>
        <v>338740000</v>
      </c>
      <c r="G216" s="72">
        <f>+G217</f>
        <v>0</v>
      </c>
      <c r="H216" s="72">
        <f t="shared" si="123"/>
        <v>0</v>
      </c>
      <c r="I216" s="72">
        <f t="shared" si="113"/>
        <v>0</v>
      </c>
      <c r="J216" s="72">
        <f>+J217</f>
        <v>0</v>
      </c>
      <c r="K216" s="72">
        <f t="shared" ref="K216" si="124">+K217</f>
        <v>0</v>
      </c>
      <c r="L216" s="72">
        <f>+J216+K216</f>
        <v>0</v>
      </c>
      <c r="M216" s="72">
        <f t="shared" si="112"/>
        <v>0</v>
      </c>
      <c r="N216" s="53">
        <f>+F216-M216</f>
        <v>338740000</v>
      </c>
      <c r="P216" s="195"/>
      <c r="S216" s="231"/>
      <c r="T216" s="206"/>
      <c r="U216" s="243"/>
    </row>
    <row r="217" spans="1:21" s="67" customFormat="1" ht="18" customHeight="1" x14ac:dyDescent="0.25">
      <c r="A217" s="83"/>
      <c r="B217" s="84"/>
      <c r="C217" s="56"/>
      <c r="D217" s="57" t="s">
        <v>114</v>
      </c>
      <c r="E217" s="57" t="s">
        <v>43</v>
      </c>
      <c r="F217" s="58">
        <f>SUM(F218:F220)</f>
        <v>338740000</v>
      </c>
      <c r="G217" s="59">
        <f>SUM(G218:G220)</f>
        <v>0</v>
      </c>
      <c r="H217" s="59">
        <f>SUM(H218:H220)</f>
        <v>0</v>
      </c>
      <c r="I217" s="59">
        <f t="shared" si="113"/>
        <v>0</v>
      </c>
      <c r="J217" s="59">
        <f>SUM(J218:J220)</f>
        <v>0</v>
      </c>
      <c r="K217" s="59">
        <f>SUM(K218:K220)</f>
        <v>0</v>
      </c>
      <c r="L217" s="59">
        <f>+J217+K217</f>
        <v>0</v>
      </c>
      <c r="M217" s="59">
        <f t="shared" si="112"/>
        <v>0</v>
      </c>
      <c r="N217" s="58">
        <f>+F217-M217</f>
        <v>338740000</v>
      </c>
      <c r="P217" s="192"/>
      <c r="S217" s="228"/>
      <c r="T217" s="205"/>
      <c r="U217" s="249"/>
    </row>
    <row r="218" spans="1:21" s="86" customFormat="1" ht="36" customHeight="1" x14ac:dyDescent="0.25">
      <c r="A218" s="175"/>
      <c r="B218" s="65"/>
      <c r="C218" s="171"/>
      <c r="D218" s="162" t="s">
        <v>349</v>
      </c>
      <c r="E218" s="172" t="s">
        <v>350</v>
      </c>
      <c r="F218" s="173">
        <v>21240000</v>
      </c>
      <c r="G218" s="163"/>
      <c r="H218" s="163"/>
      <c r="I218" s="163">
        <f t="shared" si="113"/>
        <v>0</v>
      </c>
      <c r="J218" s="163"/>
      <c r="K218" s="163"/>
      <c r="L218" s="163">
        <f t="shared" ref="L218" si="125">+J218+K218</f>
        <v>0</v>
      </c>
      <c r="M218" s="163">
        <f t="shared" si="112"/>
        <v>0</v>
      </c>
      <c r="N218" s="173">
        <f>+F218-M218</f>
        <v>21240000</v>
      </c>
      <c r="P218" s="194"/>
      <c r="S218" s="230">
        <v>2300000</v>
      </c>
      <c r="T218" s="214"/>
      <c r="U218" s="250"/>
    </row>
    <row r="219" spans="1:21" s="86" customFormat="1" ht="30.75" customHeight="1" x14ac:dyDescent="0.25">
      <c r="A219" s="175"/>
      <c r="B219" s="65"/>
      <c r="C219" s="171"/>
      <c r="D219" s="162" t="s">
        <v>395</v>
      </c>
      <c r="E219" s="172" t="s">
        <v>396</v>
      </c>
      <c r="F219" s="173">
        <v>2500000</v>
      </c>
      <c r="G219" s="163"/>
      <c r="H219" s="163"/>
      <c r="I219" s="163"/>
      <c r="J219" s="163"/>
      <c r="K219" s="163"/>
      <c r="L219" s="163">
        <f>+J219+K219</f>
        <v>0</v>
      </c>
      <c r="M219" s="163">
        <f t="shared" si="112"/>
        <v>0</v>
      </c>
      <c r="N219" s="173">
        <f>+F219-M219</f>
        <v>2500000</v>
      </c>
      <c r="P219" s="194"/>
      <c r="S219" s="214"/>
      <c r="T219" s="214"/>
      <c r="U219" s="250"/>
    </row>
    <row r="220" spans="1:21" s="86" customFormat="1" ht="18" customHeight="1" x14ac:dyDescent="0.25">
      <c r="A220" s="175"/>
      <c r="B220" s="65"/>
      <c r="C220" s="171"/>
      <c r="D220" s="162" t="s">
        <v>354</v>
      </c>
      <c r="E220" s="172" t="s">
        <v>355</v>
      </c>
      <c r="F220" s="173">
        <v>315000000</v>
      </c>
      <c r="G220" s="163"/>
      <c r="H220" s="163"/>
      <c r="I220" s="163">
        <f>+G220+H220</f>
        <v>0</v>
      </c>
      <c r="J220" s="163"/>
      <c r="K220" s="163"/>
      <c r="L220" s="163"/>
      <c r="M220" s="163">
        <f t="shared" si="112"/>
        <v>0</v>
      </c>
      <c r="N220" s="173">
        <f t="shared" ref="N220" si="126">+F220-M220</f>
        <v>315000000</v>
      </c>
      <c r="P220" s="194"/>
      <c r="S220" s="214"/>
      <c r="T220" s="230">
        <f>50190000</f>
        <v>50190000</v>
      </c>
      <c r="U220" s="250"/>
    </row>
    <row r="221" spans="1:21" s="42" customFormat="1" ht="18" customHeight="1" x14ac:dyDescent="0.25">
      <c r="A221" s="36"/>
      <c r="B221" s="37"/>
      <c r="C221" s="80"/>
      <c r="D221" s="38" t="s">
        <v>267</v>
      </c>
      <c r="E221" s="39" t="s">
        <v>268</v>
      </c>
      <c r="F221" s="40">
        <f>+F222+F234</f>
        <v>368740000</v>
      </c>
      <c r="G221" s="41">
        <f>+G222+G234</f>
        <v>0</v>
      </c>
      <c r="H221" s="41">
        <f>+H222+H234</f>
        <v>0</v>
      </c>
      <c r="I221" s="41">
        <f>+G221+H221</f>
        <v>0</v>
      </c>
      <c r="J221" s="41">
        <f>+J222</f>
        <v>0</v>
      </c>
      <c r="K221" s="41">
        <f>+K222</f>
        <v>0</v>
      </c>
      <c r="L221" s="41">
        <f>+J221+K221</f>
        <v>0</v>
      </c>
      <c r="M221" s="41">
        <f>+I221+L221</f>
        <v>0</v>
      </c>
      <c r="N221" s="40">
        <f>+F221-M221</f>
        <v>368740000</v>
      </c>
      <c r="P221" s="199"/>
      <c r="R221" s="43"/>
      <c r="S221" s="220"/>
      <c r="T221" s="220"/>
      <c r="U221" s="251"/>
    </row>
    <row r="222" spans="1:21" s="67" customFormat="1" ht="18" customHeight="1" x14ac:dyDescent="0.25">
      <c r="A222" s="81"/>
      <c r="B222" s="82"/>
      <c r="C222" s="44"/>
      <c r="D222" s="45" t="s">
        <v>78</v>
      </c>
      <c r="E222" s="45" t="s">
        <v>75</v>
      </c>
      <c r="F222" s="47">
        <f>+F223+F226+F231</f>
        <v>268740000</v>
      </c>
      <c r="G222" s="70">
        <f>+G223+G226</f>
        <v>0</v>
      </c>
      <c r="H222" s="70">
        <f>+H223+H226</f>
        <v>0</v>
      </c>
      <c r="I222" s="70">
        <f t="shared" ref="I222:I235" si="127">+G222+H222</f>
        <v>0</v>
      </c>
      <c r="J222" s="70">
        <f>+J223+J226</f>
        <v>0</v>
      </c>
      <c r="K222" s="70">
        <f t="shared" ref="K222:K223" si="128">+K223</f>
        <v>0</v>
      </c>
      <c r="L222" s="70">
        <f t="shared" ref="L222:L223" si="129">+J222+K222</f>
        <v>0</v>
      </c>
      <c r="M222" s="70">
        <f t="shared" ref="M222:M226" si="130">+I222+L222</f>
        <v>0</v>
      </c>
      <c r="N222" s="47">
        <f>+F222-M222</f>
        <v>268740000</v>
      </c>
      <c r="P222" s="192"/>
      <c r="S222" s="205"/>
      <c r="T222" s="205"/>
      <c r="U222" s="249"/>
    </row>
    <row r="223" spans="1:21" s="55" customFormat="1" ht="18" customHeight="1" x14ac:dyDescent="0.25">
      <c r="A223" s="50"/>
      <c r="B223" s="51"/>
      <c r="C223" s="50"/>
      <c r="D223" s="71" t="s">
        <v>269</v>
      </c>
      <c r="E223" s="51" t="s">
        <v>270</v>
      </c>
      <c r="F223" s="53">
        <f t="shared" ref="F223:H223" si="131">+F224</f>
        <v>32340000</v>
      </c>
      <c r="G223" s="72">
        <f>+G224</f>
        <v>0</v>
      </c>
      <c r="H223" s="72">
        <f t="shared" si="131"/>
        <v>0</v>
      </c>
      <c r="I223" s="72">
        <f t="shared" si="127"/>
        <v>0</v>
      </c>
      <c r="J223" s="72">
        <f>+J224</f>
        <v>0</v>
      </c>
      <c r="K223" s="72">
        <f t="shared" si="128"/>
        <v>0</v>
      </c>
      <c r="L223" s="72">
        <f t="shared" si="129"/>
        <v>0</v>
      </c>
      <c r="M223" s="72">
        <f t="shared" si="130"/>
        <v>0</v>
      </c>
      <c r="N223" s="53">
        <f>+F223-M223</f>
        <v>32340000</v>
      </c>
      <c r="P223" s="195"/>
      <c r="S223" s="206"/>
      <c r="T223" s="206"/>
      <c r="U223" s="243"/>
    </row>
    <row r="224" spans="1:21" s="67" customFormat="1" ht="18" customHeight="1" x14ac:dyDescent="0.25">
      <c r="A224" s="83"/>
      <c r="B224" s="84"/>
      <c r="C224" s="56"/>
      <c r="D224" s="57" t="s">
        <v>92</v>
      </c>
      <c r="E224" s="57" t="s">
        <v>94</v>
      </c>
      <c r="F224" s="58">
        <f>SUM(F225)</f>
        <v>32340000</v>
      </c>
      <c r="G224" s="59">
        <f>+G225</f>
        <v>0</v>
      </c>
      <c r="H224" s="59">
        <f>+H225</f>
        <v>0</v>
      </c>
      <c r="I224" s="59">
        <f>+G224+H224</f>
        <v>0</v>
      </c>
      <c r="J224" s="59">
        <f>+J225</f>
        <v>0</v>
      </c>
      <c r="K224" s="59">
        <f>+K225</f>
        <v>0</v>
      </c>
      <c r="L224" s="59">
        <f>+J224+K224</f>
        <v>0</v>
      </c>
      <c r="M224" s="59">
        <f t="shared" si="130"/>
        <v>0</v>
      </c>
      <c r="N224" s="58">
        <f>+F224-M224</f>
        <v>32340000</v>
      </c>
      <c r="P224" s="192"/>
      <c r="S224" s="205"/>
      <c r="T224" s="205"/>
      <c r="U224" s="249"/>
    </row>
    <row r="225" spans="1:21" s="86" customFormat="1" ht="18" customHeight="1" x14ac:dyDescent="0.25">
      <c r="A225" s="85"/>
      <c r="B225" s="66"/>
      <c r="C225" s="61"/>
      <c r="D225" s="62" t="s">
        <v>397</v>
      </c>
      <c r="E225" s="62" t="s">
        <v>398</v>
      </c>
      <c r="F225" s="63">
        <v>32340000</v>
      </c>
      <c r="G225" s="75"/>
      <c r="H225" s="75"/>
      <c r="I225" s="75">
        <f t="shared" si="127"/>
        <v>0</v>
      </c>
      <c r="J225" s="75"/>
      <c r="K225" s="75"/>
      <c r="L225" s="75">
        <f t="shared" ref="L225:L235" si="132">+J225+K225</f>
        <v>0</v>
      </c>
      <c r="M225" s="75">
        <f t="shared" si="130"/>
        <v>0</v>
      </c>
      <c r="N225" s="63">
        <f t="shared" ref="N225:N237" si="133">+F225-M225</f>
        <v>32340000</v>
      </c>
      <c r="P225" s="194"/>
      <c r="S225" s="214"/>
      <c r="T225" s="214"/>
      <c r="U225" s="250"/>
    </row>
    <row r="226" spans="1:21" s="55" customFormat="1" ht="18" customHeight="1" x14ac:dyDescent="0.25">
      <c r="A226" s="50"/>
      <c r="B226" s="51"/>
      <c r="C226" s="50"/>
      <c r="D226" s="71" t="s">
        <v>399</v>
      </c>
      <c r="E226" s="51" t="s">
        <v>400</v>
      </c>
      <c r="F226" s="53">
        <f t="shared" ref="F226:H226" si="134">+F227</f>
        <v>234600000</v>
      </c>
      <c r="G226" s="72">
        <f>+G227</f>
        <v>0</v>
      </c>
      <c r="H226" s="72">
        <f t="shared" si="134"/>
        <v>0</v>
      </c>
      <c r="I226" s="72">
        <f t="shared" si="127"/>
        <v>0</v>
      </c>
      <c r="J226" s="72">
        <f>+J227</f>
        <v>0</v>
      </c>
      <c r="K226" s="72">
        <f t="shared" ref="K226" si="135">+K227</f>
        <v>0</v>
      </c>
      <c r="L226" s="72">
        <f t="shared" si="132"/>
        <v>0</v>
      </c>
      <c r="M226" s="72">
        <f t="shared" si="130"/>
        <v>0</v>
      </c>
      <c r="N226" s="53">
        <f t="shared" si="133"/>
        <v>234600000</v>
      </c>
      <c r="P226" s="195"/>
      <c r="S226" s="206"/>
      <c r="T226" s="206"/>
      <c r="U226" s="243"/>
    </row>
    <row r="227" spans="1:21" s="67" customFormat="1" ht="18" customHeight="1" x14ac:dyDescent="0.25">
      <c r="A227" s="83"/>
      <c r="B227" s="84"/>
      <c r="C227" s="56"/>
      <c r="D227" s="57" t="s">
        <v>401</v>
      </c>
      <c r="E227" s="57" t="s">
        <v>402</v>
      </c>
      <c r="F227" s="58">
        <f>SUM(F228:F230)</f>
        <v>234600000</v>
      </c>
      <c r="G227" s="59">
        <f>SUM(G229:G229)</f>
        <v>0</v>
      </c>
      <c r="H227" s="59">
        <f>SUM(H229:H229)</f>
        <v>0</v>
      </c>
      <c r="I227" s="59">
        <f t="shared" si="127"/>
        <v>0</v>
      </c>
      <c r="J227" s="59">
        <f>SUM(J229:J229)</f>
        <v>0</v>
      </c>
      <c r="K227" s="59">
        <f>SUM(K229:K229)</f>
        <v>0</v>
      </c>
      <c r="L227" s="59">
        <f t="shared" si="132"/>
        <v>0</v>
      </c>
      <c r="M227" s="59">
        <f>+I227+L227</f>
        <v>0</v>
      </c>
      <c r="N227" s="58">
        <f t="shared" si="133"/>
        <v>234600000</v>
      </c>
      <c r="P227" s="192"/>
      <c r="S227" s="205"/>
      <c r="T227" s="205"/>
      <c r="U227" s="249"/>
    </row>
    <row r="228" spans="1:21" s="86" customFormat="1" ht="18" customHeight="1" x14ac:dyDescent="0.25">
      <c r="A228" s="85"/>
      <c r="B228" s="66"/>
      <c r="C228" s="61"/>
      <c r="D228" s="62" t="s">
        <v>464</v>
      </c>
      <c r="E228" s="62" t="s">
        <v>465</v>
      </c>
      <c r="F228" s="63">
        <v>3000000</v>
      </c>
      <c r="G228" s="75"/>
      <c r="H228" s="75"/>
      <c r="I228" s="75">
        <f t="shared" si="127"/>
        <v>0</v>
      </c>
      <c r="J228" s="75"/>
      <c r="K228" s="75"/>
      <c r="L228" s="75">
        <f t="shared" si="132"/>
        <v>0</v>
      </c>
      <c r="M228" s="75">
        <f>+I228+L228</f>
        <v>0</v>
      </c>
      <c r="N228" s="63">
        <f t="shared" si="133"/>
        <v>3000000</v>
      </c>
      <c r="O228" s="87"/>
      <c r="P228" s="194"/>
      <c r="S228" s="214"/>
      <c r="T228" s="214"/>
      <c r="U228" s="250"/>
    </row>
    <row r="229" spans="1:21" s="86" customFormat="1" ht="18" customHeight="1" x14ac:dyDescent="0.25">
      <c r="A229" s="85"/>
      <c r="B229" s="66"/>
      <c r="C229" s="61"/>
      <c r="D229" s="62" t="s">
        <v>403</v>
      </c>
      <c r="E229" s="62" t="s">
        <v>404</v>
      </c>
      <c r="F229" s="63">
        <v>36600000</v>
      </c>
      <c r="G229" s="75"/>
      <c r="H229" s="75"/>
      <c r="I229" s="75">
        <f t="shared" si="127"/>
        <v>0</v>
      </c>
      <c r="J229" s="75"/>
      <c r="K229" s="75"/>
      <c r="L229" s="75">
        <f t="shared" si="132"/>
        <v>0</v>
      </c>
      <c r="M229" s="75">
        <f>+I229+L229</f>
        <v>0</v>
      </c>
      <c r="N229" s="63">
        <f t="shared" si="133"/>
        <v>36600000</v>
      </c>
      <c r="O229" s="87"/>
      <c r="P229" s="194"/>
      <c r="S229" s="214"/>
      <c r="T229" s="214"/>
      <c r="U229" s="250"/>
    </row>
    <row r="230" spans="1:21" s="86" customFormat="1" ht="18" customHeight="1" x14ac:dyDescent="0.25">
      <c r="A230" s="85"/>
      <c r="B230" s="66"/>
      <c r="C230" s="61"/>
      <c r="D230" s="62" t="s">
        <v>459</v>
      </c>
      <c r="E230" s="62" t="s">
        <v>460</v>
      </c>
      <c r="F230" s="63">
        <v>195000000</v>
      </c>
      <c r="G230" s="75"/>
      <c r="H230" s="75"/>
      <c r="I230" s="75">
        <f t="shared" si="127"/>
        <v>0</v>
      </c>
      <c r="J230" s="75"/>
      <c r="K230" s="75"/>
      <c r="L230" s="75">
        <f t="shared" si="132"/>
        <v>0</v>
      </c>
      <c r="M230" s="75">
        <f>+I230+L230</f>
        <v>0</v>
      </c>
      <c r="N230" s="63">
        <f t="shared" si="133"/>
        <v>195000000</v>
      </c>
      <c r="O230" s="87"/>
      <c r="P230" s="194"/>
      <c r="S230" s="214"/>
      <c r="T230" s="214"/>
      <c r="U230" s="250"/>
    </row>
    <row r="231" spans="1:21" s="55" customFormat="1" ht="18" customHeight="1" x14ac:dyDescent="0.25">
      <c r="A231" s="50"/>
      <c r="B231" s="51"/>
      <c r="C231" s="50"/>
      <c r="D231" s="71" t="s">
        <v>273</v>
      </c>
      <c r="E231" s="51" t="s">
        <v>274</v>
      </c>
      <c r="F231" s="53">
        <f>+F232</f>
        <v>1800000</v>
      </c>
      <c r="G231" s="72">
        <f>+G232</f>
        <v>0</v>
      </c>
      <c r="H231" s="72">
        <f t="shared" ref="H231" si="136">+H232</f>
        <v>0</v>
      </c>
      <c r="I231" s="72">
        <f t="shared" si="127"/>
        <v>0</v>
      </c>
      <c r="J231" s="72">
        <f>+J232</f>
        <v>0</v>
      </c>
      <c r="K231" s="72">
        <f t="shared" ref="K231" si="137">+K232</f>
        <v>0</v>
      </c>
      <c r="L231" s="72">
        <f t="shared" si="132"/>
        <v>0</v>
      </c>
      <c r="M231" s="72">
        <f t="shared" ref="M231" si="138">+I231+L231</f>
        <v>0</v>
      </c>
      <c r="N231" s="53">
        <f t="shared" si="133"/>
        <v>1800000</v>
      </c>
      <c r="P231" s="195"/>
      <c r="S231" s="206"/>
      <c r="T231" s="206"/>
      <c r="U231" s="243"/>
    </row>
    <row r="232" spans="1:21" s="67" customFormat="1" ht="18" customHeight="1" x14ac:dyDescent="0.25">
      <c r="A232" s="83"/>
      <c r="B232" s="84"/>
      <c r="C232" s="56"/>
      <c r="D232" s="57" t="s">
        <v>382</v>
      </c>
      <c r="E232" s="57" t="s">
        <v>383</v>
      </c>
      <c r="F232" s="58">
        <f>+F233</f>
        <v>1800000</v>
      </c>
      <c r="G232" s="59">
        <f>SUM(G234:G234)</f>
        <v>0</v>
      </c>
      <c r="H232" s="59">
        <f>SUM(H234:H234)</f>
        <v>0</v>
      </c>
      <c r="I232" s="59">
        <f t="shared" si="127"/>
        <v>0</v>
      </c>
      <c r="J232" s="59">
        <f>SUM(J234:J234)</f>
        <v>0</v>
      </c>
      <c r="K232" s="59">
        <f>SUM(K234:K234)</f>
        <v>0</v>
      </c>
      <c r="L232" s="59">
        <f t="shared" si="132"/>
        <v>0</v>
      </c>
      <c r="M232" s="59">
        <f>+I232+L232</f>
        <v>0</v>
      </c>
      <c r="N232" s="58">
        <f t="shared" si="133"/>
        <v>1800000</v>
      </c>
      <c r="P232" s="192"/>
      <c r="S232" s="205"/>
      <c r="T232" s="205"/>
      <c r="U232" s="249"/>
    </row>
    <row r="233" spans="1:21" s="86" customFormat="1" ht="18" customHeight="1" x14ac:dyDescent="0.25">
      <c r="A233" s="85"/>
      <c r="B233" s="66"/>
      <c r="C233" s="61"/>
      <c r="D233" s="62" t="s">
        <v>386</v>
      </c>
      <c r="E233" s="62" t="s">
        <v>387</v>
      </c>
      <c r="F233" s="63">
        <v>1800000</v>
      </c>
      <c r="G233" s="75"/>
      <c r="H233" s="75"/>
      <c r="I233" s="75">
        <f t="shared" si="127"/>
        <v>0</v>
      </c>
      <c r="J233" s="75"/>
      <c r="K233" s="75"/>
      <c r="L233" s="75">
        <f t="shared" si="132"/>
        <v>0</v>
      </c>
      <c r="M233" s="75">
        <f>+I233+L233</f>
        <v>0</v>
      </c>
      <c r="N233" s="63">
        <f t="shared" si="133"/>
        <v>1800000</v>
      </c>
      <c r="O233" s="87"/>
      <c r="P233" s="194"/>
      <c r="S233" s="214"/>
      <c r="T233" s="214"/>
      <c r="U233" s="250"/>
    </row>
    <row r="234" spans="1:21" s="67" customFormat="1" ht="18" customHeight="1" x14ac:dyDescent="0.25">
      <c r="A234" s="81"/>
      <c r="B234" s="82"/>
      <c r="C234" s="44"/>
      <c r="D234" s="45" t="s">
        <v>466</v>
      </c>
      <c r="E234" s="45" t="s">
        <v>467</v>
      </c>
      <c r="F234" s="47">
        <f>+F235</f>
        <v>100000000</v>
      </c>
      <c r="G234" s="70">
        <f>+G235</f>
        <v>0</v>
      </c>
      <c r="H234" s="70">
        <f>+H235+H238</f>
        <v>0</v>
      </c>
      <c r="I234" s="70">
        <f t="shared" si="127"/>
        <v>0</v>
      </c>
      <c r="J234" s="70">
        <f>+J235</f>
        <v>0</v>
      </c>
      <c r="K234" s="70">
        <f t="shared" ref="K234:K235" si="139">+K235</f>
        <v>0</v>
      </c>
      <c r="L234" s="70">
        <f t="shared" si="132"/>
        <v>0</v>
      </c>
      <c r="M234" s="70">
        <f>+I234+L234</f>
        <v>0</v>
      </c>
      <c r="N234" s="47">
        <f t="shared" si="133"/>
        <v>100000000</v>
      </c>
      <c r="P234" s="192"/>
      <c r="S234" s="205"/>
      <c r="T234" s="205"/>
      <c r="U234" s="249"/>
    </row>
    <row r="235" spans="1:21" s="55" customFormat="1" ht="18" customHeight="1" x14ac:dyDescent="0.25">
      <c r="A235" s="50"/>
      <c r="B235" s="51"/>
      <c r="C235" s="50"/>
      <c r="D235" s="71" t="s">
        <v>468</v>
      </c>
      <c r="E235" s="51" t="s">
        <v>469</v>
      </c>
      <c r="F235" s="53">
        <f t="shared" ref="F235:H235" si="140">+F236</f>
        <v>100000000</v>
      </c>
      <c r="G235" s="72">
        <f>+G236</f>
        <v>0</v>
      </c>
      <c r="H235" s="72">
        <f t="shared" si="140"/>
        <v>0</v>
      </c>
      <c r="I235" s="72">
        <f t="shared" si="127"/>
        <v>0</v>
      </c>
      <c r="J235" s="72">
        <f>+J236</f>
        <v>0</v>
      </c>
      <c r="K235" s="72">
        <f t="shared" si="139"/>
        <v>0</v>
      </c>
      <c r="L235" s="72">
        <f t="shared" si="132"/>
        <v>0</v>
      </c>
      <c r="M235" s="72">
        <f t="shared" ref="M235:M236" si="141">+I235+L235</f>
        <v>0</v>
      </c>
      <c r="N235" s="53">
        <f t="shared" si="133"/>
        <v>100000000</v>
      </c>
      <c r="P235" s="195"/>
      <c r="S235" s="206"/>
      <c r="T235" s="206"/>
      <c r="U235" s="243"/>
    </row>
    <row r="236" spans="1:21" s="67" customFormat="1" ht="18" customHeight="1" x14ac:dyDescent="0.25">
      <c r="A236" s="83"/>
      <c r="B236" s="84"/>
      <c r="C236" s="56"/>
      <c r="D236" s="57" t="s">
        <v>470</v>
      </c>
      <c r="E236" s="57" t="s">
        <v>471</v>
      </c>
      <c r="F236" s="58">
        <f>SUM(F237)</f>
        <v>100000000</v>
      </c>
      <c r="G236" s="59">
        <f>+G237</f>
        <v>0</v>
      </c>
      <c r="H236" s="59">
        <f>+H237</f>
        <v>0</v>
      </c>
      <c r="I236" s="59">
        <f>+G236+H236</f>
        <v>0</v>
      </c>
      <c r="J236" s="59">
        <f>+J237</f>
        <v>0</v>
      </c>
      <c r="K236" s="59">
        <f>+K237</f>
        <v>0</v>
      </c>
      <c r="L236" s="59">
        <f>+J236+K236</f>
        <v>0</v>
      </c>
      <c r="M236" s="59">
        <f t="shared" si="141"/>
        <v>0</v>
      </c>
      <c r="N236" s="58">
        <f t="shared" si="133"/>
        <v>100000000</v>
      </c>
      <c r="P236" s="192"/>
      <c r="S236" s="205"/>
      <c r="T236" s="205"/>
      <c r="U236" s="249"/>
    </row>
    <row r="237" spans="1:21" s="86" customFormat="1" ht="18" customHeight="1" x14ac:dyDescent="0.25">
      <c r="A237" s="85"/>
      <c r="B237" s="66"/>
      <c r="C237" s="61"/>
      <c r="D237" s="62" t="s">
        <v>472</v>
      </c>
      <c r="E237" s="62" t="s">
        <v>473</v>
      </c>
      <c r="F237" s="63">
        <v>100000000</v>
      </c>
      <c r="G237" s="75"/>
      <c r="H237" s="75"/>
      <c r="I237" s="75">
        <f>+G237+H237</f>
        <v>0</v>
      </c>
      <c r="J237" s="75"/>
      <c r="K237" s="75"/>
      <c r="L237" s="75">
        <f t="shared" ref="L237" si="142">+J237+K237</f>
        <v>0</v>
      </c>
      <c r="M237" s="75">
        <f>+I237+L237</f>
        <v>0</v>
      </c>
      <c r="N237" s="63">
        <f t="shared" si="133"/>
        <v>100000000</v>
      </c>
      <c r="P237" s="194"/>
      <c r="S237" s="214"/>
      <c r="T237" s="214"/>
      <c r="U237" s="250"/>
    </row>
    <row r="238" spans="1:21" s="134" customFormat="1" ht="18" customHeight="1" x14ac:dyDescent="0.25">
      <c r="A238" s="129"/>
      <c r="B238" s="131"/>
      <c r="C238" s="131"/>
      <c r="D238" s="131"/>
      <c r="E238" s="131"/>
      <c r="F238" s="132"/>
      <c r="G238" s="133"/>
      <c r="H238" s="133"/>
      <c r="I238" s="133"/>
      <c r="J238" s="133"/>
      <c r="K238" s="133"/>
      <c r="L238" s="133"/>
      <c r="M238" s="133"/>
      <c r="N238" s="132"/>
      <c r="P238" s="197"/>
      <c r="S238" s="218"/>
      <c r="T238" s="218"/>
      <c r="U238" s="247"/>
    </row>
    <row r="239" spans="1:21" s="137" customFormat="1" ht="18" customHeight="1" x14ac:dyDescent="0.25">
      <c r="A239" s="109"/>
      <c r="B239" s="110" t="s">
        <v>357</v>
      </c>
      <c r="C239" s="110"/>
      <c r="D239" s="110"/>
      <c r="E239" s="110" t="s">
        <v>358</v>
      </c>
      <c r="F239" s="135">
        <f>+F241</f>
        <v>260000000</v>
      </c>
      <c r="G239" s="136">
        <f>+G240</f>
        <v>0</v>
      </c>
      <c r="H239" s="136">
        <f>+H240</f>
        <v>0</v>
      </c>
      <c r="I239" s="136">
        <f>+G239+H239</f>
        <v>0</v>
      </c>
      <c r="J239" s="136">
        <f>+J240</f>
        <v>0</v>
      </c>
      <c r="K239" s="136">
        <f>+K240</f>
        <v>0</v>
      </c>
      <c r="L239" s="136">
        <f>+J239+K239</f>
        <v>0</v>
      </c>
      <c r="M239" s="136">
        <f t="shared" ref="M239" si="143">+I239+L239</f>
        <v>0</v>
      </c>
      <c r="N239" s="135">
        <f t="shared" ref="N239:N245" si="144">+F239-M239</f>
        <v>260000000</v>
      </c>
      <c r="P239" s="198"/>
      <c r="R239" s="138"/>
      <c r="S239" s="219"/>
      <c r="T239" s="219"/>
      <c r="U239" s="248"/>
    </row>
    <row r="240" spans="1:21" s="121" customFormat="1" ht="18" customHeight="1" x14ac:dyDescent="0.25">
      <c r="A240" s="116">
        <v>11</v>
      </c>
      <c r="B240" s="117"/>
      <c r="C240" s="117" t="s">
        <v>119</v>
      </c>
      <c r="D240" s="118"/>
      <c r="E240" s="128" t="s">
        <v>120</v>
      </c>
      <c r="F240" s="119">
        <f>+F241</f>
        <v>260000000</v>
      </c>
      <c r="G240" s="120">
        <f>+G241</f>
        <v>0</v>
      </c>
      <c r="H240" s="120">
        <f>+H241</f>
        <v>0</v>
      </c>
      <c r="I240" s="120">
        <f>+G240+H240</f>
        <v>0</v>
      </c>
      <c r="J240" s="120">
        <f>+J241</f>
        <v>0</v>
      </c>
      <c r="K240" s="120">
        <f>+K241</f>
        <v>0</v>
      </c>
      <c r="L240" s="120">
        <f>+J240+K240</f>
        <v>0</v>
      </c>
      <c r="M240" s="120">
        <f>+I240+L240</f>
        <v>0</v>
      </c>
      <c r="N240" s="119">
        <f t="shared" si="144"/>
        <v>260000000</v>
      </c>
      <c r="P240" s="190"/>
      <c r="R240" s="122"/>
      <c r="S240" s="216"/>
      <c r="T240" s="216"/>
      <c r="U240" s="246"/>
    </row>
    <row r="241" spans="1:21" s="107" customFormat="1" ht="18" customHeight="1" x14ac:dyDescent="0.25">
      <c r="A241" s="101"/>
      <c r="B241" s="102"/>
      <c r="C241" s="102"/>
      <c r="D241" s="103" t="s">
        <v>267</v>
      </c>
      <c r="E241" s="104" t="s">
        <v>268</v>
      </c>
      <c r="F241" s="105">
        <f t="shared" ref="F241:H243" si="145">+F242</f>
        <v>260000000</v>
      </c>
      <c r="G241" s="106">
        <f>+G242</f>
        <v>0</v>
      </c>
      <c r="H241" s="106">
        <f t="shared" si="145"/>
        <v>0</v>
      </c>
      <c r="I241" s="106">
        <f t="shared" ref="I241:I245" si="146">+G241+H241</f>
        <v>0</v>
      </c>
      <c r="J241" s="106">
        <f>+J242</f>
        <v>0</v>
      </c>
      <c r="K241" s="106">
        <f t="shared" ref="K241:K243" si="147">+K242</f>
        <v>0</v>
      </c>
      <c r="L241" s="106">
        <f t="shared" ref="L241:L244" si="148">+J241+K241</f>
        <v>0</v>
      </c>
      <c r="M241" s="106">
        <f t="shared" ref="M241:M244" si="149">+I241+L241</f>
        <v>0</v>
      </c>
      <c r="N241" s="105">
        <f t="shared" si="144"/>
        <v>260000000</v>
      </c>
      <c r="P241" s="191"/>
      <c r="R241" s="108"/>
      <c r="S241" s="217"/>
      <c r="T241" s="217"/>
      <c r="U241" s="241"/>
    </row>
    <row r="242" spans="1:21" s="49" customFormat="1" ht="18" customHeight="1" x14ac:dyDescent="0.25">
      <c r="A242" s="44"/>
      <c r="B242" s="82"/>
      <c r="C242" s="44"/>
      <c r="D242" s="45" t="s">
        <v>78</v>
      </c>
      <c r="E242" s="45" t="s">
        <v>75</v>
      </c>
      <c r="F242" s="47">
        <f t="shared" si="145"/>
        <v>260000000</v>
      </c>
      <c r="G242" s="70">
        <f>+G243</f>
        <v>0</v>
      </c>
      <c r="H242" s="70">
        <f t="shared" si="145"/>
        <v>0</v>
      </c>
      <c r="I242" s="70">
        <f t="shared" si="146"/>
        <v>0</v>
      </c>
      <c r="J242" s="70">
        <f>+J243</f>
        <v>0</v>
      </c>
      <c r="K242" s="70">
        <f t="shared" si="147"/>
        <v>0</v>
      </c>
      <c r="L242" s="70">
        <f t="shared" si="148"/>
        <v>0</v>
      </c>
      <c r="M242" s="70">
        <f t="shared" si="149"/>
        <v>0</v>
      </c>
      <c r="N242" s="47">
        <f t="shared" si="144"/>
        <v>260000000</v>
      </c>
      <c r="P242" s="192"/>
      <c r="S242" s="205"/>
      <c r="T242" s="205"/>
      <c r="U242" s="242"/>
    </row>
    <row r="243" spans="1:21" s="55" customFormat="1" ht="18" customHeight="1" x14ac:dyDescent="0.25">
      <c r="A243" s="50"/>
      <c r="B243" s="51"/>
      <c r="C243" s="50"/>
      <c r="D243" s="71" t="s">
        <v>277</v>
      </c>
      <c r="E243" s="51" t="s">
        <v>278</v>
      </c>
      <c r="F243" s="53">
        <f t="shared" si="145"/>
        <v>260000000</v>
      </c>
      <c r="G243" s="72">
        <f>+G244</f>
        <v>0</v>
      </c>
      <c r="H243" s="72">
        <f t="shared" si="145"/>
        <v>0</v>
      </c>
      <c r="I243" s="72">
        <f t="shared" si="146"/>
        <v>0</v>
      </c>
      <c r="J243" s="72">
        <f>+J244</f>
        <v>0</v>
      </c>
      <c r="K243" s="72">
        <f t="shared" si="147"/>
        <v>0</v>
      </c>
      <c r="L243" s="72">
        <f t="shared" si="148"/>
        <v>0</v>
      </c>
      <c r="M243" s="72">
        <f t="shared" si="149"/>
        <v>0</v>
      </c>
      <c r="N243" s="53">
        <f t="shared" si="144"/>
        <v>260000000</v>
      </c>
      <c r="P243" s="195"/>
      <c r="S243" s="206"/>
      <c r="T243" s="206"/>
      <c r="U243" s="243"/>
    </row>
    <row r="244" spans="1:21" s="49" customFormat="1" ht="18" customHeight="1" x14ac:dyDescent="0.25">
      <c r="A244" s="56"/>
      <c r="B244" s="84"/>
      <c r="C244" s="56"/>
      <c r="D244" s="57" t="s">
        <v>121</v>
      </c>
      <c r="E244" s="57" t="s">
        <v>123</v>
      </c>
      <c r="F244" s="58">
        <f>F245</f>
        <v>260000000</v>
      </c>
      <c r="G244" s="59">
        <f>+G245</f>
        <v>0</v>
      </c>
      <c r="H244" s="59">
        <f>+H245</f>
        <v>0</v>
      </c>
      <c r="I244" s="59">
        <f t="shared" si="146"/>
        <v>0</v>
      </c>
      <c r="J244" s="59">
        <f>+J245</f>
        <v>0</v>
      </c>
      <c r="K244" s="59">
        <f>+K245</f>
        <v>0</v>
      </c>
      <c r="L244" s="59">
        <f t="shared" si="148"/>
        <v>0</v>
      </c>
      <c r="M244" s="59">
        <f t="shared" si="149"/>
        <v>0</v>
      </c>
      <c r="N244" s="58">
        <f t="shared" si="144"/>
        <v>260000000</v>
      </c>
      <c r="P244" s="192"/>
      <c r="S244" s="205"/>
      <c r="T244" s="205"/>
      <c r="U244" s="242"/>
    </row>
    <row r="245" spans="1:21" s="49" customFormat="1" ht="18" customHeight="1" x14ac:dyDescent="0.25">
      <c r="A245" s="61"/>
      <c r="B245" s="66"/>
      <c r="C245" s="61"/>
      <c r="D245" s="62" t="s">
        <v>122</v>
      </c>
      <c r="E245" s="62" t="s">
        <v>124</v>
      </c>
      <c r="F245" s="63">
        <v>260000000</v>
      </c>
      <c r="G245" s="75"/>
      <c r="H245" s="75"/>
      <c r="I245" s="75">
        <f t="shared" si="146"/>
        <v>0</v>
      </c>
      <c r="J245" s="75"/>
      <c r="K245" s="75"/>
      <c r="L245" s="75"/>
      <c r="M245" s="75">
        <f>+I245+L245</f>
        <v>0</v>
      </c>
      <c r="N245" s="63">
        <f t="shared" si="144"/>
        <v>260000000</v>
      </c>
      <c r="P245" s="192"/>
      <c r="S245" s="205"/>
      <c r="T245" s="228">
        <v>409000000</v>
      </c>
      <c r="U245" s="242"/>
    </row>
    <row r="246" spans="1:21" s="134" customFormat="1" ht="18" customHeight="1" x14ac:dyDescent="0.25">
      <c r="A246" s="129"/>
      <c r="B246" s="131"/>
      <c r="C246" s="131"/>
      <c r="D246" s="131"/>
      <c r="E246" s="131"/>
      <c r="F246" s="132"/>
      <c r="G246" s="133"/>
      <c r="H246" s="133"/>
      <c r="I246" s="133"/>
      <c r="J246" s="133"/>
      <c r="K246" s="133"/>
      <c r="L246" s="133"/>
      <c r="M246" s="133"/>
      <c r="N246" s="132"/>
      <c r="P246" s="197"/>
      <c r="S246" s="218"/>
      <c r="T246" s="218"/>
      <c r="U246" s="247"/>
    </row>
    <row r="247" spans="1:21" s="137" customFormat="1" ht="16.5" customHeight="1" x14ac:dyDescent="0.25">
      <c r="A247" s="109"/>
      <c r="B247" s="110" t="s">
        <v>359</v>
      </c>
      <c r="C247" s="110"/>
      <c r="D247" s="110"/>
      <c r="E247" s="110" t="s">
        <v>360</v>
      </c>
      <c r="F247" s="135" t="e">
        <f>+F248+F256+F269+F278</f>
        <v>#REF!</v>
      </c>
      <c r="G247" s="136" t="e">
        <f>+G248+G256+G269+G278</f>
        <v>#REF!</v>
      </c>
      <c r="H247" s="136" t="e">
        <f>+H248+H256+H269+H278</f>
        <v>#REF!</v>
      </c>
      <c r="I247" s="136" t="e">
        <f>+G247+H247</f>
        <v>#REF!</v>
      </c>
      <c r="J247" s="136" t="e">
        <f>+J248+J256+J269+J278</f>
        <v>#REF!</v>
      </c>
      <c r="K247" s="136" t="e">
        <f>+K248+K256+K269+K278</f>
        <v>#REF!</v>
      </c>
      <c r="L247" s="136" t="e">
        <f>+J247+K247</f>
        <v>#REF!</v>
      </c>
      <c r="M247" s="113" t="e">
        <f t="shared" ref="M247" si="150">+I247+L247</f>
        <v>#REF!</v>
      </c>
      <c r="N247" s="135" t="e">
        <f t="shared" ref="N247:N255" si="151">+F247-M247</f>
        <v>#REF!</v>
      </c>
      <c r="P247" s="198"/>
      <c r="R247" s="138"/>
      <c r="S247" s="219"/>
      <c r="T247" s="219"/>
      <c r="U247" s="248"/>
    </row>
    <row r="248" spans="1:21" s="121" customFormat="1" ht="18" customHeight="1" x14ac:dyDescent="0.25">
      <c r="A248" s="116">
        <v>12</v>
      </c>
      <c r="B248" s="117"/>
      <c r="C248" s="117" t="s">
        <v>125</v>
      </c>
      <c r="D248" s="118"/>
      <c r="E248" s="128" t="s">
        <v>34</v>
      </c>
      <c r="F248" s="119">
        <f>+F249</f>
        <v>219414700</v>
      </c>
      <c r="G248" s="120">
        <f>+G249</f>
        <v>0</v>
      </c>
      <c r="H248" s="120">
        <f>+H249</f>
        <v>0</v>
      </c>
      <c r="I248" s="120">
        <f>+G248+H248</f>
        <v>0</v>
      </c>
      <c r="J248" s="120">
        <f>+J249</f>
        <v>0</v>
      </c>
      <c r="K248" s="120">
        <f>+K249</f>
        <v>0</v>
      </c>
      <c r="L248" s="120">
        <f>+J248+K248</f>
        <v>0</v>
      </c>
      <c r="M248" s="120">
        <f>+I248+L248</f>
        <v>0</v>
      </c>
      <c r="N248" s="119">
        <f t="shared" si="151"/>
        <v>219414700</v>
      </c>
      <c r="P248" s="190"/>
      <c r="R248" s="122"/>
      <c r="S248" s="216"/>
      <c r="T248" s="216"/>
      <c r="U248" s="246"/>
    </row>
    <row r="249" spans="1:21" s="107" customFormat="1" ht="18" customHeight="1" x14ac:dyDescent="0.25">
      <c r="A249" s="101"/>
      <c r="B249" s="102"/>
      <c r="C249" s="141"/>
      <c r="D249" s="103" t="s">
        <v>207</v>
      </c>
      <c r="E249" s="104" t="s">
        <v>262</v>
      </c>
      <c r="F249" s="105">
        <f t="shared" ref="F249:H251" si="152">+F250</f>
        <v>219414700</v>
      </c>
      <c r="G249" s="106">
        <f>+G250</f>
        <v>0</v>
      </c>
      <c r="H249" s="106">
        <f t="shared" si="152"/>
        <v>0</v>
      </c>
      <c r="I249" s="106">
        <f t="shared" ref="I249:I253" si="153">+G249+H249</f>
        <v>0</v>
      </c>
      <c r="J249" s="106">
        <f t="shared" ref="J249:K251" si="154">+J250</f>
        <v>0</v>
      </c>
      <c r="K249" s="106">
        <f t="shared" si="154"/>
        <v>0</v>
      </c>
      <c r="L249" s="106">
        <f t="shared" ref="L249:L251" si="155">+J249+K249</f>
        <v>0</v>
      </c>
      <c r="M249" s="106">
        <f t="shared" ref="M249:M252" si="156">+I249+L249</f>
        <v>0</v>
      </c>
      <c r="N249" s="105">
        <f t="shared" si="151"/>
        <v>219414700</v>
      </c>
      <c r="P249" s="191"/>
      <c r="R249" s="108"/>
      <c r="S249" s="217"/>
      <c r="T249" s="217"/>
      <c r="U249" s="241"/>
    </row>
    <row r="250" spans="1:21" s="49" customFormat="1" ht="18" customHeight="1" x14ac:dyDescent="0.25">
      <c r="A250" s="44"/>
      <c r="B250" s="82"/>
      <c r="C250" s="44"/>
      <c r="D250" s="45" t="s">
        <v>63</v>
      </c>
      <c r="E250" s="45" t="s">
        <v>30</v>
      </c>
      <c r="F250" s="47">
        <f t="shared" si="152"/>
        <v>219414700</v>
      </c>
      <c r="G250" s="70">
        <f>+G251</f>
        <v>0</v>
      </c>
      <c r="H250" s="70">
        <f t="shared" si="152"/>
        <v>0</v>
      </c>
      <c r="I250" s="70">
        <f t="shared" si="153"/>
        <v>0</v>
      </c>
      <c r="J250" s="70">
        <f t="shared" si="154"/>
        <v>0</v>
      </c>
      <c r="K250" s="70">
        <f t="shared" si="154"/>
        <v>0</v>
      </c>
      <c r="L250" s="70">
        <f t="shared" si="155"/>
        <v>0</v>
      </c>
      <c r="M250" s="70">
        <f t="shared" si="156"/>
        <v>0</v>
      </c>
      <c r="N250" s="47">
        <f t="shared" si="151"/>
        <v>219414700</v>
      </c>
      <c r="P250" s="192"/>
      <c r="S250" s="205"/>
      <c r="T250" s="205"/>
      <c r="U250" s="242"/>
    </row>
    <row r="251" spans="1:21" s="55" customFormat="1" ht="18" customHeight="1" x14ac:dyDescent="0.25">
      <c r="A251" s="50"/>
      <c r="B251" s="51"/>
      <c r="C251" s="50"/>
      <c r="D251" s="71" t="s">
        <v>263</v>
      </c>
      <c r="E251" s="51" t="s">
        <v>264</v>
      </c>
      <c r="F251" s="53">
        <f t="shared" si="152"/>
        <v>219414700</v>
      </c>
      <c r="G251" s="72">
        <f>+G252</f>
        <v>0</v>
      </c>
      <c r="H251" s="72">
        <f t="shared" si="152"/>
        <v>0</v>
      </c>
      <c r="I251" s="72">
        <f t="shared" si="153"/>
        <v>0</v>
      </c>
      <c r="J251" s="72">
        <f t="shared" si="154"/>
        <v>0</v>
      </c>
      <c r="K251" s="72">
        <f t="shared" si="154"/>
        <v>0</v>
      </c>
      <c r="L251" s="72">
        <f t="shared" si="155"/>
        <v>0</v>
      </c>
      <c r="M251" s="72">
        <f t="shared" si="156"/>
        <v>0</v>
      </c>
      <c r="N251" s="53">
        <f t="shared" si="151"/>
        <v>219414700</v>
      </c>
      <c r="P251" s="195"/>
      <c r="S251" s="206"/>
      <c r="T251" s="206"/>
      <c r="U251" s="243"/>
    </row>
    <row r="252" spans="1:21" s="49" customFormat="1" ht="18" customHeight="1" x14ac:dyDescent="0.25">
      <c r="A252" s="56"/>
      <c r="B252" s="84"/>
      <c r="C252" s="56"/>
      <c r="D252" s="57" t="s">
        <v>64</v>
      </c>
      <c r="E252" s="57" t="s">
        <v>65</v>
      </c>
      <c r="F252" s="58">
        <f>SUM(F253:F255)</f>
        <v>219414700</v>
      </c>
      <c r="G252" s="59">
        <f>SUM(G253:G255)</f>
        <v>0</v>
      </c>
      <c r="H252" s="59">
        <f>SUM(H253:H255)</f>
        <v>0</v>
      </c>
      <c r="I252" s="59">
        <f t="shared" si="153"/>
        <v>0</v>
      </c>
      <c r="J252" s="59">
        <f>SUM(J253:J255)</f>
        <v>0</v>
      </c>
      <c r="K252" s="59">
        <f>SUM(K253:K255)</f>
        <v>0</v>
      </c>
      <c r="L252" s="59">
        <f>+J252+K252</f>
        <v>0</v>
      </c>
      <c r="M252" s="59">
        <f t="shared" si="156"/>
        <v>0</v>
      </c>
      <c r="N252" s="58">
        <f t="shared" si="151"/>
        <v>219414700</v>
      </c>
      <c r="P252" s="192"/>
      <c r="S252" s="205"/>
      <c r="T252" s="205"/>
      <c r="U252" s="242"/>
    </row>
    <row r="253" spans="1:21" s="65" customFormat="1" ht="18" customHeight="1" x14ac:dyDescent="0.25">
      <c r="A253" s="61"/>
      <c r="B253" s="66"/>
      <c r="C253" s="61"/>
      <c r="D253" s="62" t="s">
        <v>337</v>
      </c>
      <c r="E253" s="62" t="s">
        <v>338</v>
      </c>
      <c r="F253" s="63">
        <v>875000</v>
      </c>
      <c r="G253" s="75"/>
      <c r="H253" s="75"/>
      <c r="I253" s="75">
        <f t="shared" si="153"/>
        <v>0</v>
      </c>
      <c r="J253" s="75"/>
      <c r="K253" s="75"/>
      <c r="L253" s="75">
        <f>+J253+K253</f>
        <v>0</v>
      </c>
      <c r="M253" s="75">
        <f>+I253+L253</f>
        <v>0</v>
      </c>
      <c r="N253" s="63">
        <f t="shared" si="151"/>
        <v>875000</v>
      </c>
      <c r="P253" s="194"/>
      <c r="S253" s="214"/>
      <c r="T253" s="214"/>
      <c r="U253" s="244"/>
    </row>
    <row r="254" spans="1:21" s="65" customFormat="1" ht="18" customHeight="1" x14ac:dyDescent="0.25">
      <c r="A254" s="61"/>
      <c r="B254" s="66"/>
      <c r="C254" s="61"/>
      <c r="D254" s="62" t="s">
        <v>68</v>
      </c>
      <c r="E254" s="62" t="s">
        <v>69</v>
      </c>
      <c r="F254" s="63">
        <v>182539700</v>
      </c>
      <c r="G254" s="75"/>
      <c r="H254" s="75"/>
      <c r="I254" s="75">
        <f>+G254+H254</f>
        <v>0</v>
      </c>
      <c r="J254" s="75"/>
      <c r="K254" s="75"/>
      <c r="L254" s="75">
        <f>+J254+K254</f>
        <v>0</v>
      </c>
      <c r="M254" s="75">
        <f>+I254+L254</f>
        <v>0</v>
      </c>
      <c r="N254" s="63">
        <f t="shared" si="151"/>
        <v>182539700</v>
      </c>
      <c r="P254" s="194"/>
      <c r="S254" s="230">
        <f>6007500+5467800</f>
        <v>11475300</v>
      </c>
      <c r="T254" s="214"/>
      <c r="U254" s="244"/>
    </row>
    <row r="255" spans="1:21" s="127" customFormat="1" ht="18" customHeight="1" x14ac:dyDescent="0.25">
      <c r="A255" s="123"/>
      <c r="B255" s="143"/>
      <c r="C255" s="123"/>
      <c r="D255" s="124" t="s">
        <v>126</v>
      </c>
      <c r="E255" s="124" t="s">
        <v>127</v>
      </c>
      <c r="F255" s="125">
        <v>36000000</v>
      </c>
      <c r="G255" s="140">
        <v>0</v>
      </c>
      <c r="H255" s="140"/>
      <c r="I255" s="140">
        <f>+G255+H255</f>
        <v>0</v>
      </c>
      <c r="J255" s="140"/>
      <c r="K255" s="140"/>
      <c r="L255" s="140">
        <f>+J255+K255</f>
        <v>0</v>
      </c>
      <c r="M255" s="140">
        <f>+I255+L255</f>
        <v>0</v>
      </c>
      <c r="N255" s="125">
        <f t="shared" si="151"/>
        <v>36000000</v>
      </c>
      <c r="P255" s="196"/>
      <c r="S255" s="239">
        <f>8000000</f>
        <v>8000000</v>
      </c>
      <c r="T255" s="215"/>
      <c r="U255" s="245"/>
    </row>
    <row r="256" spans="1:21" s="121" customFormat="1" ht="18" customHeight="1" x14ac:dyDescent="0.25">
      <c r="A256" s="116">
        <v>13</v>
      </c>
      <c r="B256" s="117"/>
      <c r="C256" s="117" t="s">
        <v>128</v>
      </c>
      <c r="D256" s="118"/>
      <c r="E256" s="128" t="s">
        <v>46</v>
      </c>
      <c r="F256" s="119" t="e">
        <f>+F257+#REF!</f>
        <v>#REF!</v>
      </c>
      <c r="G256" s="120" t="e">
        <f>+G257</f>
        <v>#REF!</v>
      </c>
      <c r="H256" s="120" t="e">
        <f>+H257+#REF!</f>
        <v>#REF!</v>
      </c>
      <c r="I256" s="120" t="e">
        <f>+G256+H256</f>
        <v>#REF!</v>
      </c>
      <c r="J256" s="120" t="e">
        <f>+J257</f>
        <v>#REF!</v>
      </c>
      <c r="K256" s="120" t="e">
        <f>+K257</f>
        <v>#REF!</v>
      </c>
      <c r="L256" s="120" t="e">
        <f>+J256+K256</f>
        <v>#REF!</v>
      </c>
      <c r="M256" s="120" t="e">
        <f>+I256+L256</f>
        <v>#REF!</v>
      </c>
      <c r="N256" s="119" t="e">
        <f>+F256-M256</f>
        <v>#REF!</v>
      </c>
      <c r="P256" s="190"/>
      <c r="R256" s="122"/>
      <c r="S256" s="216"/>
      <c r="T256" s="216"/>
      <c r="U256" s="246"/>
    </row>
    <row r="257" spans="1:21" s="107" customFormat="1" ht="18" customHeight="1" x14ac:dyDescent="0.25">
      <c r="A257" s="101"/>
      <c r="B257" s="102"/>
      <c r="C257" s="141"/>
      <c r="D257" s="103" t="s">
        <v>207</v>
      </c>
      <c r="E257" s="104" t="s">
        <v>262</v>
      </c>
      <c r="F257" s="105" t="e">
        <f>+F258</f>
        <v>#REF!</v>
      </c>
      <c r="G257" s="106" t="e">
        <f>+G258</f>
        <v>#REF!</v>
      </c>
      <c r="H257" s="106" t="e">
        <f t="shared" ref="F257:H259" si="157">+H258</f>
        <v>#REF!</v>
      </c>
      <c r="I257" s="106" t="e">
        <f t="shared" ref="I257:I262" si="158">+G257+H257</f>
        <v>#REF!</v>
      </c>
      <c r="J257" s="106" t="e">
        <f t="shared" ref="J257:K259" si="159">+J258</f>
        <v>#REF!</v>
      </c>
      <c r="K257" s="106" t="e">
        <f t="shared" si="159"/>
        <v>#REF!</v>
      </c>
      <c r="L257" s="106" t="e">
        <f t="shared" ref="L257:L260" si="160">+J257+K257</f>
        <v>#REF!</v>
      </c>
      <c r="M257" s="106" t="e">
        <f t="shared" ref="M257:M260" si="161">+I257+L257</f>
        <v>#REF!</v>
      </c>
      <c r="N257" s="105" t="e">
        <f>+F257-M257</f>
        <v>#REF!</v>
      </c>
      <c r="P257" s="191"/>
      <c r="R257" s="108"/>
      <c r="S257" s="217"/>
      <c r="T257" s="217"/>
      <c r="U257" s="241"/>
    </row>
    <row r="258" spans="1:21" s="49" customFormat="1" ht="18" customHeight="1" x14ac:dyDescent="0.25">
      <c r="A258" s="44"/>
      <c r="B258" s="82"/>
      <c r="C258" s="44"/>
      <c r="D258" s="45" t="s">
        <v>63</v>
      </c>
      <c r="E258" s="45" t="s">
        <v>30</v>
      </c>
      <c r="F258" s="47" t="e">
        <f>+F259+F262+#REF!</f>
        <v>#REF!</v>
      </c>
      <c r="G258" s="70" t="e">
        <f>+G259+G262+#REF!</f>
        <v>#REF!</v>
      </c>
      <c r="H258" s="70" t="e">
        <f>+H259+H262+#REF!</f>
        <v>#REF!</v>
      </c>
      <c r="I258" s="70" t="e">
        <f t="shared" si="158"/>
        <v>#REF!</v>
      </c>
      <c r="J258" s="70" t="e">
        <f>+J259+J262+#REF!</f>
        <v>#REF!</v>
      </c>
      <c r="K258" s="70" t="e">
        <f>+K259+K262+#REF!</f>
        <v>#REF!</v>
      </c>
      <c r="L258" s="70" t="e">
        <f t="shared" si="160"/>
        <v>#REF!</v>
      </c>
      <c r="M258" s="70" t="e">
        <f t="shared" si="161"/>
        <v>#REF!</v>
      </c>
      <c r="N258" s="47" t="e">
        <f>+F258-M258</f>
        <v>#REF!</v>
      </c>
      <c r="P258" s="192"/>
      <c r="S258" s="205"/>
      <c r="T258" s="205"/>
      <c r="U258" s="242"/>
    </row>
    <row r="259" spans="1:21" s="55" customFormat="1" ht="18" customHeight="1" x14ac:dyDescent="0.25">
      <c r="A259" s="50"/>
      <c r="B259" s="51"/>
      <c r="C259" s="50"/>
      <c r="D259" s="71" t="s">
        <v>263</v>
      </c>
      <c r="E259" s="51" t="s">
        <v>264</v>
      </c>
      <c r="F259" s="53">
        <f t="shared" si="157"/>
        <v>35000000</v>
      </c>
      <c r="G259" s="72">
        <f>+G260</f>
        <v>0</v>
      </c>
      <c r="H259" s="72">
        <f t="shared" si="157"/>
        <v>0</v>
      </c>
      <c r="I259" s="72">
        <f t="shared" si="158"/>
        <v>0</v>
      </c>
      <c r="J259" s="72">
        <f t="shared" si="159"/>
        <v>0</v>
      </c>
      <c r="K259" s="72">
        <f t="shared" si="159"/>
        <v>0</v>
      </c>
      <c r="L259" s="72">
        <f t="shared" si="160"/>
        <v>0</v>
      </c>
      <c r="M259" s="72">
        <f t="shared" si="161"/>
        <v>0</v>
      </c>
      <c r="N259" s="53">
        <f>+F259-M259</f>
        <v>35000000</v>
      </c>
      <c r="P259" s="195"/>
      <c r="S259" s="206"/>
      <c r="T259" s="206"/>
      <c r="U259" s="243"/>
    </row>
    <row r="260" spans="1:21" s="49" customFormat="1" ht="18" customHeight="1" x14ac:dyDescent="0.25">
      <c r="A260" s="56"/>
      <c r="B260" s="84"/>
      <c r="C260" s="56"/>
      <c r="D260" s="57" t="s">
        <v>64</v>
      </c>
      <c r="E260" s="57" t="s">
        <v>65</v>
      </c>
      <c r="F260" s="58">
        <f>+F261</f>
        <v>35000000</v>
      </c>
      <c r="G260" s="59">
        <f>+G261</f>
        <v>0</v>
      </c>
      <c r="H260" s="59">
        <f>+H261+H265</f>
        <v>0</v>
      </c>
      <c r="I260" s="59">
        <f t="shared" si="158"/>
        <v>0</v>
      </c>
      <c r="J260" s="59">
        <f>J261</f>
        <v>0</v>
      </c>
      <c r="K260" s="59">
        <f>+K261</f>
        <v>0</v>
      </c>
      <c r="L260" s="59">
        <f t="shared" si="160"/>
        <v>0</v>
      </c>
      <c r="M260" s="59">
        <f t="shared" si="161"/>
        <v>0</v>
      </c>
      <c r="N260" s="58">
        <f>+F260-M260</f>
        <v>35000000</v>
      </c>
      <c r="P260" s="192"/>
      <c r="S260" s="205"/>
      <c r="T260" s="205"/>
      <c r="U260" s="242"/>
    </row>
    <row r="261" spans="1:21" s="65" customFormat="1" ht="18" customHeight="1" x14ac:dyDescent="0.25">
      <c r="A261" s="61"/>
      <c r="B261" s="66"/>
      <c r="C261" s="61"/>
      <c r="D261" s="62" t="s">
        <v>129</v>
      </c>
      <c r="E261" s="62" t="s">
        <v>130</v>
      </c>
      <c r="F261" s="63">
        <v>35000000</v>
      </c>
      <c r="G261" s="75"/>
      <c r="H261" s="75"/>
      <c r="I261" s="75">
        <f t="shared" si="158"/>
        <v>0</v>
      </c>
      <c r="J261" s="75"/>
      <c r="K261" s="75"/>
      <c r="L261" s="75">
        <f>+J261+K261</f>
        <v>0</v>
      </c>
      <c r="M261" s="75">
        <f>+I261+L261</f>
        <v>0</v>
      </c>
      <c r="N261" s="63">
        <f t="shared" ref="N261" si="162">+F261-M261</f>
        <v>35000000</v>
      </c>
      <c r="P261" s="194"/>
      <c r="S261" s="230">
        <f>1000000+2000000</f>
        <v>3000000</v>
      </c>
      <c r="T261" s="214"/>
      <c r="U261" s="244"/>
    </row>
    <row r="262" spans="1:21" s="55" customFormat="1" ht="18" customHeight="1" x14ac:dyDescent="0.25">
      <c r="A262" s="50"/>
      <c r="B262" s="51"/>
      <c r="C262" s="50"/>
      <c r="D262" s="71" t="s">
        <v>271</v>
      </c>
      <c r="E262" s="51" t="s">
        <v>272</v>
      </c>
      <c r="F262" s="53">
        <f t="shared" ref="F262:H262" si="163">+F263</f>
        <v>38365620000</v>
      </c>
      <c r="G262" s="72">
        <f>+G263</f>
        <v>0</v>
      </c>
      <c r="H262" s="72">
        <f t="shared" si="163"/>
        <v>0</v>
      </c>
      <c r="I262" s="72">
        <f t="shared" si="158"/>
        <v>0</v>
      </c>
      <c r="J262" s="72">
        <f>+J263</f>
        <v>0</v>
      </c>
      <c r="K262" s="72">
        <f t="shared" ref="K262" si="164">+K263</f>
        <v>0</v>
      </c>
      <c r="L262" s="72">
        <f t="shared" ref="L262" si="165">+J262+K262</f>
        <v>0</v>
      </c>
      <c r="M262" s="72">
        <f t="shared" ref="M262:M263" si="166">+I262+L262</f>
        <v>0</v>
      </c>
      <c r="N262" s="53">
        <f>+F262-M262</f>
        <v>38365620000</v>
      </c>
      <c r="P262" s="195"/>
      <c r="S262" s="231"/>
      <c r="T262" s="206"/>
      <c r="U262" s="243"/>
    </row>
    <row r="263" spans="1:21" s="49" customFormat="1" ht="18" customHeight="1" x14ac:dyDescent="0.25">
      <c r="A263" s="56"/>
      <c r="B263" s="84"/>
      <c r="C263" s="56"/>
      <c r="D263" s="57" t="s">
        <v>81</v>
      </c>
      <c r="E263" s="57" t="s">
        <v>31</v>
      </c>
      <c r="F263" s="58">
        <f>SUM(F264:F268)</f>
        <v>38365620000</v>
      </c>
      <c r="G263" s="59">
        <f>SUM(G264:G268)</f>
        <v>0</v>
      </c>
      <c r="H263" s="59">
        <f>SUM(H264:H268)</f>
        <v>0</v>
      </c>
      <c r="I263" s="59">
        <f>+G263+H263</f>
        <v>0</v>
      </c>
      <c r="J263" s="59">
        <f>SUM(J264:J268)</f>
        <v>0</v>
      </c>
      <c r="K263" s="59">
        <f>SUM(K264:K268)</f>
        <v>0</v>
      </c>
      <c r="L263" s="59">
        <f>+J263+K263</f>
        <v>0</v>
      </c>
      <c r="M263" s="59">
        <f t="shared" si="166"/>
        <v>0</v>
      </c>
      <c r="N263" s="58">
        <f>+F263-M263</f>
        <v>38365620000</v>
      </c>
      <c r="P263" s="192"/>
      <c r="S263" s="228"/>
      <c r="T263" s="205"/>
      <c r="U263" s="242"/>
    </row>
    <row r="264" spans="1:21" s="65" customFormat="1" ht="18" customHeight="1" x14ac:dyDescent="0.25">
      <c r="A264" s="61"/>
      <c r="B264" s="66"/>
      <c r="C264" s="61"/>
      <c r="D264" s="62" t="s">
        <v>131</v>
      </c>
      <c r="E264" s="62" t="s">
        <v>132</v>
      </c>
      <c r="F264" s="63">
        <v>16800000</v>
      </c>
      <c r="G264" s="75"/>
      <c r="H264" s="75"/>
      <c r="I264" s="75">
        <f t="shared" ref="I264:I268" si="167">+G264+H264</f>
        <v>0</v>
      </c>
      <c r="J264" s="75"/>
      <c r="K264" s="75"/>
      <c r="L264" s="75">
        <f>+J264+K264</f>
        <v>0</v>
      </c>
      <c r="M264" s="75">
        <f>+I264+L264</f>
        <v>0</v>
      </c>
      <c r="N264" s="63">
        <f t="shared" ref="N264:N268" si="168">+F264-M264</f>
        <v>16800000</v>
      </c>
      <c r="P264" s="194"/>
      <c r="S264" s="230">
        <f>41499+34357+34357</f>
        <v>110213</v>
      </c>
      <c r="T264" s="214"/>
      <c r="U264" s="244"/>
    </row>
    <row r="265" spans="1:21" s="65" customFormat="1" ht="18" customHeight="1" x14ac:dyDescent="0.25">
      <c r="A265" s="61"/>
      <c r="B265" s="66"/>
      <c r="C265" s="61"/>
      <c r="D265" s="62" t="s">
        <v>133</v>
      </c>
      <c r="E265" s="62" t="s">
        <v>134</v>
      </c>
      <c r="F265" s="63">
        <v>42000000</v>
      </c>
      <c r="G265" s="75">
        <v>0</v>
      </c>
      <c r="H265" s="75"/>
      <c r="I265" s="75">
        <f t="shared" si="167"/>
        <v>0</v>
      </c>
      <c r="J265" s="75"/>
      <c r="K265" s="75"/>
      <c r="L265" s="75">
        <f>+J265+K265</f>
        <v>0</v>
      </c>
      <c r="M265" s="75">
        <f>+I265+L265</f>
        <v>0</v>
      </c>
      <c r="N265" s="63">
        <f t="shared" si="168"/>
        <v>42000000</v>
      </c>
      <c r="P265" s="194"/>
      <c r="S265" s="230">
        <f>2426600</f>
        <v>2426600</v>
      </c>
      <c r="T265" s="214"/>
      <c r="U265" s="244"/>
    </row>
    <row r="266" spans="1:21" s="65" customFormat="1" ht="18" customHeight="1" x14ac:dyDescent="0.25">
      <c r="A266" s="61"/>
      <c r="B266" s="66"/>
      <c r="C266" s="61"/>
      <c r="D266" s="62" t="s">
        <v>135</v>
      </c>
      <c r="E266" s="62" t="s">
        <v>136</v>
      </c>
      <c r="F266" s="63">
        <v>37992800000</v>
      </c>
      <c r="G266" s="75"/>
      <c r="H266" s="75"/>
      <c r="I266" s="75">
        <f t="shared" si="167"/>
        <v>0</v>
      </c>
      <c r="J266" s="75"/>
      <c r="K266" s="75"/>
      <c r="L266" s="75">
        <f>+J266+K266</f>
        <v>0</v>
      </c>
      <c r="M266" s="75">
        <f>+I266+L266</f>
        <v>0</v>
      </c>
      <c r="N266" s="63">
        <f t="shared" si="168"/>
        <v>37992800000</v>
      </c>
      <c r="P266" s="194"/>
      <c r="S266" s="230"/>
      <c r="T266" s="230">
        <f>508319944+31182099</f>
        <v>539502043</v>
      </c>
      <c r="U266" s="244"/>
    </row>
    <row r="267" spans="1:21" s="65" customFormat="1" ht="18" customHeight="1" x14ac:dyDescent="0.25">
      <c r="A267" s="61"/>
      <c r="B267" s="66"/>
      <c r="C267" s="61"/>
      <c r="D267" s="62" t="s">
        <v>137</v>
      </c>
      <c r="E267" s="62" t="s">
        <v>138</v>
      </c>
      <c r="F267" s="63">
        <v>12820000</v>
      </c>
      <c r="G267" s="75"/>
      <c r="H267" s="75"/>
      <c r="I267" s="75">
        <f t="shared" si="167"/>
        <v>0</v>
      </c>
      <c r="J267" s="75"/>
      <c r="K267" s="75"/>
      <c r="L267" s="75">
        <f t="shared" ref="L267:L272" si="169">+J267+K267</f>
        <v>0</v>
      </c>
      <c r="M267" s="75">
        <f t="shared" ref="M267:M268" si="170">+I267+L267</f>
        <v>0</v>
      </c>
      <c r="N267" s="63">
        <f t="shared" si="168"/>
        <v>12820000</v>
      </c>
      <c r="P267" s="194"/>
      <c r="S267" s="230">
        <f>230000+1300000+2000000</f>
        <v>3530000</v>
      </c>
      <c r="T267" s="230"/>
      <c r="U267" s="244"/>
    </row>
    <row r="268" spans="1:21" s="65" customFormat="1" ht="18" customHeight="1" x14ac:dyDescent="0.25">
      <c r="A268" s="61"/>
      <c r="B268" s="66"/>
      <c r="C268" s="61"/>
      <c r="D268" s="62" t="s">
        <v>139</v>
      </c>
      <c r="E268" s="62" t="s">
        <v>140</v>
      </c>
      <c r="F268" s="63">
        <v>301200000</v>
      </c>
      <c r="G268" s="75"/>
      <c r="H268" s="75"/>
      <c r="I268" s="75">
        <f t="shared" si="167"/>
        <v>0</v>
      </c>
      <c r="J268" s="75"/>
      <c r="K268" s="75"/>
      <c r="L268" s="75">
        <f t="shared" si="169"/>
        <v>0</v>
      </c>
      <c r="M268" s="75">
        <f t="shared" si="170"/>
        <v>0</v>
      </c>
      <c r="N268" s="63">
        <f t="shared" si="168"/>
        <v>301200000</v>
      </c>
      <c r="P268" s="194"/>
      <c r="S268" s="230">
        <f>64536+19850000</f>
        <v>19914536</v>
      </c>
      <c r="T268" s="230"/>
      <c r="U268" s="244"/>
    </row>
    <row r="269" spans="1:21" s="121" customFormat="1" ht="18" customHeight="1" x14ac:dyDescent="0.25">
      <c r="A269" s="116">
        <v>14</v>
      </c>
      <c r="B269" s="117"/>
      <c r="C269" s="117" t="s">
        <v>141</v>
      </c>
      <c r="D269" s="118"/>
      <c r="E269" s="128" t="s">
        <v>142</v>
      </c>
      <c r="F269" s="119">
        <f>+F270</f>
        <v>100000000</v>
      </c>
      <c r="G269" s="120">
        <f>+G270</f>
        <v>0</v>
      </c>
      <c r="H269" s="120">
        <f>+H270</f>
        <v>0</v>
      </c>
      <c r="I269" s="120">
        <f>+G269+H269</f>
        <v>0</v>
      </c>
      <c r="J269" s="120">
        <f>+J270</f>
        <v>0</v>
      </c>
      <c r="K269" s="120">
        <f>+K270</f>
        <v>0</v>
      </c>
      <c r="L269" s="120">
        <f t="shared" si="169"/>
        <v>0</v>
      </c>
      <c r="M269" s="120">
        <f>+I269+L269</f>
        <v>0</v>
      </c>
      <c r="N269" s="119">
        <f>+F269-M269</f>
        <v>100000000</v>
      </c>
      <c r="P269" s="190"/>
      <c r="R269" s="122"/>
      <c r="S269" s="216"/>
      <c r="T269" s="216"/>
      <c r="U269" s="246"/>
    </row>
    <row r="270" spans="1:21" s="107" customFormat="1" ht="18" customHeight="1" x14ac:dyDescent="0.25">
      <c r="A270" s="101"/>
      <c r="B270" s="102"/>
      <c r="C270" s="102"/>
      <c r="D270" s="103" t="s">
        <v>207</v>
      </c>
      <c r="E270" s="104" t="s">
        <v>262</v>
      </c>
      <c r="F270" s="105">
        <f>+F271</f>
        <v>100000000</v>
      </c>
      <c r="G270" s="106">
        <f>+G271</f>
        <v>0</v>
      </c>
      <c r="H270" s="106">
        <f t="shared" ref="F270:H272" si="171">+H271</f>
        <v>0</v>
      </c>
      <c r="I270" s="106">
        <f t="shared" ref="I270:I276" si="172">+G270+H270</f>
        <v>0</v>
      </c>
      <c r="J270" s="106">
        <f t="shared" ref="J270:J272" si="173">+J271</f>
        <v>0</v>
      </c>
      <c r="K270" s="106">
        <f>+K271</f>
        <v>0</v>
      </c>
      <c r="L270" s="106">
        <f t="shared" si="169"/>
        <v>0</v>
      </c>
      <c r="M270" s="106">
        <f t="shared" ref="M270:M273" si="174">+I270+L270</f>
        <v>0</v>
      </c>
      <c r="N270" s="105">
        <f>+F270-M270</f>
        <v>100000000</v>
      </c>
      <c r="P270" s="191"/>
      <c r="R270" s="108"/>
      <c r="S270" s="217"/>
      <c r="T270" s="217"/>
      <c r="U270" s="241"/>
    </row>
    <row r="271" spans="1:21" s="49" customFormat="1" ht="18" customHeight="1" x14ac:dyDescent="0.25">
      <c r="A271" s="44"/>
      <c r="B271" s="82"/>
      <c r="C271" s="44"/>
      <c r="D271" s="45" t="s">
        <v>63</v>
      </c>
      <c r="E271" s="45" t="s">
        <v>30</v>
      </c>
      <c r="F271" s="47">
        <f>F272</f>
        <v>100000000</v>
      </c>
      <c r="G271" s="70">
        <f>+G272</f>
        <v>0</v>
      </c>
      <c r="H271" s="70">
        <f t="shared" si="171"/>
        <v>0</v>
      </c>
      <c r="I271" s="70">
        <f t="shared" si="172"/>
        <v>0</v>
      </c>
      <c r="J271" s="70">
        <f t="shared" si="173"/>
        <v>0</v>
      </c>
      <c r="K271" s="70">
        <f>+K272</f>
        <v>0</v>
      </c>
      <c r="L271" s="70">
        <f t="shared" si="169"/>
        <v>0</v>
      </c>
      <c r="M271" s="70">
        <f t="shared" si="174"/>
        <v>0</v>
      </c>
      <c r="N271" s="47">
        <f>+F271-M271</f>
        <v>100000000</v>
      </c>
      <c r="P271" s="192"/>
      <c r="S271" s="205"/>
      <c r="T271" s="205"/>
      <c r="U271" s="242"/>
    </row>
    <row r="272" spans="1:21" s="55" customFormat="1" ht="18" customHeight="1" x14ac:dyDescent="0.25">
      <c r="A272" s="50"/>
      <c r="B272" s="51"/>
      <c r="C272" s="50"/>
      <c r="D272" s="71" t="s">
        <v>263</v>
      </c>
      <c r="E272" s="51" t="s">
        <v>264</v>
      </c>
      <c r="F272" s="53">
        <f t="shared" si="171"/>
        <v>100000000</v>
      </c>
      <c r="G272" s="72">
        <f>+G273</f>
        <v>0</v>
      </c>
      <c r="H272" s="72">
        <f t="shared" si="171"/>
        <v>0</v>
      </c>
      <c r="I272" s="72">
        <f t="shared" si="172"/>
        <v>0</v>
      </c>
      <c r="J272" s="72">
        <f t="shared" si="173"/>
        <v>0</v>
      </c>
      <c r="K272" s="72">
        <f>+K273</f>
        <v>0</v>
      </c>
      <c r="L272" s="72">
        <f t="shared" si="169"/>
        <v>0</v>
      </c>
      <c r="M272" s="72">
        <f t="shared" si="174"/>
        <v>0</v>
      </c>
      <c r="N272" s="53">
        <f>+F272-M272</f>
        <v>100000000</v>
      </c>
      <c r="P272" s="195"/>
      <c r="S272" s="206"/>
      <c r="T272" s="206"/>
      <c r="U272" s="243"/>
    </row>
    <row r="273" spans="1:21" s="49" customFormat="1" ht="18" customHeight="1" x14ac:dyDescent="0.25">
      <c r="A273" s="56"/>
      <c r="B273" s="84"/>
      <c r="C273" s="56"/>
      <c r="D273" s="57" t="s">
        <v>64</v>
      </c>
      <c r="E273" s="57" t="s">
        <v>65</v>
      </c>
      <c r="F273" s="58">
        <f>SUM(F274:F277)</f>
        <v>100000000</v>
      </c>
      <c r="G273" s="59">
        <f>SUM(G274:G277)</f>
        <v>0</v>
      </c>
      <c r="H273" s="59">
        <f>SUM(H274:H277)</f>
        <v>0</v>
      </c>
      <c r="I273" s="59">
        <f>+G273+H273</f>
        <v>0</v>
      </c>
      <c r="J273" s="59">
        <f>SUM(J274:J277)</f>
        <v>0</v>
      </c>
      <c r="K273" s="59">
        <f>SUM(K274:K277)</f>
        <v>0</v>
      </c>
      <c r="L273" s="59">
        <f>+J273+K273</f>
        <v>0</v>
      </c>
      <c r="M273" s="59">
        <f t="shared" si="174"/>
        <v>0</v>
      </c>
      <c r="N273" s="58">
        <f>+F273-M273</f>
        <v>100000000</v>
      </c>
      <c r="P273" s="192"/>
      <c r="S273" s="205"/>
      <c r="T273" s="205"/>
      <c r="U273" s="242"/>
    </row>
    <row r="274" spans="1:21" s="65" customFormat="1" ht="18" customHeight="1" x14ac:dyDescent="0.25">
      <c r="A274" s="61"/>
      <c r="B274" s="66"/>
      <c r="C274" s="61"/>
      <c r="D274" s="62" t="s">
        <v>66</v>
      </c>
      <c r="E274" s="62" t="s">
        <v>67</v>
      </c>
      <c r="F274" s="63">
        <v>57982150</v>
      </c>
      <c r="G274" s="75"/>
      <c r="H274" s="75"/>
      <c r="I274" s="75">
        <f t="shared" si="172"/>
        <v>0</v>
      </c>
      <c r="J274" s="75"/>
      <c r="K274" s="75"/>
      <c r="L274" s="75">
        <f>+J274+K274</f>
        <v>0</v>
      </c>
      <c r="M274" s="75">
        <f>+I274+L274</f>
        <v>0</v>
      </c>
      <c r="N274" s="63">
        <f t="shared" ref="N274:N277" si="175">+F274-M274</f>
        <v>57982150</v>
      </c>
      <c r="P274" s="194"/>
      <c r="S274" s="214"/>
      <c r="T274" s="214"/>
      <c r="U274" s="244"/>
    </row>
    <row r="275" spans="1:21" s="65" customFormat="1" ht="18" customHeight="1" x14ac:dyDescent="0.25">
      <c r="A275" s="61"/>
      <c r="B275" s="66"/>
      <c r="C275" s="61"/>
      <c r="D275" s="62" t="s">
        <v>337</v>
      </c>
      <c r="E275" s="62" t="s">
        <v>338</v>
      </c>
      <c r="F275" s="63">
        <v>29743300</v>
      </c>
      <c r="G275" s="75"/>
      <c r="H275" s="75"/>
      <c r="I275" s="75">
        <f t="shared" si="172"/>
        <v>0</v>
      </c>
      <c r="J275" s="75"/>
      <c r="K275" s="75"/>
      <c r="L275" s="75"/>
      <c r="M275" s="75">
        <f t="shared" ref="M275:M276" si="176">+I275+L275</f>
        <v>0</v>
      </c>
      <c r="N275" s="63">
        <f t="shared" si="175"/>
        <v>29743300</v>
      </c>
      <c r="P275" s="194"/>
      <c r="S275" s="214"/>
      <c r="T275" s="214"/>
      <c r="U275" s="244"/>
    </row>
    <row r="276" spans="1:21" s="65" customFormat="1" ht="18" customHeight="1" x14ac:dyDescent="0.25">
      <c r="A276" s="61"/>
      <c r="B276" s="66"/>
      <c r="C276" s="61"/>
      <c r="D276" s="62" t="s">
        <v>339</v>
      </c>
      <c r="E276" s="62" t="s">
        <v>340</v>
      </c>
      <c r="F276" s="63">
        <v>8842500</v>
      </c>
      <c r="G276" s="75"/>
      <c r="H276" s="75"/>
      <c r="I276" s="75">
        <f t="shared" si="172"/>
        <v>0</v>
      </c>
      <c r="J276" s="75"/>
      <c r="K276" s="75"/>
      <c r="L276" s="75"/>
      <c r="M276" s="75">
        <f t="shared" si="176"/>
        <v>0</v>
      </c>
      <c r="N276" s="63">
        <f t="shared" si="175"/>
        <v>8842500</v>
      </c>
      <c r="P276" s="194"/>
      <c r="S276" s="214"/>
      <c r="T276" s="214"/>
      <c r="U276" s="244"/>
    </row>
    <row r="277" spans="1:21" s="127" customFormat="1" ht="18" customHeight="1" x14ac:dyDescent="0.25">
      <c r="A277" s="123"/>
      <c r="B277" s="143"/>
      <c r="C277" s="123"/>
      <c r="D277" s="124" t="s">
        <v>361</v>
      </c>
      <c r="E277" s="124" t="s">
        <v>362</v>
      </c>
      <c r="F277" s="125">
        <v>3432050</v>
      </c>
      <c r="G277" s="140"/>
      <c r="H277" s="140"/>
      <c r="I277" s="140">
        <f>+G277+H277</f>
        <v>0</v>
      </c>
      <c r="J277" s="140"/>
      <c r="K277" s="140"/>
      <c r="L277" s="140">
        <f>+J277+K277</f>
        <v>0</v>
      </c>
      <c r="M277" s="140">
        <f>+I277+L277</f>
        <v>0</v>
      </c>
      <c r="N277" s="125">
        <f t="shared" si="175"/>
        <v>3432050</v>
      </c>
      <c r="P277" s="196"/>
      <c r="S277" s="215"/>
      <c r="T277" s="215"/>
      <c r="U277" s="245"/>
    </row>
    <row r="278" spans="1:21" s="121" customFormat="1" ht="18" customHeight="1" x14ac:dyDescent="0.25">
      <c r="A278" s="154">
        <v>15</v>
      </c>
      <c r="B278" s="117"/>
      <c r="C278" s="117" t="s">
        <v>363</v>
      </c>
      <c r="D278" s="118"/>
      <c r="E278" s="128" t="s">
        <v>364</v>
      </c>
      <c r="F278" s="119">
        <f t="shared" ref="F278:H279" si="177">+F279</f>
        <v>1060812675</v>
      </c>
      <c r="G278" s="120">
        <f t="shared" si="177"/>
        <v>0</v>
      </c>
      <c r="H278" s="120">
        <f t="shared" si="177"/>
        <v>0</v>
      </c>
      <c r="I278" s="120">
        <f>+G278+H278</f>
        <v>0</v>
      </c>
      <c r="J278" s="120">
        <f>+J279</f>
        <v>0</v>
      </c>
      <c r="K278" s="120">
        <f>+K279</f>
        <v>0</v>
      </c>
      <c r="L278" s="120">
        <f>+J278+K278</f>
        <v>0</v>
      </c>
      <c r="M278" s="120">
        <f>+I278+L278</f>
        <v>0</v>
      </c>
      <c r="N278" s="119">
        <f>+F278-M278</f>
        <v>1060812675</v>
      </c>
      <c r="P278" s="190"/>
      <c r="R278" s="122"/>
      <c r="S278" s="216"/>
      <c r="T278" s="216"/>
      <c r="U278" s="246"/>
    </row>
    <row r="279" spans="1:21" s="107" customFormat="1" ht="18" customHeight="1" x14ac:dyDescent="0.25">
      <c r="A279" s="101"/>
      <c r="B279" s="102"/>
      <c r="C279" s="102"/>
      <c r="D279" s="103" t="s">
        <v>207</v>
      </c>
      <c r="E279" s="104" t="s">
        <v>262</v>
      </c>
      <c r="F279" s="105">
        <f t="shared" si="177"/>
        <v>1060812675</v>
      </c>
      <c r="G279" s="106">
        <f t="shared" si="177"/>
        <v>0</v>
      </c>
      <c r="H279" s="106">
        <f t="shared" si="177"/>
        <v>0</v>
      </c>
      <c r="I279" s="106">
        <f t="shared" ref="I279:I283" si="178">+G279+H279</f>
        <v>0</v>
      </c>
      <c r="J279" s="106">
        <f>+J280</f>
        <v>0</v>
      </c>
      <c r="K279" s="106">
        <f>+K280</f>
        <v>0</v>
      </c>
      <c r="L279" s="106">
        <f t="shared" ref="L279:L281" si="179">+J279+K279</f>
        <v>0</v>
      </c>
      <c r="M279" s="106">
        <f t="shared" ref="M279:M282" si="180">+I279+L279</f>
        <v>0</v>
      </c>
      <c r="N279" s="105">
        <f>+F279-M279</f>
        <v>1060812675</v>
      </c>
      <c r="P279" s="191"/>
      <c r="R279" s="108"/>
      <c r="S279" s="217"/>
      <c r="T279" s="217"/>
      <c r="U279" s="241"/>
    </row>
    <row r="280" spans="1:21" s="49" customFormat="1" ht="18" customHeight="1" x14ac:dyDescent="0.25">
      <c r="A280" s="44"/>
      <c r="B280" s="82"/>
      <c r="C280" s="44"/>
      <c r="D280" s="45" t="s">
        <v>63</v>
      </c>
      <c r="E280" s="45" t="s">
        <v>30</v>
      </c>
      <c r="F280" s="47">
        <f>+F281+F291</f>
        <v>1060812675</v>
      </c>
      <c r="G280" s="70">
        <f>+G281+G291</f>
        <v>0</v>
      </c>
      <c r="H280" s="70">
        <f>+H281+H291</f>
        <v>0</v>
      </c>
      <c r="I280" s="70">
        <f t="shared" si="178"/>
        <v>0</v>
      </c>
      <c r="J280" s="70">
        <f>+J281+J291</f>
        <v>0</v>
      </c>
      <c r="K280" s="70">
        <f>+K281+K291</f>
        <v>0</v>
      </c>
      <c r="L280" s="70">
        <f t="shared" si="179"/>
        <v>0</v>
      </c>
      <c r="M280" s="70">
        <f t="shared" si="180"/>
        <v>0</v>
      </c>
      <c r="N280" s="47">
        <f>+F280-M280</f>
        <v>1060812675</v>
      </c>
      <c r="P280" s="192"/>
      <c r="S280" s="205"/>
      <c r="T280" s="205"/>
      <c r="U280" s="242"/>
    </row>
    <row r="281" spans="1:21" s="55" customFormat="1" ht="18" customHeight="1" x14ac:dyDescent="0.25">
      <c r="A281" s="50"/>
      <c r="B281" s="51"/>
      <c r="C281" s="50"/>
      <c r="D281" s="71" t="s">
        <v>263</v>
      </c>
      <c r="E281" s="51" t="s">
        <v>264</v>
      </c>
      <c r="F281" s="53">
        <f>+F282</f>
        <v>105412675</v>
      </c>
      <c r="G281" s="72">
        <f t="shared" ref="G281:J281" si="181">+G282</f>
        <v>0</v>
      </c>
      <c r="H281" s="72">
        <f>+H282</f>
        <v>0</v>
      </c>
      <c r="I281" s="72">
        <f t="shared" si="178"/>
        <v>0</v>
      </c>
      <c r="J281" s="72">
        <f t="shared" si="181"/>
        <v>0</v>
      </c>
      <c r="K281" s="72">
        <f>+K282</f>
        <v>0</v>
      </c>
      <c r="L281" s="72">
        <f t="shared" si="179"/>
        <v>0</v>
      </c>
      <c r="M281" s="72">
        <f t="shared" si="180"/>
        <v>0</v>
      </c>
      <c r="N281" s="53">
        <f>+F281-M281</f>
        <v>105412675</v>
      </c>
      <c r="P281" s="195"/>
      <c r="S281" s="206"/>
      <c r="T281" s="206"/>
      <c r="U281" s="243"/>
    </row>
    <row r="282" spans="1:21" s="49" customFormat="1" ht="18" customHeight="1" x14ac:dyDescent="0.25">
      <c r="A282" s="56"/>
      <c r="B282" s="84"/>
      <c r="C282" s="56"/>
      <c r="D282" s="57" t="s">
        <v>64</v>
      </c>
      <c r="E282" s="57" t="s">
        <v>65</v>
      </c>
      <c r="F282" s="58">
        <f>SUM(F283:F290)</f>
        <v>105412675</v>
      </c>
      <c r="G282" s="59">
        <f>SUM(G283:G290)</f>
        <v>0</v>
      </c>
      <c r="H282" s="59">
        <f>SUM(H283:H290)</f>
        <v>0</v>
      </c>
      <c r="I282" s="59">
        <f>+G282+H282</f>
        <v>0</v>
      </c>
      <c r="J282" s="59">
        <f>SUM(J283:J290)</f>
        <v>0</v>
      </c>
      <c r="K282" s="59">
        <f>SUM(K283:K290)</f>
        <v>0</v>
      </c>
      <c r="L282" s="59">
        <f>+J282+K282</f>
        <v>0</v>
      </c>
      <c r="M282" s="59">
        <f t="shared" si="180"/>
        <v>0</v>
      </c>
      <c r="N282" s="58">
        <f>+F282-M282</f>
        <v>105412675</v>
      </c>
      <c r="P282" s="192"/>
      <c r="S282" s="205"/>
      <c r="T282" s="205"/>
      <c r="U282" s="242"/>
    </row>
    <row r="283" spans="1:21" s="65" customFormat="1" ht="18" customHeight="1" x14ac:dyDescent="0.25">
      <c r="A283" s="171"/>
      <c r="C283" s="171"/>
      <c r="D283" s="162" t="s">
        <v>365</v>
      </c>
      <c r="E283" s="162" t="s">
        <v>366</v>
      </c>
      <c r="F283" s="173">
        <v>9228650</v>
      </c>
      <c r="G283" s="163"/>
      <c r="H283" s="163"/>
      <c r="I283" s="163">
        <f t="shared" si="178"/>
        <v>0</v>
      </c>
      <c r="J283" s="163"/>
      <c r="K283" s="163"/>
      <c r="L283" s="163">
        <f>+J283+K283</f>
        <v>0</v>
      </c>
      <c r="M283" s="163">
        <f>+I283+L283</f>
        <v>0</v>
      </c>
      <c r="N283" s="173">
        <f t="shared" ref="N283:N290" si="182">+F283-M283</f>
        <v>9228650</v>
      </c>
      <c r="P283" s="194"/>
      <c r="S283" s="214"/>
      <c r="T283" s="214"/>
      <c r="U283" s="244"/>
    </row>
    <row r="284" spans="1:21" s="65" customFormat="1" ht="18" customHeight="1" x14ac:dyDescent="0.25">
      <c r="A284" s="171"/>
      <c r="C284" s="171"/>
      <c r="D284" s="162" t="s">
        <v>66</v>
      </c>
      <c r="E284" s="162" t="s">
        <v>67</v>
      </c>
      <c r="F284" s="173">
        <v>4831925</v>
      </c>
      <c r="G284" s="163"/>
      <c r="H284" s="163"/>
      <c r="I284" s="163"/>
      <c r="J284" s="163"/>
      <c r="K284" s="163"/>
      <c r="L284" s="163">
        <f t="shared" ref="L284:L296" si="183">+J284+K284</f>
        <v>0</v>
      </c>
      <c r="M284" s="163">
        <f t="shared" ref="M284:M292" si="184">+I284+L284</f>
        <v>0</v>
      </c>
      <c r="N284" s="173">
        <f t="shared" si="182"/>
        <v>4831925</v>
      </c>
      <c r="P284" s="194"/>
      <c r="S284" s="214"/>
      <c r="T284" s="214"/>
      <c r="U284" s="244"/>
    </row>
    <row r="285" spans="1:21" s="65" customFormat="1" ht="18" customHeight="1" x14ac:dyDescent="0.25">
      <c r="A285" s="171"/>
      <c r="C285" s="171"/>
      <c r="D285" s="162" t="s">
        <v>337</v>
      </c>
      <c r="E285" s="162" t="s">
        <v>338</v>
      </c>
      <c r="F285" s="173">
        <v>18985000</v>
      </c>
      <c r="G285" s="163"/>
      <c r="H285" s="163"/>
      <c r="I285" s="163"/>
      <c r="J285" s="163"/>
      <c r="K285" s="163"/>
      <c r="L285" s="163">
        <f t="shared" si="183"/>
        <v>0</v>
      </c>
      <c r="M285" s="163">
        <f t="shared" si="184"/>
        <v>0</v>
      </c>
      <c r="N285" s="173">
        <f t="shared" si="182"/>
        <v>18985000</v>
      </c>
      <c r="P285" s="194"/>
      <c r="S285" s="214"/>
      <c r="T285" s="214"/>
      <c r="U285" s="244"/>
    </row>
    <row r="286" spans="1:21" s="65" customFormat="1" ht="18" customHeight="1" x14ac:dyDescent="0.25">
      <c r="A286" s="171"/>
      <c r="C286" s="171"/>
      <c r="D286" s="162" t="s">
        <v>339</v>
      </c>
      <c r="E286" s="162" t="s">
        <v>340</v>
      </c>
      <c r="F286" s="173">
        <v>2175000</v>
      </c>
      <c r="G286" s="163"/>
      <c r="H286" s="163"/>
      <c r="I286" s="163"/>
      <c r="J286" s="163"/>
      <c r="K286" s="163"/>
      <c r="L286" s="163">
        <f t="shared" si="183"/>
        <v>0</v>
      </c>
      <c r="M286" s="163">
        <f t="shared" si="184"/>
        <v>0</v>
      </c>
      <c r="N286" s="173">
        <f t="shared" si="182"/>
        <v>2175000</v>
      </c>
      <c r="P286" s="194"/>
      <c r="S286" s="214"/>
      <c r="T286" s="214"/>
      <c r="U286" s="244"/>
    </row>
    <row r="287" spans="1:21" s="65" customFormat="1" ht="18" customHeight="1" x14ac:dyDescent="0.25">
      <c r="A287" s="171"/>
      <c r="C287" s="171"/>
      <c r="D287" s="162" t="s">
        <v>367</v>
      </c>
      <c r="E287" s="162" t="s">
        <v>368</v>
      </c>
      <c r="F287" s="173">
        <v>55592100</v>
      </c>
      <c r="G287" s="163"/>
      <c r="H287" s="163"/>
      <c r="I287" s="163">
        <f>+G287+H287</f>
        <v>0</v>
      </c>
      <c r="J287" s="163"/>
      <c r="K287" s="163"/>
      <c r="L287" s="163">
        <f t="shared" si="183"/>
        <v>0</v>
      </c>
      <c r="M287" s="163">
        <f t="shared" si="184"/>
        <v>0</v>
      </c>
      <c r="N287" s="173">
        <f t="shared" si="182"/>
        <v>55592100</v>
      </c>
      <c r="P287" s="194"/>
      <c r="S287" s="214"/>
      <c r="T287" s="214"/>
      <c r="U287" s="244"/>
    </row>
    <row r="288" spans="1:21" s="65" customFormat="1" ht="22.5" customHeight="1" x14ac:dyDescent="0.25">
      <c r="A288" s="171"/>
      <c r="C288" s="171"/>
      <c r="D288" s="162" t="s">
        <v>369</v>
      </c>
      <c r="E288" s="162" t="s">
        <v>370</v>
      </c>
      <c r="F288" s="173">
        <v>7200000</v>
      </c>
      <c r="G288" s="163"/>
      <c r="H288" s="163"/>
      <c r="I288" s="163"/>
      <c r="J288" s="163"/>
      <c r="K288" s="163"/>
      <c r="L288" s="163">
        <f t="shared" si="183"/>
        <v>0</v>
      </c>
      <c r="M288" s="163">
        <f t="shared" si="184"/>
        <v>0</v>
      </c>
      <c r="N288" s="173">
        <f t="shared" si="182"/>
        <v>7200000</v>
      </c>
      <c r="P288" s="194"/>
      <c r="S288" s="214"/>
      <c r="T288" s="214"/>
      <c r="U288" s="244"/>
    </row>
    <row r="289" spans="1:21" s="65" customFormat="1" ht="18" customHeight="1" x14ac:dyDescent="0.25">
      <c r="A289" s="171"/>
      <c r="C289" s="171"/>
      <c r="D289" s="162" t="s">
        <v>70</v>
      </c>
      <c r="E289" s="162" t="s">
        <v>33</v>
      </c>
      <c r="F289" s="173">
        <v>5000000</v>
      </c>
      <c r="G289" s="163"/>
      <c r="H289" s="163"/>
      <c r="I289" s="163"/>
      <c r="J289" s="163"/>
      <c r="K289" s="163"/>
      <c r="L289" s="163">
        <f t="shared" si="183"/>
        <v>0</v>
      </c>
      <c r="M289" s="163">
        <f t="shared" si="184"/>
        <v>0</v>
      </c>
      <c r="N289" s="173">
        <f t="shared" si="182"/>
        <v>5000000</v>
      </c>
      <c r="P289" s="194"/>
      <c r="S289" s="214"/>
      <c r="T289" s="214"/>
      <c r="U289" s="244"/>
    </row>
    <row r="290" spans="1:21" s="65" customFormat="1" ht="18" customHeight="1" x14ac:dyDescent="0.25">
      <c r="A290" s="171"/>
      <c r="C290" s="171"/>
      <c r="D290" s="162" t="s">
        <v>374</v>
      </c>
      <c r="E290" s="162" t="s">
        <v>375</v>
      </c>
      <c r="F290" s="173">
        <v>2400000</v>
      </c>
      <c r="G290" s="163"/>
      <c r="H290" s="163"/>
      <c r="I290" s="163"/>
      <c r="J290" s="163"/>
      <c r="K290" s="163"/>
      <c r="L290" s="163">
        <f t="shared" si="183"/>
        <v>0</v>
      </c>
      <c r="M290" s="163">
        <f t="shared" si="184"/>
        <v>0</v>
      </c>
      <c r="N290" s="173">
        <f t="shared" si="182"/>
        <v>2400000</v>
      </c>
      <c r="P290" s="194"/>
      <c r="S290" s="214"/>
      <c r="T290" s="214"/>
      <c r="U290" s="244"/>
    </row>
    <row r="291" spans="1:21" s="55" customFormat="1" ht="18" customHeight="1" x14ac:dyDescent="0.25">
      <c r="A291" s="50"/>
      <c r="B291" s="51"/>
      <c r="C291" s="50"/>
      <c r="D291" s="71" t="s">
        <v>271</v>
      </c>
      <c r="E291" s="51" t="s">
        <v>272</v>
      </c>
      <c r="F291" s="53">
        <f t="shared" ref="F291:J291" si="185">+F292</f>
        <v>955400000</v>
      </c>
      <c r="G291" s="72">
        <f t="shared" si="185"/>
        <v>0</v>
      </c>
      <c r="H291" s="72">
        <f>+H292</f>
        <v>0</v>
      </c>
      <c r="I291" s="72">
        <f>+G291+H291</f>
        <v>0</v>
      </c>
      <c r="J291" s="72">
        <f t="shared" si="185"/>
        <v>0</v>
      </c>
      <c r="K291" s="72">
        <f>+K292</f>
        <v>0</v>
      </c>
      <c r="L291" s="72">
        <f t="shared" si="183"/>
        <v>0</v>
      </c>
      <c r="M291" s="72">
        <f t="shared" si="184"/>
        <v>0</v>
      </c>
      <c r="N291" s="53">
        <f>+F291-M291</f>
        <v>955400000</v>
      </c>
      <c r="P291" s="195"/>
      <c r="S291" s="206"/>
      <c r="T291" s="206"/>
      <c r="U291" s="243"/>
    </row>
    <row r="292" spans="1:21" s="49" customFormat="1" ht="18" customHeight="1" x14ac:dyDescent="0.25">
      <c r="A292" s="56"/>
      <c r="B292" s="84"/>
      <c r="C292" s="56"/>
      <c r="D292" s="57" t="s">
        <v>81</v>
      </c>
      <c r="E292" s="57" t="s">
        <v>31</v>
      </c>
      <c r="F292" s="58">
        <f>SUM(F293:F296)</f>
        <v>955400000</v>
      </c>
      <c r="G292" s="59">
        <f>SUM(G293:G296)</f>
        <v>0</v>
      </c>
      <c r="H292" s="59">
        <f>SUM(H293:H296)</f>
        <v>0</v>
      </c>
      <c r="I292" s="59">
        <f>+G292+H292</f>
        <v>0</v>
      </c>
      <c r="J292" s="59">
        <f>SUM(J293:J296)</f>
        <v>0</v>
      </c>
      <c r="K292" s="59">
        <f>SUM(K293:K296)</f>
        <v>0</v>
      </c>
      <c r="L292" s="59">
        <f t="shared" si="183"/>
        <v>0</v>
      </c>
      <c r="M292" s="59">
        <f t="shared" si="184"/>
        <v>0</v>
      </c>
      <c r="N292" s="58">
        <f>+F292-M292</f>
        <v>955400000</v>
      </c>
      <c r="P292" s="192"/>
      <c r="S292" s="205"/>
      <c r="T292" s="205"/>
      <c r="U292" s="242"/>
    </row>
    <row r="293" spans="1:21" s="65" customFormat="1" ht="18" customHeight="1" x14ac:dyDescent="0.25">
      <c r="A293" s="61"/>
      <c r="B293" s="66"/>
      <c r="C293" s="61"/>
      <c r="D293" s="62" t="s">
        <v>100</v>
      </c>
      <c r="E293" s="62" t="s">
        <v>101</v>
      </c>
      <c r="F293" s="63">
        <v>336000000</v>
      </c>
      <c r="G293" s="75"/>
      <c r="H293" s="75"/>
      <c r="I293" s="75">
        <f t="shared" ref="I293:I294" si="186">+G293+H293</f>
        <v>0</v>
      </c>
      <c r="J293" s="75"/>
      <c r="K293" s="75"/>
      <c r="L293" s="75">
        <f t="shared" si="183"/>
        <v>0</v>
      </c>
      <c r="M293" s="75">
        <f>+I293+L293</f>
        <v>0</v>
      </c>
      <c r="N293" s="63">
        <f t="shared" ref="N293:N296" si="187">+F293-M293</f>
        <v>336000000</v>
      </c>
      <c r="P293" s="194"/>
      <c r="S293" s="214"/>
      <c r="T293" s="214"/>
      <c r="U293" s="244"/>
    </row>
    <row r="294" spans="1:21" s="65" customFormat="1" ht="18" customHeight="1" x14ac:dyDescent="0.25">
      <c r="A294" s="61"/>
      <c r="B294" s="66"/>
      <c r="C294" s="61"/>
      <c r="D294" s="62" t="s">
        <v>474</v>
      </c>
      <c r="E294" s="62" t="s">
        <v>475</v>
      </c>
      <c r="F294" s="63">
        <v>350000000</v>
      </c>
      <c r="G294" s="75"/>
      <c r="H294" s="75"/>
      <c r="I294" s="75">
        <f t="shared" si="186"/>
        <v>0</v>
      </c>
      <c r="J294" s="75"/>
      <c r="K294" s="75"/>
      <c r="L294" s="75">
        <f t="shared" si="183"/>
        <v>0</v>
      </c>
      <c r="M294" s="75">
        <f>+I294+L294</f>
        <v>0</v>
      </c>
      <c r="N294" s="63">
        <f t="shared" si="187"/>
        <v>350000000</v>
      </c>
      <c r="P294" s="194"/>
      <c r="S294" s="214"/>
      <c r="T294" s="214"/>
      <c r="U294" s="244"/>
    </row>
    <row r="295" spans="1:21" s="65" customFormat="1" ht="18" customHeight="1" x14ac:dyDescent="0.25">
      <c r="A295" s="61"/>
      <c r="B295" s="66"/>
      <c r="C295" s="61"/>
      <c r="D295" s="62" t="s">
        <v>376</v>
      </c>
      <c r="E295" s="62" t="s">
        <v>377</v>
      </c>
      <c r="F295" s="63">
        <v>268800000</v>
      </c>
      <c r="G295" s="75">
        <v>0</v>
      </c>
      <c r="H295" s="75"/>
      <c r="I295" s="75">
        <f>+G295+H295</f>
        <v>0</v>
      </c>
      <c r="J295" s="75"/>
      <c r="K295" s="75"/>
      <c r="L295" s="75">
        <f t="shared" si="183"/>
        <v>0</v>
      </c>
      <c r="M295" s="75">
        <f>+I295+L295</f>
        <v>0</v>
      </c>
      <c r="N295" s="63">
        <f t="shared" si="187"/>
        <v>268800000</v>
      </c>
      <c r="P295" s="194"/>
      <c r="S295" s="230">
        <f>38320000+72800000</f>
        <v>111120000</v>
      </c>
      <c r="T295" s="214"/>
      <c r="U295" s="244"/>
    </row>
    <row r="296" spans="1:21" s="65" customFormat="1" ht="18" customHeight="1" x14ac:dyDescent="0.25">
      <c r="A296" s="61"/>
      <c r="B296" s="66"/>
      <c r="C296" s="61"/>
      <c r="D296" s="62" t="s">
        <v>378</v>
      </c>
      <c r="E296" s="62" t="s">
        <v>379</v>
      </c>
      <c r="F296" s="63">
        <v>600000</v>
      </c>
      <c r="G296" s="75"/>
      <c r="H296" s="75"/>
      <c r="I296" s="75"/>
      <c r="J296" s="75"/>
      <c r="K296" s="75"/>
      <c r="L296" s="75">
        <f t="shared" si="183"/>
        <v>0</v>
      </c>
      <c r="M296" s="75">
        <f>+I296+L296</f>
        <v>0</v>
      </c>
      <c r="N296" s="63">
        <f t="shared" si="187"/>
        <v>600000</v>
      </c>
      <c r="P296" s="194"/>
      <c r="S296" s="230">
        <v>600000</v>
      </c>
      <c r="T296" s="214"/>
      <c r="U296" s="244"/>
    </row>
    <row r="297" spans="1:21" s="146" customFormat="1" ht="18" customHeight="1" x14ac:dyDescent="0.25">
      <c r="A297" s="147"/>
      <c r="B297" s="147"/>
      <c r="C297" s="147"/>
      <c r="D297" s="147"/>
      <c r="E297" s="147"/>
      <c r="F297" s="148"/>
      <c r="G297" s="149"/>
      <c r="H297" s="149"/>
      <c r="I297" s="149"/>
      <c r="J297" s="149"/>
      <c r="K297" s="149"/>
      <c r="L297" s="149"/>
      <c r="M297" s="149"/>
      <c r="N297" s="148"/>
      <c r="P297" s="197"/>
      <c r="S297" s="218"/>
      <c r="T297" s="218"/>
      <c r="U297" s="253"/>
    </row>
    <row r="298" spans="1:21" s="137" customFormat="1" ht="21" customHeight="1" x14ac:dyDescent="0.25">
      <c r="A298" s="109"/>
      <c r="B298" s="110" t="s">
        <v>342</v>
      </c>
      <c r="C298" s="110"/>
      <c r="D298" s="110"/>
      <c r="E298" s="150" t="s">
        <v>341</v>
      </c>
      <c r="F298" s="135">
        <f>+F299+F312+F331+F337+F343</f>
        <v>2394721000</v>
      </c>
      <c r="G298" s="136">
        <f>+G299+G312+G331+G337+G343</f>
        <v>0</v>
      </c>
      <c r="H298" s="136">
        <f>+H299+H312+H331+H337+H343</f>
        <v>0</v>
      </c>
      <c r="I298" s="136">
        <f t="shared" ref="I298:I303" si="188">+G298+H298</f>
        <v>0</v>
      </c>
      <c r="J298" s="136">
        <f>+J299+J312+J331+J337+J343</f>
        <v>0</v>
      </c>
      <c r="K298" s="136">
        <f>+K299+K312+K331+K337+K343</f>
        <v>0</v>
      </c>
      <c r="L298" s="136">
        <f>+J298+K298</f>
        <v>0</v>
      </c>
      <c r="M298" s="136">
        <f t="shared" ref="M298" si="189">+I298+L298</f>
        <v>0</v>
      </c>
      <c r="N298" s="135">
        <f t="shared" ref="N298" si="190">+F298-M298</f>
        <v>2394721000</v>
      </c>
      <c r="P298" s="198"/>
      <c r="S298" s="219"/>
      <c r="T298" s="219"/>
      <c r="U298" s="248"/>
    </row>
    <row r="299" spans="1:21" s="121" customFormat="1" ht="35.25" customHeight="1" x14ac:dyDescent="0.25">
      <c r="A299" s="154">
        <v>16</v>
      </c>
      <c r="B299" s="155"/>
      <c r="C299" s="155" t="s">
        <v>476</v>
      </c>
      <c r="D299" s="156"/>
      <c r="E299" s="164" t="s">
        <v>477</v>
      </c>
      <c r="F299" s="158">
        <f t="shared" ref="F299:H300" si="191">+F300</f>
        <v>690000000</v>
      </c>
      <c r="G299" s="159">
        <f t="shared" si="191"/>
        <v>0</v>
      </c>
      <c r="H299" s="159">
        <f t="shared" si="191"/>
        <v>0</v>
      </c>
      <c r="I299" s="159">
        <f t="shared" si="188"/>
        <v>0</v>
      </c>
      <c r="J299" s="159">
        <f>+J300</f>
        <v>0</v>
      </c>
      <c r="K299" s="159">
        <f>+K300</f>
        <v>0</v>
      </c>
      <c r="L299" s="159">
        <f>+J299+K299</f>
        <v>0</v>
      </c>
      <c r="M299" s="159">
        <f>+I299+L299</f>
        <v>0</v>
      </c>
      <c r="N299" s="158">
        <f>+F299-M299</f>
        <v>690000000</v>
      </c>
      <c r="P299" s="190"/>
      <c r="R299" s="122"/>
      <c r="S299" s="216"/>
      <c r="T299" s="216"/>
      <c r="U299" s="246"/>
    </row>
    <row r="300" spans="1:21" s="107" customFormat="1" ht="18" customHeight="1" x14ac:dyDescent="0.25">
      <c r="A300" s="101"/>
      <c r="B300" s="102"/>
      <c r="C300" s="102"/>
      <c r="D300" s="103" t="s">
        <v>207</v>
      </c>
      <c r="E300" s="104" t="s">
        <v>262</v>
      </c>
      <c r="F300" s="105">
        <f t="shared" si="191"/>
        <v>690000000</v>
      </c>
      <c r="G300" s="106">
        <f t="shared" si="191"/>
        <v>0</v>
      </c>
      <c r="H300" s="106">
        <f t="shared" si="191"/>
        <v>0</v>
      </c>
      <c r="I300" s="106">
        <f t="shared" si="188"/>
        <v>0</v>
      </c>
      <c r="J300" s="106">
        <f>+J301</f>
        <v>0</v>
      </c>
      <c r="K300" s="106">
        <f>+K301</f>
        <v>0</v>
      </c>
      <c r="L300" s="106">
        <f t="shared" ref="L300:L304" si="192">+J300+K300</f>
        <v>0</v>
      </c>
      <c r="M300" s="106">
        <f t="shared" ref="M300:M311" si="193">+I300+L300</f>
        <v>0</v>
      </c>
      <c r="N300" s="105">
        <f t="shared" ref="N300:N311" si="194">+F300-M300</f>
        <v>690000000</v>
      </c>
      <c r="P300" s="191"/>
      <c r="R300" s="108"/>
      <c r="S300" s="217"/>
      <c r="T300" s="217"/>
      <c r="U300" s="241"/>
    </row>
    <row r="301" spans="1:21" s="67" customFormat="1" ht="18" customHeight="1" x14ac:dyDescent="0.25">
      <c r="A301" s="88"/>
      <c r="B301" s="89"/>
      <c r="C301" s="88"/>
      <c r="D301" s="45" t="s">
        <v>63</v>
      </c>
      <c r="E301" s="45" t="s">
        <v>30</v>
      </c>
      <c r="F301" s="47">
        <f>+F302+F305+F309</f>
        <v>690000000</v>
      </c>
      <c r="G301" s="70">
        <f>+G302+G305+G309</f>
        <v>0</v>
      </c>
      <c r="H301" s="70">
        <f>+H302+H305+H309</f>
        <v>0</v>
      </c>
      <c r="I301" s="70">
        <f t="shared" si="188"/>
        <v>0</v>
      </c>
      <c r="J301" s="70">
        <f>+J302+J305+J309</f>
        <v>0</v>
      </c>
      <c r="K301" s="70">
        <f>+K302+K305+K309</f>
        <v>0</v>
      </c>
      <c r="L301" s="70">
        <f t="shared" si="192"/>
        <v>0</v>
      </c>
      <c r="M301" s="70">
        <f t="shared" si="193"/>
        <v>0</v>
      </c>
      <c r="N301" s="47">
        <f t="shared" si="194"/>
        <v>690000000</v>
      </c>
      <c r="P301" s="192"/>
      <c r="S301" s="205"/>
      <c r="T301" s="205"/>
      <c r="U301" s="249"/>
    </row>
    <row r="302" spans="1:21" s="55" customFormat="1" ht="18" customHeight="1" x14ac:dyDescent="0.25">
      <c r="A302" s="50"/>
      <c r="B302" s="51"/>
      <c r="C302" s="51"/>
      <c r="D302" s="71" t="s">
        <v>263</v>
      </c>
      <c r="E302" s="51" t="s">
        <v>264</v>
      </c>
      <c r="F302" s="53">
        <f>+F303</f>
        <v>435000000</v>
      </c>
      <c r="G302" s="72">
        <f>+G303</f>
        <v>0</v>
      </c>
      <c r="H302" s="72">
        <f>+H303</f>
        <v>0</v>
      </c>
      <c r="I302" s="72">
        <f t="shared" si="188"/>
        <v>0</v>
      </c>
      <c r="J302" s="72">
        <f>+J303</f>
        <v>0</v>
      </c>
      <c r="K302" s="72">
        <f>+K303</f>
        <v>0</v>
      </c>
      <c r="L302" s="72">
        <f t="shared" si="192"/>
        <v>0</v>
      </c>
      <c r="M302" s="72">
        <f t="shared" si="193"/>
        <v>0</v>
      </c>
      <c r="N302" s="53">
        <f t="shared" si="194"/>
        <v>435000000</v>
      </c>
      <c r="P302" s="195"/>
      <c r="S302" s="206"/>
      <c r="T302" s="206"/>
      <c r="U302" s="243"/>
    </row>
    <row r="303" spans="1:21" s="67" customFormat="1" ht="18" customHeight="1" x14ac:dyDescent="0.25">
      <c r="A303" s="90"/>
      <c r="B303" s="91"/>
      <c r="C303" s="90"/>
      <c r="D303" s="57" t="s">
        <v>64</v>
      </c>
      <c r="E303" s="57" t="s">
        <v>65</v>
      </c>
      <c r="F303" s="58">
        <f>F304</f>
        <v>435000000</v>
      </c>
      <c r="G303" s="59">
        <f>+G304</f>
        <v>0</v>
      </c>
      <c r="H303" s="59">
        <f>+H304</f>
        <v>0</v>
      </c>
      <c r="I303" s="59">
        <f t="shared" si="188"/>
        <v>0</v>
      </c>
      <c r="J303" s="59">
        <f>+J304</f>
        <v>0</v>
      </c>
      <c r="K303" s="59">
        <f>+K304</f>
        <v>0</v>
      </c>
      <c r="L303" s="59">
        <f t="shared" si="192"/>
        <v>0</v>
      </c>
      <c r="M303" s="59">
        <f t="shared" si="193"/>
        <v>0</v>
      </c>
      <c r="N303" s="58">
        <f t="shared" si="194"/>
        <v>435000000</v>
      </c>
      <c r="P303" s="192"/>
      <c r="S303" s="205"/>
      <c r="T303" s="205"/>
      <c r="U303" s="249"/>
    </row>
    <row r="304" spans="1:21" s="49" customFormat="1" ht="18" customHeight="1" x14ac:dyDescent="0.25">
      <c r="A304" s="92"/>
      <c r="B304" s="93"/>
      <c r="C304" s="61"/>
      <c r="D304" s="62" t="s">
        <v>129</v>
      </c>
      <c r="E304" s="62" t="s">
        <v>130</v>
      </c>
      <c r="F304" s="63">
        <v>435000000</v>
      </c>
      <c r="G304" s="94"/>
      <c r="H304" s="94"/>
      <c r="I304" s="94"/>
      <c r="J304" s="75"/>
      <c r="K304" s="75"/>
      <c r="L304" s="75">
        <f t="shared" si="192"/>
        <v>0</v>
      </c>
      <c r="M304" s="75">
        <f t="shared" si="193"/>
        <v>0</v>
      </c>
      <c r="N304" s="63">
        <f t="shared" si="194"/>
        <v>435000000</v>
      </c>
      <c r="P304" s="192"/>
      <c r="S304" s="228">
        <f>24917100-3178500+6105580+26856445-7600000</f>
        <v>47100625</v>
      </c>
      <c r="T304" s="205"/>
      <c r="U304" s="242"/>
    </row>
    <row r="305" spans="1:21" s="55" customFormat="1" ht="20.25" x14ac:dyDescent="0.25">
      <c r="A305" s="50"/>
      <c r="B305" s="51"/>
      <c r="C305" s="51"/>
      <c r="D305" s="71" t="s">
        <v>271</v>
      </c>
      <c r="E305" s="51" t="s">
        <v>272</v>
      </c>
      <c r="F305" s="53">
        <f>+F306</f>
        <v>79500000</v>
      </c>
      <c r="G305" s="72">
        <f>+G306</f>
        <v>0</v>
      </c>
      <c r="H305" s="72">
        <f>+H306</f>
        <v>0</v>
      </c>
      <c r="I305" s="72">
        <f t="shared" ref="I305:I316" si="195">+G305+H305</f>
        <v>0</v>
      </c>
      <c r="J305" s="72">
        <f>+J306</f>
        <v>0</v>
      </c>
      <c r="K305" s="72">
        <f>+K306</f>
        <v>0</v>
      </c>
      <c r="L305" s="72">
        <f>+J305+K305</f>
        <v>0</v>
      </c>
      <c r="M305" s="72">
        <f t="shared" si="193"/>
        <v>0</v>
      </c>
      <c r="N305" s="53">
        <f t="shared" si="194"/>
        <v>79500000</v>
      </c>
      <c r="P305" s="195"/>
      <c r="S305" s="231"/>
      <c r="T305" s="206"/>
      <c r="U305" s="243"/>
    </row>
    <row r="306" spans="1:21" s="67" customFormat="1" ht="18" customHeight="1" x14ac:dyDescent="0.25">
      <c r="A306" s="56"/>
      <c r="B306" s="84"/>
      <c r="C306" s="56"/>
      <c r="D306" s="57" t="s">
        <v>81</v>
      </c>
      <c r="E306" s="57" t="s">
        <v>31</v>
      </c>
      <c r="F306" s="58">
        <f>F308+F307</f>
        <v>79500000</v>
      </c>
      <c r="G306" s="59">
        <f>SUM(G307:G308)</f>
        <v>0</v>
      </c>
      <c r="H306" s="59">
        <f>SUM(H307:H308)</f>
        <v>0</v>
      </c>
      <c r="I306" s="59">
        <f t="shared" si="195"/>
        <v>0</v>
      </c>
      <c r="J306" s="59">
        <f>SUM(J307:J308)</f>
        <v>0</v>
      </c>
      <c r="K306" s="59">
        <f>SUM(K307:K308)</f>
        <v>0</v>
      </c>
      <c r="L306" s="59">
        <f>+J306+K306</f>
        <v>0</v>
      </c>
      <c r="M306" s="59">
        <f t="shared" si="193"/>
        <v>0</v>
      </c>
      <c r="N306" s="58">
        <f t="shared" si="194"/>
        <v>79500000</v>
      </c>
      <c r="P306" s="192"/>
      <c r="R306" s="68"/>
      <c r="S306" s="228"/>
      <c r="T306" s="205"/>
      <c r="U306" s="249"/>
    </row>
    <row r="307" spans="1:21" s="67" customFormat="1" ht="18" customHeight="1" x14ac:dyDescent="0.25">
      <c r="A307" s="61"/>
      <c r="B307" s="66"/>
      <c r="C307" s="61"/>
      <c r="D307" s="62" t="s">
        <v>82</v>
      </c>
      <c r="E307" s="62" t="s">
        <v>83</v>
      </c>
      <c r="F307" s="63">
        <v>18000000</v>
      </c>
      <c r="G307" s="75"/>
      <c r="H307" s="75"/>
      <c r="I307" s="75">
        <f t="shared" si="195"/>
        <v>0</v>
      </c>
      <c r="J307" s="75"/>
      <c r="K307" s="75"/>
      <c r="L307" s="75">
        <f>J307+K307</f>
        <v>0</v>
      </c>
      <c r="M307" s="75">
        <f t="shared" si="193"/>
        <v>0</v>
      </c>
      <c r="N307" s="63">
        <f t="shared" si="194"/>
        <v>18000000</v>
      </c>
      <c r="P307" s="192"/>
      <c r="S307" s="228">
        <f>1400000</f>
        <v>1400000</v>
      </c>
      <c r="T307" s="205"/>
      <c r="U307" s="249"/>
    </row>
    <row r="308" spans="1:21" s="67" customFormat="1" ht="18" customHeight="1" x14ac:dyDescent="0.25">
      <c r="A308" s="61"/>
      <c r="B308" s="66"/>
      <c r="C308" s="61"/>
      <c r="D308" s="62" t="s">
        <v>343</v>
      </c>
      <c r="E308" s="62" t="s">
        <v>344</v>
      </c>
      <c r="F308" s="63">
        <v>61500000</v>
      </c>
      <c r="G308" s="75"/>
      <c r="H308" s="75"/>
      <c r="I308" s="75">
        <f t="shared" si="195"/>
        <v>0</v>
      </c>
      <c r="J308" s="75"/>
      <c r="K308" s="75"/>
      <c r="L308" s="75">
        <f>J308+K308</f>
        <v>0</v>
      </c>
      <c r="M308" s="75">
        <f t="shared" si="193"/>
        <v>0</v>
      </c>
      <c r="N308" s="63">
        <f t="shared" si="194"/>
        <v>61500000</v>
      </c>
      <c r="P308" s="192"/>
      <c r="S308" s="228">
        <v>3178500</v>
      </c>
      <c r="T308" s="205"/>
      <c r="U308" s="249"/>
    </row>
    <row r="309" spans="1:21" s="55" customFormat="1" ht="20.25" x14ac:dyDescent="0.25">
      <c r="A309" s="50"/>
      <c r="B309" s="51"/>
      <c r="C309" s="50"/>
      <c r="D309" s="71" t="s">
        <v>275</v>
      </c>
      <c r="E309" s="51" t="s">
        <v>276</v>
      </c>
      <c r="F309" s="53">
        <f>+F310</f>
        <v>175500000</v>
      </c>
      <c r="G309" s="72">
        <f>+G310</f>
        <v>0</v>
      </c>
      <c r="H309" s="72">
        <f>+H310</f>
        <v>0</v>
      </c>
      <c r="I309" s="72">
        <f t="shared" si="195"/>
        <v>0</v>
      </c>
      <c r="J309" s="72">
        <f>+J310</f>
        <v>0</v>
      </c>
      <c r="K309" s="72">
        <f>+K310</f>
        <v>0</v>
      </c>
      <c r="L309" s="72">
        <f>+J309+K309</f>
        <v>0</v>
      </c>
      <c r="M309" s="72">
        <f t="shared" si="193"/>
        <v>0</v>
      </c>
      <c r="N309" s="53">
        <f t="shared" si="194"/>
        <v>175500000</v>
      </c>
      <c r="P309" s="195"/>
      <c r="S309" s="231"/>
      <c r="T309" s="206"/>
      <c r="U309" s="243"/>
    </row>
    <row r="310" spans="1:21" s="67" customFormat="1" ht="18" customHeight="1" x14ac:dyDescent="0.25">
      <c r="A310" s="56"/>
      <c r="B310" s="84"/>
      <c r="C310" s="56"/>
      <c r="D310" s="57" t="s">
        <v>114</v>
      </c>
      <c r="E310" s="57" t="s">
        <v>43</v>
      </c>
      <c r="F310" s="58">
        <f>+F311</f>
        <v>175500000</v>
      </c>
      <c r="G310" s="59">
        <f>SUM(G311)</f>
        <v>0</v>
      </c>
      <c r="H310" s="59">
        <f>SUM(H311)</f>
        <v>0</v>
      </c>
      <c r="I310" s="59">
        <f t="shared" si="195"/>
        <v>0</v>
      </c>
      <c r="J310" s="59">
        <f>SUM(J311)</f>
        <v>0</v>
      </c>
      <c r="K310" s="59">
        <f>SUM(K311)</f>
        <v>0</v>
      </c>
      <c r="L310" s="59">
        <f>+J310+K310</f>
        <v>0</v>
      </c>
      <c r="M310" s="59">
        <f t="shared" si="193"/>
        <v>0</v>
      </c>
      <c r="N310" s="58">
        <f t="shared" si="194"/>
        <v>175500000</v>
      </c>
      <c r="P310" s="192"/>
      <c r="R310" s="68"/>
      <c r="S310" s="228"/>
      <c r="T310" s="205"/>
      <c r="U310" s="249"/>
    </row>
    <row r="311" spans="1:21" s="146" customFormat="1" ht="33.75" customHeight="1" x14ac:dyDescent="0.25">
      <c r="A311" s="165"/>
      <c r="B311" s="127"/>
      <c r="C311" s="165"/>
      <c r="D311" s="166" t="s">
        <v>345</v>
      </c>
      <c r="E311" s="167" t="s">
        <v>346</v>
      </c>
      <c r="F311" s="168">
        <v>175500000</v>
      </c>
      <c r="G311" s="169"/>
      <c r="H311" s="169"/>
      <c r="I311" s="163">
        <f t="shared" si="195"/>
        <v>0</v>
      </c>
      <c r="J311" s="169"/>
      <c r="K311" s="169"/>
      <c r="L311" s="169">
        <f>J311+K311</f>
        <v>0</v>
      </c>
      <c r="M311" s="169">
        <f t="shared" si="193"/>
        <v>0</v>
      </c>
      <c r="N311" s="168">
        <f t="shared" si="194"/>
        <v>175500000</v>
      </c>
      <c r="P311" s="197"/>
      <c r="S311" s="229">
        <f>7600000+3344596+3173202</f>
        <v>14117798</v>
      </c>
      <c r="T311" s="218"/>
      <c r="U311" s="253"/>
    </row>
    <row r="312" spans="1:21" s="121" customFormat="1" ht="22.5" customHeight="1" x14ac:dyDescent="0.25">
      <c r="A312" s="154">
        <v>17</v>
      </c>
      <c r="B312" s="155"/>
      <c r="C312" s="155" t="s">
        <v>143</v>
      </c>
      <c r="D312" s="156"/>
      <c r="E312" s="164" t="s">
        <v>144</v>
      </c>
      <c r="F312" s="158">
        <f t="shared" ref="F312:H313" si="196">+F313</f>
        <v>1024733000</v>
      </c>
      <c r="G312" s="159">
        <f t="shared" si="196"/>
        <v>0</v>
      </c>
      <c r="H312" s="159">
        <f t="shared" si="196"/>
        <v>0</v>
      </c>
      <c r="I312" s="159">
        <f t="shared" si="195"/>
        <v>0</v>
      </c>
      <c r="J312" s="159">
        <f>+J313</f>
        <v>0</v>
      </c>
      <c r="K312" s="159">
        <f>+K313</f>
        <v>0</v>
      </c>
      <c r="L312" s="159">
        <f>+J312+K312</f>
        <v>0</v>
      </c>
      <c r="M312" s="159">
        <f>+I312+L312</f>
        <v>0</v>
      </c>
      <c r="N312" s="158">
        <f>+F312-M312</f>
        <v>1024733000</v>
      </c>
      <c r="P312" s="190"/>
      <c r="R312" s="122"/>
      <c r="S312" s="216"/>
      <c r="T312" s="216"/>
      <c r="U312" s="246"/>
    </row>
    <row r="313" spans="1:21" s="107" customFormat="1" ht="18" customHeight="1" x14ac:dyDescent="0.25">
      <c r="A313" s="101"/>
      <c r="B313" s="102"/>
      <c r="C313" s="102"/>
      <c r="D313" s="103" t="s">
        <v>207</v>
      </c>
      <c r="E313" s="104" t="s">
        <v>262</v>
      </c>
      <c r="F313" s="105">
        <f t="shared" si="196"/>
        <v>1024733000</v>
      </c>
      <c r="G313" s="106">
        <f t="shared" si="196"/>
        <v>0</v>
      </c>
      <c r="H313" s="106">
        <f t="shared" si="196"/>
        <v>0</v>
      </c>
      <c r="I313" s="106">
        <f t="shared" si="195"/>
        <v>0</v>
      </c>
      <c r="J313" s="106">
        <f>+J314</f>
        <v>0</v>
      </c>
      <c r="K313" s="106">
        <f>+K314</f>
        <v>0</v>
      </c>
      <c r="L313" s="106">
        <f>+J313+K313</f>
        <v>0</v>
      </c>
      <c r="M313" s="106">
        <f t="shared" ref="M313:M330" si="197">+I313+L313</f>
        <v>0</v>
      </c>
      <c r="N313" s="105">
        <f t="shared" ref="N313:N330" si="198">+F313-M313</f>
        <v>1024733000</v>
      </c>
      <c r="P313" s="191"/>
      <c r="R313" s="108"/>
      <c r="S313" s="217"/>
      <c r="T313" s="217"/>
      <c r="U313" s="241"/>
    </row>
    <row r="314" spans="1:21" s="67" customFormat="1" ht="18" customHeight="1" x14ac:dyDescent="0.25">
      <c r="A314" s="88"/>
      <c r="B314" s="89"/>
      <c r="C314" s="88"/>
      <c r="D314" s="45" t="s">
        <v>63</v>
      </c>
      <c r="E314" s="45" t="s">
        <v>30</v>
      </c>
      <c r="F314" s="47">
        <f>+F315+F319+F322</f>
        <v>1024733000</v>
      </c>
      <c r="G314" s="70">
        <f>+G315+G319+G322</f>
        <v>0</v>
      </c>
      <c r="H314" s="70">
        <f>+H315+H319+H322</f>
        <v>0</v>
      </c>
      <c r="I314" s="70">
        <f t="shared" si="195"/>
        <v>0</v>
      </c>
      <c r="J314" s="70">
        <f>+J315+J319+J322</f>
        <v>0</v>
      </c>
      <c r="K314" s="70">
        <f>+K315+K319+K322</f>
        <v>0</v>
      </c>
      <c r="L314" s="70">
        <f>+J314+K314</f>
        <v>0</v>
      </c>
      <c r="M314" s="70">
        <f t="shared" si="197"/>
        <v>0</v>
      </c>
      <c r="N314" s="47">
        <f t="shared" si="198"/>
        <v>1024733000</v>
      </c>
      <c r="P314" s="192"/>
      <c r="S314" s="205"/>
      <c r="T314" s="205"/>
      <c r="U314" s="249"/>
    </row>
    <row r="315" spans="1:21" s="55" customFormat="1" ht="18" customHeight="1" x14ac:dyDescent="0.25">
      <c r="A315" s="50"/>
      <c r="B315" s="51"/>
      <c r="C315" s="51"/>
      <c r="D315" s="71" t="s">
        <v>263</v>
      </c>
      <c r="E315" s="51" t="s">
        <v>264</v>
      </c>
      <c r="F315" s="53">
        <f>+F316</f>
        <v>160643000</v>
      </c>
      <c r="G315" s="72">
        <f>+G316</f>
        <v>0</v>
      </c>
      <c r="H315" s="72">
        <f>+H316</f>
        <v>0</v>
      </c>
      <c r="I315" s="72">
        <f t="shared" si="195"/>
        <v>0</v>
      </c>
      <c r="J315" s="72">
        <f>+J316</f>
        <v>0</v>
      </c>
      <c r="K315" s="72">
        <f>+K316</f>
        <v>0</v>
      </c>
      <c r="L315" s="72">
        <f>+J315+K315</f>
        <v>0</v>
      </c>
      <c r="M315" s="72">
        <f t="shared" si="197"/>
        <v>0</v>
      </c>
      <c r="N315" s="53">
        <f t="shared" si="198"/>
        <v>160643000</v>
      </c>
      <c r="P315" s="195"/>
      <c r="S315" s="206"/>
      <c r="T315" s="206"/>
      <c r="U315" s="243"/>
    </row>
    <row r="316" spans="1:21" s="67" customFormat="1" ht="18" customHeight="1" x14ac:dyDescent="0.25">
      <c r="A316" s="90"/>
      <c r="B316" s="91"/>
      <c r="C316" s="90"/>
      <c r="D316" s="57" t="s">
        <v>64</v>
      </c>
      <c r="E316" s="57" t="s">
        <v>65</v>
      </c>
      <c r="F316" s="58">
        <f>F317+F318</f>
        <v>160643000</v>
      </c>
      <c r="G316" s="59">
        <f>+G317</f>
        <v>0</v>
      </c>
      <c r="H316" s="59">
        <f>+H317</f>
        <v>0</v>
      </c>
      <c r="I316" s="59">
        <f t="shared" si="195"/>
        <v>0</v>
      </c>
      <c r="J316" s="59">
        <f>+J317</f>
        <v>0</v>
      </c>
      <c r="K316" s="59">
        <f>+K317</f>
        <v>0</v>
      </c>
      <c r="L316" s="59">
        <f>+J316+K316</f>
        <v>0</v>
      </c>
      <c r="M316" s="59">
        <f t="shared" si="197"/>
        <v>0</v>
      </c>
      <c r="N316" s="58">
        <f t="shared" si="198"/>
        <v>160643000</v>
      </c>
      <c r="P316" s="192"/>
      <c r="S316" s="205"/>
      <c r="T316" s="205"/>
      <c r="U316" s="249"/>
    </row>
    <row r="317" spans="1:21" s="49" customFormat="1" ht="18" customHeight="1" x14ac:dyDescent="0.25">
      <c r="A317" s="92"/>
      <c r="B317" s="93"/>
      <c r="C317" s="61"/>
      <c r="D317" s="62" t="s">
        <v>339</v>
      </c>
      <c r="E317" s="62" t="s">
        <v>340</v>
      </c>
      <c r="F317" s="63">
        <v>99000000</v>
      </c>
      <c r="G317" s="94"/>
      <c r="H317" s="94"/>
      <c r="I317" s="94"/>
      <c r="J317" s="75"/>
      <c r="K317" s="75"/>
      <c r="L317" s="75">
        <f t="shared" ref="L317:L330" si="199">+J317+K317</f>
        <v>0</v>
      </c>
      <c r="M317" s="75">
        <f t="shared" si="197"/>
        <v>0</v>
      </c>
      <c r="N317" s="63">
        <f t="shared" si="198"/>
        <v>99000000</v>
      </c>
      <c r="P317" s="203"/>
      <c r="S317" s="228">
        <f>975000+995000+995000+945000+980000</f>
        <v>4890000</v>
      </c>
      <c r="T317" s="205"/>
      <c r="U317" s="242"/>
    </row>
    <row r="318" spans="1:21" s="49" customFormat="1" ht="18" customHeight="1" x14ac:dyDescent="0.25">
      <c r="A318" s="92"/>
      <c r="B318" s="93"/>
      <c r="C318" s="61"/>
      <c r="D318" s="62" t="s">
        <v>361</v>
      </c>
      <c r="E318" s="62" t="s">
        <v>362</v>
      </c>
      <c r="F318" s="63">
        <v>61643000</v>
      </c>
      <c r="G318" s="94"/>
      <c r="H318" s="94"/>
      <c r="I318" s="94"/>
      <c r="J318" s="75"/>
      <c r="K318" s="75"/>
      <c r="L318" s="75">
        <f t="shared" si="199"/>
        <v>0</v>
      </c>
      <c r="M318" s="75">
        <f t="shared" si="197"/>
        <v>0</v>
      </c>
      <c r="N318" s="63">
        <f t="shared" si="198"/>
        <v>61643000</v>
      </c>
      <c r="P318" s="203"/>
      <c r="S318" s="228">
        <f>975000+995000+995000+945000+980000</f>
        <v>4890000</v>
      </c>
      <c r="T318" s="205"/>
      <c r="U318" s="242"/>
    </row>
    <row r="319" spans="1:21" s="55" customFormat="1" ht="18" customHeight="1" x14ac:dyDescent="0.25">
      <c r="A319" s="50"/>
      <c r="B319" s="51"/>
      <c r="C319" s="51"/>
      <c r="D319" s="71" t="s">
        <v>271</v>
      </c>
      <c r="E319" s="51" t="s">
        <v>272</v>
      </c>
      <c r="F319" s="53">
        <f>+F320</f>
        <v>36480000</v>
      </c>
      <c r="G319" s="72">
        <f>+G320</f>
        <v>0</v>
      </c>
      <c r="H319" s="72">
        <f>+H320</f>
        <v>0</v>
      </c>
      <c r="I319" s="72">
        <f>+G319+H319</f>
        <v>0</v>
      </c>
      <c r="J319" s="72">
        <f>+J320</f>
        <v>0</v>
      </c>
      <c r="K319" s="72">
        <f>+K320</f>
        <v>0</v>
      </c>
      <c r="L319" s="72">
        <f t="shared" si="199"/>
        <v>0</v>
      </c>
      <c r="M319" s="72">
        <f t="shared" si="197"/>
        <v>0</v>
      </c>
      <c r="N319" s="53">
        <f t="shared" si="198"/>
        <v>36480000</v>
      </c>
      <c r="P319" s="204"/>
      <c r="S319" s="231"/>
      <c r="T319" s="206"/>
      <c r="U319" s="243"/>
    </row>
    <row r="320" spans="1:21" s="67" customFormat="1" ht="18" customHeight="1" x14ac:dyDescent="0.25">
      <c r="A320" s="90"/>
      <c r="B320" s="91"/>
      <c r="C320" s="90"/>
      <c r="D320" s="57" t="s">
        <v>81</v>
      </c>
      <c r="E320" s="57" t="s">
        <v>31</v>
      </c>
      <c r="F320" s="58">
        <f>F321</f>
        <v>36480000</v>
      </c>
      <c r="G320" s="59">
        <f>+G321</f>
        <v>0</v>
      </c>
      <c r="H320" s="59">
        <f>+H321</f>
        <v>0</v>
      </c>
      <c r="I320" s="59">
        <f>+G320+H320</f>
        <v>0</v>
      </c>
      <c r="J320" s="59">
        <f>+J321</f>
        <v>0</v>
      </c>
      <c r="K320" s="59">
        <f>+K321</f>
        <v>0</v>
      </c>
      <c r="L320" s="59">
        <f t="shared" si="199"/>
        <v>0</v>
      </c>
      <c r="M320" s="59">
        <f t="shared" si="197"/>
        <v>0</v>
      </c>
      <c r="N320" s="58">
        <f t="shared" si="198"/>
        <v>36480000</v>
      </c>
      <c r="P320" s="203"/>
      <c r="S320" s="228"/>
      <c r="T320" s="205"/>
      <c r="U320" s="249"/>
    </row>
    <row r="321" spans="1:21" s="49" customFormat="1" ht="18" customHeight="1" x14ac:dyDescent="0.25">
      <c r="A321" s="92"/>
      <c r="B321" s="93"/>
      <c r="C321" s="61"/>
      <c r="D321" s="62" t="s">
        <v>82</v>
      </c>
      <c r="E321" s="62" t="s">
        <v>83</v>
      </c>
      <c r="F321" s="63">
        <v>36480000</v>
      </c>
      <c r="G321" s="94"/>
      <c r="H321" s="75"/>
      <c r="I321" s="94"/>
      <c r="J321" s="75"/>
      <c r="K321" s="75"/>
      <c r="L321" s="75">
        <f t="shared" si="199"/>
        <v>0</v>
      </c>
      <c r="M321" s="75">
        <f t="shared" si="197"/>
        <v>0</v>
      </c>
      <c r="N321" s="63">
        <f t="shared" si="198"/>
        <v>36480000</v>
      </c>
      <c r="P321" s="203"/>
      <c r="S321" s="228">
        <f>1600000</f>
        <v>1600000</v>
      </c>
      <c r="T321" s="205"/>
      <c r="U321" s="242"/>
    </row>
    <row r="322" spans="1:21" s="55" customFormat="1" ht="18" customHeight="1" x14ac:dyDescent="0.25">
      <c r="A322" s="50"/>
      <c r="B322" s="51"/>
      <c r="C322" s="51"/>
      <c r="D322" s="71" t="s">
        <v>275</v>
      </c>
      <c r="E322" s="51" t="s">
        <v>276</v>
      </c>
      <c r="F322" s="53">
        <f>+F323</f>
        <v>827610000</v>
      </c>
      <c r="G322" s="72">
        <f>+G323</f>
        <v>0</v>
      </c>
      <c r="H322" s="72">
        <f>+H323</f>
        <v>0</v>
      </c>
      <c r="I322" s="72">
        <f>+G322+H322</f>
        <v>0</v>
      </c>
      <c r="J322" s="72">
        <f>+J323</f>
        <v>0</v>
      </c>
      <c r="K322" s="72">
        <f>+K323</f>
        <v>0</v>
      </c>
      <c r="L322" s="72">
        <f>+J322+K322</f>
        <v>0</v>
      </c>
      <c r="M322" s="72">
        <f t="shared" si="197"/>
        <v>0</v>
      </c>
      <c r="N322" s="53">
        <f t="shared" si="198"/>
        <v>827610000</v>
      </c>
      <c r="P322" s="204"/>
      <c r="S322" s="231"/>
      <c r="T322" s="206"/>
      <c r="U322" s="243"/>
    </row>
    <row r="323" spans="1:21" s="67" customFormat="1" ht="18" customHeight="1" x14ac:dyDescent="0.25">
      <c r="A323" s="90"/>
      <c r="B323" s="91"/>
      <c r="C323" s="90"/>
      <c r="D323" s="57" t="s">
        <v>114</v>
      </c>
      <c r="E323" s="57" t="s">
        <v>43</v>
      </c>
      <c r="F323" s="58">
        <f>SUM(F324:F330)</f>
        <v>827610000</v>
      </c>
      <c r="G323" s="59">
        <f>SUM(G325:G330)</f>
        <v>0</v>
      </c>
      <c r="H323" s="59">
        <f>SUM(H325:H330)</f>
        <v>0</v>
      </c>
      <c r="I323" s="59">
        <f>+G323+H323</f>
        <v>0</v>
      </c>
      <c r="J323" s="59">
        <f>SUM(J325:J330)</f>
        <v>0</v>
      </c>
      <c r="K323" s="59">
        <f>SUM(K325:K330)</f>
        <v>0</v>
      </c>
      <c r="L323" s="59">
        <f>+J323+K323</f>
        <v>0</v>
      </c>
      <c r="M323" s="59">
        <f t="shared" si="197"/>
        <v>0</v>
      </c>
      <c r="N323" s="58">
        <f t="shared" si="198"/>
        <v>827610000</v>
      </c>
      <c r="P323" s="203"/>
      <c r="S323" s="228"/>
      <c r="T323" s="205"/>
      <c r="U323" s="249"/>
    </row>
    <row r="324" spans="1:21" s="49" customFormat="1" ht="35.25" customHeight="1" x14ac:dyDescent="0.25">
      <c r="A324" s="170"/>
      <c r="B324" s="86"/>
      <c r="C324" s="171"/>
      <c r="D324" s="162" t="s">
        <v>478</v>
      </c>
      <c r="E324" s="172" t="s">
        <v>479</v>
      </c>
      <c r="F324" s="173">
        <v>31700000</v>
      </c>
      <c r="G324" s="174"/>
      <c r="H324" s="174"/>
      <c r="I324" s="174"/>
      <c r="J324" s="163"/>
      <c r="K324" s="163"/>
      <c r="L324" s="163">
        <f t="shared" ref="L324" si="200">+J324+K324</f>
        <v>0</v>
      </c>
      <c r="M324" s="163">
        <f t="shared" si="197"/>
        <v>0</v>
      </c>
      <c r="N324" s="173">
        <f t="shared" si="198"/>
        <v>31700000</v>
      </c>
      <c r="P324" s="203"/>
      <c r="S324" s="228">
        <f>200000</f>
        <v>200000</v>
      </c>
      <c r="T324" s="205"/>
      <c r="U324" s="242"/>
    </row>
    <row r="325" spans="1:21" s="49" customFormat="1" ht="35.25" customHeight="1" x14ac:dyDescent="0.25">
      <c r="A325" s="170"/>
      <c r="B325" s="86"/>
      <c r="C325" s="171"/>
      <c r="D325" s="162" t="s">
        <v>347</v>
      </c>
      <c r="E325" s="172" t="s">
        <v>348</v>
      </c>
      <c r="F325" s="173">
        <v>8500000</v>
      </c>
      <c r="G325" s="174"/>
      <c r="H325" s="174"/>
      <c r="I325" s="174"/>
      <c r="J325" s="163"/>
      <c r="K325" s="163"/>
      <c r="L325" s="163">
        <f t="shared" si="199"/>
        <v>0</v>
      </c>
      <c r="M325" s="163">
        <f t="shared" si="197"/>
        <v>0</v>
      </c>
      <c r="N325" s="173">
        <f t="shared" si="198"/>
        <v>8500000</v>
      </c>
      <c r="P325" s="203"/>
      <c r="S325" s="228">
        <f>200000</f>
        <v>200000</v>
      </c>
      <c r="T325" s="205"/>
      <c r="U325" s="242"/>
    </row>
    <row r="326" spans="1:21" s="49" customFormat="1" ht="35.25" customHeight="1" x14ac:dyDescent="0.25">
      <c r="A326" s="170"/>
      <c r="B326" s="86"/>
      <c r="C326" s="162"/>
      <c r="D326" s="162" t="s">
        <v>349</v>
      </c>
      <c r="E326" s="172" t="s">
        <v>350</v>
      </c>
      <c r="F326" s="173">
        <v>99960000</v>
      </c>
      <c r="G326" s="174"/>
      <c r="H326" s="174"/>
      <c r="I326" s="174"/>
      <c r="J326" s="163"/>
      <c r="K326" s="163"/>
      <c r="L326" s="163">
        <f t="shared" si="199"/>
        <v>0</v>
      </c>
      <c r="M326" s="163">
        <f t="shared" si="197"/>
        <v>0</v>
      </c>
      <c r="N326" s="173">
        <f>+F326-M326</f>
        <v>99960000</v>
      </c>
      <c r="P326" s="203"/>
      <c r="S326" s="228">
        <f>967725+977600+825000+650000+300000+706500+211000+980000+660000+1450000+9550000</f>
        <v>17277825</v>
      </c>
      <c r="T326" s="205"/>
      <c r="U326" s="242"/>
    </row>
    <row r="327" spans="1:21" s="49" customFormat="1" ht="35.25" customHeight="1" x14ac:dyDescent="0.25">
      <c r="A327" s="170"/>
      <c r="B327" s="86"/>
      <c r="C327" s="162"/>
      <c r="D327" s="162" t="s">
        <v>145</v>
      </c>
      <c r="E327" s="172" t="s">
        <v>351</v>
      </c>
      <c r="F327" s="173">
        <v>73200000</v>
      </c>
      <c r="G327" s="174"/>
      <c r="H327" s="174"/>
      <c r="I327" s="174"/>
      <c r="J327" s="163"/>
      <c r="K327" s="163"/>
      <c r="L327" s="163">
        <f t="shared" si="199"/>
        <v>0</v>
      </c>
      <c r="M327" s="163">
        <f t="shared" si="197"/>
        <v>0</v>
      </c>
      <c r="N327" s="173">
        <f>+F327-M327</f>
        <v>73200000</v>
      </c>
      <c r="P327" s="203"/>
      <c r="S327" s="228">
        <f>300000+4450000+1750000+1300000+3800000+1750000+3300000+3500000+2325000</f>
        <v>22475000</v>
      </c>
      <c r="T327" s="205"/>
      <c r="U327" s="242"/>
    </row>
    <row r="328" spans="1:21" s="49" customFormat="1" ht="26.25" customHeight="1" x14ac:dyDescent="0.25">
      <c r="A328" s="170"/>
      <c r="B328" s="86"/>
      <c r="C328" s="162"/>
      <c r="D328" s="162" t="s">
        <v>115</v>
      </c>
      <c r="E328" s="172" t="s">
        <v>116</v>
      </c>
      <c r="F328" s="173">
        <v>109500000</v>
      </c>
      <c r="G328" s="174"/>
      <c r="H328" s="174"/>
      <c r="I328" s="174"/>
      <c r="J328" s="163"/>
      <c r="K328" s="163"/>
      <c r="L328" s="163">
        <f t="shared" si="199"/>
        <v>0</v>
      </c>
      <c r="M328" s="163">
        <f t="shared" si="197"/>
        <v>0</v>
      </c>
      <c r="N328" s="173">
        <f>+F328-M328</f>
        <v>109500000</v>
      </c>
      <c r="P328" s="192"/>
      <c r="S328" s="228">
        <f>375000+825000+460000+725000+750000+650000+920000+865000+900000+700000+300000+1120000+10120000+4125000</f>
        <v>22835000</v>
      </c>
      <c r="T328" s="205"/>
      <c r="U328" s="242"/>
    </row>
    <row r="329" spans="1:21" s="49" customFormat="1" ht="33.75" customHeight="1" x14ac:dyDescent="0.25">
      <c r="A329" s="170"/>
      <c r="B329" s="86"/>
      <c r="C329" s="162"/>
      <c r="D329" s="162" t="s">
        <v>352</v>
      </c>
      <c r="E329" s="172" t="s">
        <v>353</v>
      </c>
      <c r="F329" s="173">
        <v>108500000</v>
      </c>
      <c r="G329" s="174"/>
      <c r="H329" s="174"/>
      <c r="I329" s="174"/>
      <c r="J329" s="163"/>
      <c r="K329" s="163"/>
      <c r="L329" s="163">
        <f t="shared" si="199"/>
        <v>0</v>
      </c>
      <c r="M329" s="163">
        <f t="shared" si="197"/>
        <v>0</v>
      </c>
      <c r="N329" s="173">
        <f t="shared" si="198"/>
        <v>108500000</v>
      </c>
      <c r="P329" s="192"/>
      <c r="S329" s="228">
        <f>650000+350000+885000+945000+840000+940000+750000</f>
        <v>5360000</v>
      </c>
      <c r="T329" s="205"/>
      <c r="U329" s="242"/>
    </row>
    <row r="330" spans="1:21" s="134" customFormat="1" ht="18" customHeight="1" x14ac:dyDescent="0.25">
      <c r="A330" s="151"/>
      <c r="B330" s="152"/>
      <c r="C330" s="124"/>
      <c r="D330" s="124" t="s">
        <v>354</v>
      </c>
      <c r="E330" s="139" t="s">
        <v>355</v>
      </c>
      <c r="F330" s="125">
        <v>396250000</v>
      </c>
      <c r="G330" s="140"/>
      <c r="H330" s="140"/>
      <c r="I330" s="140">
        <f t="shared" ref="I330:I347" si="201">+G330+H330</f>
        <v>0</v>
      </c>
      <c r="J330" s="140"/>
      <c r="K330" s="140"/>
      <c r="L330" s="140">
        <f t="shared" si="199"/>
        <v>0</v>
      </c>
      <c r="M330" s="140">
        <f t="shared" si="197"/>
        <v>0</v>
      </c>
      <c r="N330" s="125">
        <f t="shared" si="198"/>
        <v>396250000</v>
      </c>
      <c r="P330" s="197"/>
      <c r="S330" s="218"/>
      <c r="T330" s="229">
        <f>119592000+63720000</f>
        <v>183312000</v>
      </c>
      <c r="U330" s="247"/>
    </row>
    <row r="331" spans="1:21" s="121" customFormat="1" ht="22.5" customHeight="1" x14ac:dyDescent="0.25">
      <c r="A331" s="154">
        <v>18</v>
      </c>
      <c r="B331" s="155"/>
      <c r="C331" s="155" t="s">
        <v>146</v>
      </c>
      <c r="D331" s="156"/>
      <c r="E331" s="164" t="s">
        <v>356</v>
      </c>
      <c r="F331" s="158">
        <f t="shared" ref="F331:H334" si="202">+F332</f>
        <v>399988000</v>
      </c>
      <c r="G331" s="159">
        <f t="shared" si="202"/>
        <v>0</v>
      </c>
      <c r="H331" s="159">
        <f t="shared" si="202"/>
        <v>0</v>
      </c>
      <c r="I331" s="159">
        <f t="shared" si="201"/>
        <v>0</v>
      </c>
      <c r="J331" s="159">
        <f t="shared" ref="J331:K335" si="203">+J332</f>
        <v>0</v>
      </c>
      <c r="K331" s="159">
        <f t="shared" si="203"/>
        <v>0</v>
      </c>
      <c r="L331" s="159">
        <f>+J331+K331</f>
        <v>0</v>
      </c>
      <c r="M331" s="159">
        <f>+I331+L331</f>
        <v>0</v>
      </c>
      <c r="N331" s="158">
        <f>+F331-M331</f>
        <v>399988000</v>
      </c>
      <c r="P331" s="190"/>
      <c r="R331" s="122"/>
      <c r="S331" s="216"/>
      <c r="T331" s="216"/>
      <c r="U331" s="246"/>
    </row>
    <row r="332" spans="1:21" s="107" customFormat="1" ht="18" customHeight="1" x14ac:dyDescent="0.25">
      <c r="A332" s="101"/>
      <c r="B332" s="102"/>
      <c r="C332" s="102"/>
      <c r="D332" s="103" t="s">
        <v>207</v>
      </c>
      <c r="E332" s="104" t="s">
        <v>262</v>
      </c>
      <c r="F332" s="105">
        <f t="shared" si="202"/>
        <v>399988000</v>
      </c>
      <c r="G332" s="106">
        <f t="shared" si="202"/>
        <v>0</v>
      </c>
      <c r="H332" s="106">
        <f t="shared" si="202"/>
        <v>0</v>
      </c>
      <c r="I332" s="106">
        <f t="shared" si="201"/>
        <v>0</v>
      </c>
      <c r="J332" s="106">
        <f t="shared" si="203"/>
        <v>0</v>
      </c>
      <c r="K332" s="106">
        <f t="shared" si="203"/>
        <v>0</v>
      </c>
      <c r="L332" s="106">
        <f>+J332+K332</f>
        <v>0</v>
      </c>
      <c r="M332" s="106">
        <f t="shared" ref="M332:M336" si="204">+I332+L332</f>
        <v>0</v>
      </c>
      <c r="N332" s="105">
        <f>+F332-M332</f>
        <v>399988000</v>
      </c>
      <c r="P332" s="191"/>
      <c r="R332" s="108"/>
      <c r="S332" s="217"/>
      <c r="T332" s="217"/>
      <c r="U332" s="241"/>
    </row>
    <row r="333" spans="1:21" s="67" customFormat="1" ht="18" customHeight="1" x14ac:dyDescent="0.25">
      <c r="A333" s="88"/>
      <c r="B333" s="89"/>
      <c r="C333" s="88"/>
      <c r="D333" s="45" t="s">
        <v>63</v>
      </c>
      <c r="E333" s="45" t="s">
        <v>30</v>
      </c>
      <c r="F333" s="47">
        <f t="shared" si="202"/>
        <v>399988000</v>
      </c>
      <c r="G333" s="70">
        <f t="shared" si="202"/>
        <v>0</v>
      </c>
      <c r="H333" s="70">
        <f t="shared" si="202"/>
        <v>0</v>
      </c>
      <c r="I333" s="70">
        <f t="shared" si="201"/>
        <v>0</v>
      </c>
      <c r="J333" s="70">
        <f t="shared" si="203"/>
        <v>0</v>
      </c>
      <c r="K333" s="70">
        <f t="shared" si="203"/>
        <v>0</v>
      </c>
      <c r="L333" s="70">
        <f>+J333+K333</f>
        <v>0</v>
      </c>
      <c r="M333" s="70">
        <f t="shared" si="204"/>
        <v>0</v>
      </c>
      <c r="N333" s="47">
        <f t="shared" ref="N333:N336" si="205">+F333-M333</f>
        <v>399988000</v>
      </c>
      <c r="P333" s="192"/>
      <c r="S333" s="205"/>
      <c r="T333" s="205"/>
      <c r="U333" s="249"/>
    </row>
    <row r="334" spans="1:21" s="55" customFormat="1" ht="18" customHeight="1" x14ac:dyDescent="0.25">
      <c r="A334" s="50"/>
      <c r="B334" s="51"/>
      <c r="C334" s="51"/>
      <c r="D334" s="71" t="s">
        <v>275</v>
      </c>
      <c r="E334" s="51" t="s">
        <v>276</v>
      </c>
      <c r="F334" s="53">
        <f t="shared" si="202"/>
        <v>399988000</v>
      </c>
      <c r="G334" s="72">
        <f t="shared" si="202"/>
        <v>0</v>
      </c>
      <c r="H334" s="72">
        <f t="shared" si="202"/>
        <v>0</v>
      </c>
      <c r="I334" s="72">
        <f t="shared" si="201"/>
        <v>0</v>
      </c>
      <c r="J334" s="72">
        <f t="shared" si="203"/>
        <v>0</v>
      </c>
      <c r="K334" s="72">
        <f t="shared" si="203"/>
        <v>0</v>
      </c>
      <c r="L334" s="72">
        <f>+J334+K334</f>
        <v>0</v>
      </c>
      <c r="M334" s="72">
        <f t="shared" si="204"/>
        <v>0</v>
      </c>
      <c r="N334" s="53">
        <f t="shared" si="205"/>
        <v>399988000</v>
      </c>
      <c r="P334" s="195"/>
      <c r="S334" s="206"/>
      <c r="T334" s="206"/>
      <c r="U334" s="243"/>
    </row>
    <row r="335" spans="1:21" s="67" customFormat="1" ht="18" customHeight="1" x14ac:dyDescent="0.25">
      <c r="A335" s="90"/>
      <c r="B335" s="91"/>
      <c r="C335" s="90"/>
      <c r="D335" s="57" t="s">
        <v>147</v>
      </c>
      <c r="E335" s="57" t="s">
        <v>35</v>
      </c>
      <c r="F335" s="58">
        <f>F336</f>
        <v>399988000</v>
      </c>
      <c r="G335" s="59">
        <f>+G336</f>
        <v>0</v>
      </c>
      <c r="H335" s="59">
        <f>+H336</f>
        <v>0</v>
      </c>
      <c r="I335" s="59">
        <f t="shared" si="201"/>
        <v>0</v>
      </c>
      <c r="J335" s="59">
        <f t="shared" si="203"/>
        <v>0</v>
      </c>
      <c r="K335" s="59">
        <f t="shared" si="203"/>
        <v>0</v>
      </c>
      <c r="L335" s="59">
        <f>+J335+K335</f>
        <v>0</v>
      </c>
      <c r="M335" s="59">
        <f t="shared" si="204"/>
        <v>0</v>
      </c>
      <c r="N335" s="58">
        <f t="shared" si="205"/>
        <v>399988000</v>
      </c>
      <c r="P335" s="192"/>
      <c r="S335" s="205"/>
      <c r="T335" s="205"/>
      <c r="U335" s="249"/>
    </row>
    <row r="336" spans="1:21" s="134" customFormat="1" ht="33.75" customHeight="1" x14ac:dyDescent="0.25">
      <c r="A336" s="265"/>
      <c r="B336" s="144"/>
      <c r="C336" s="165"/>
      <c r="D336" s="166" t="s">
        <v>148</v>
      </c>
      <c r="E336" s="167" t="s">
        <v>149</v>
      </c>
      <c r="F336" s="168">
        <v>399988000</v>
      </c>
      <c r="G336" s="266"/>
      <c r="H336" s="169"/>
      <c r="I336" s="169">
        <f t="shared" si="201"/>
        <v>0</v>
      </c>
      <c r="J336" s="169"/>
      <c r="K336" s="169"/>
      <c r="L336" s="169">
        <f t="shared" ref="L336" si="206">+J336+K336</f>
        <v>0</v>
      </c>
      <c r="M336" s="169">
        <f t="shared" si="204"/>
        <v>0</v>
      </c>
      <c r="N336" s="168">
        <f t="shared" si="205"/>
        <v>399988000</v>
      </c>
      <c r="P336" s="197"/>
      <c r="S336" s="218"/>
      <c r="T336" s="229">
        <f>198880000+190625000</f>
        <v>389505000</v>
      </c>
      <c r="U336" s="247"/>
    </row>
    <row r="337" spans="1:21" s="121" customFormat="1" ht="34.5" customHeight="1" x14ac:dyDescent="0.25">
      <c r="A337" s="154">
        <v>19</v>
      </c>
      <c r="B337" s="155"/>
      <c r="C337" s="155" t="s">
        <v>151</v>
      </c>
      <c r="D337" s="156"/>
      <c r="E337" s="164" t="s">
        <v>152</v>
      </c>
      <c r="F337" s="158">
        <f t="shared" ref="F337:H340" si="207">+F338</f>
        <v>200000000</v>
      </c>
      <c r="G337" s="159">
        <f t="shared" si="207"/>
        <v>0</v>
      </c>
      <c r="H337" s="159">
        <f t="shared" si="207"/>
        <v>0</v>
      </c>
      <c r="I337" s="159">
        <f t="shared" si="201"/>
        <v>0</v>
      </c>
      <c r="J337" s="159">
        <f t="shared" ref="J337:K341" si="208">+J338</f>
        <v>0</v>
      </c>
      <c r="K337" s="159">
        <f t="shared" si="208"/>
        <v>0</v>
      </c>
      <c r="L337" s="159">
        <f>+J337+K337</f>
        <v>0</v>
      </c>
      <c r="M337" s="159">
        <f>+I337+L337</f>
        <v>0</v>
      </c>
      <c r="N337" s="158">
        <f>+F337-M337</f>
        <v>200000000</v>
      </c>
      <c r="P337" s="190"/>
      <c r="R337" s="122"/>
      <c r="S337" s="216"/>
      <c r="T337" s="216"/>
      <c r="U337" s="246"/>
    </row>
    <row r="338" spans="1:21" s="107" customFormat="1" ht="18" customHeight="1" x14ac:dyDescent="0.25">
      <c r="A338" s="101"/>
      <c r="B338" s="102"/>
      <c r="C338" s="102"/>
      <c r="D338" s="103" t="s">
        <v>207</v>
      </c>
      <c r="E338" s="104" t="s">
        <v>262</v>
      </c>
      <c r="F338" s="105">
        <f t="shared" si="207"/>
        <v>200000000</v>
      </c>
      <c r="G338" s="106">
        <f t="shared" si="207"/>
        <v>0</v>
      </c>
      <c r="H338" s="106">
        <f t="shared" si="207"/>
        <v>0</v>
      </c>
      <c r="I338" s="106">
        <f t="shared" si="201"/>
        <v>0</v>
      </c>
      <c r="J338" s="106">
        <f t="shared" si="208"/>
        <v>0</v>
      </c>
      <c r="K338" s="106">
        <f t="shared" si="208"/>
        <v>0</v>
      </c>
      <c r="L338" s="106">
        <f>+J338+K338</f>
        <v>0</v>
      </c>
      <c r="M338" s="106">
        <f t="shared" ref="M338:M342" si="209">+I338+L338</f>
        <v>0</v>
      </c>
      <c r="N338" s="105">
        <f t="shared" ref="N338:N342" si="210">+F338-M338</f>
        <v>200000000</v>
      </c>
      <c r="P338" s="191"/>
      <c r="R338" s="108"/>
      <c r="S338" s="217"/>
      <c r="T338" s="217"/>
      <c r="U338" s="241"/>
    </row>
    <row r="339" spans="1:21" s="67" customFormat="1" ht="18" customHeight="1" x14ac:dyDescent="0.25">
      <c r="A339" s="88"/>
      <c r="B339" s="89"/>
      <c r="C339" s="88"/>
      <c r="D339" s="45" t="s">
        <v>63</v>
      </c>
      <c r="E339" s="45" t="s">
        <v>30</v>
      </c>
      <c r="F339" s="47">
        <f t="shared" si="207"/>
        <v>200000000</v>
      </c>
      <c r="G339" s="70">
        <f t="shared" si="207"/>
        <v>0</v>
      </c>
      <c r="H339" s="70">
        <f t="shared" si="207"/>
        <v>0</v>
      </c>
      <c r="I339" s="70">
        <f t="shared" si="201"/>
        <v>0</v>
      </c>
      <c r="J339" s="70">
        <f t="shared" si="208"/>
        <v>0</v>
      </c>
      <c r="K339" s="70">
        <f t="shared" si="208"/>
        <v>0</v>
      </c>
      <c r="L339" s="70">
        <f>+J339+K339</f>
        <v>0</v>
      </c>
      <c r="M339" s="70">
        <f t="shared" si="209"/>
        <v>0</v>
      </c>
      <c r="N339" s="47">
        <f t="shared" si="210"/>
        <v>200000000</v>
      </c>
      <c r="P339" s="192"/>
      <c r="S339" s="205"/>
      <c r="T339" s="205"/>
      <c r="U339" s="249"/>
    </row>
    <row r="340" spans="1:21" s="55" customFormat="1" ht="18" customHeight="1" x14ac:dyDescent="0.25">
      <c r="A340" s="50"/>
      <c r="B340" s="51"/>
      <c r="C340" s="51"/>
      <c r="D340" s="71" t="s">
        <v>275</v>
      </c>
      <c r="E340" s="51" t="s">
        <v>276</v>
      </c>
      <c r="F340" s="53">
        <f t="shared" si="207"/>
        <v>200000000</v>
      </c>
      <c r="G340" s="72">
        <f t="shared" si="207"/>
        <v>0</v>
      </c>
      <c r="H340" s="72">
        <f t="shared" si="207"/>
        <v>0</v>
      </c>
      <c r="I340" s="72">
        <f t="shared" si="201"/>
        <v>0</v>
      </c>
      <c r="J340" s="72">
        <f t="shared" si="208"/>
        <v>0</v>
      </c>
      <c r="K340" s="72">
        <f t="shared" si="208"/>
        <v>0</v>
      </c>
      <c r="L340" s="72">
        <f>+J340+K340</f>
        <v>0</v>
      </c>
      <c r="M340" s="72">
        <f t="shared" si="209"/>
        <v>0</v>
      </c>
      <c r="N340" s="53">
        <f t="shared" si="210"/>
        <v>200000000</v>
      </c>
      <c r="P340" s="195"/>
      <c r="S340" s="206"/>
      <c r="T340" s="206"/>
      <c r="U340" s="243"/>
    </row>
    <row r="341" spans="1:21" s="67" customFormat="1" ht="18" customHeight="1" x14ac:dyDescent="0.25">
      <c r="A341" s="90"/>
      <c r="B341" s="91"/>
      <c r="C341" s="90"/>
      <c r="D341" s="57" t="s">
        <v>147</v>
      </c>
      <c r="E341" s="57" t="s">
        <v>35</v>
      </c>
      <c r="F341" s="58">
        <f>F342</f>
        <v>200000000</v>
      </c>
      <c r="G341" s="59">
        <f>+G342</f>
        <v>0</v>
      </c>
      <c r="H341" s="59">
        <f>+H342</f>
        <v>0</v>
      </c>
      <c r="I341" s="59">
        <f t="shared" si="201"/>
        <v>0</v>
      </c>
      <c r="J341" s="59">
        <f t="shared" si="208"/>
        <v>0</v>
      </c>
      <c r="K341" s="59">
        <f t="shared" si="208"/>
        <v>0</v>
      </c>
      <c r="L341" s="59">
        <f>+J341+K341</f>
        <v>0</v>
      </c>
      <c r="M341" s="59">
        <f t="shared" si="209"/>
        <v>0</v>
      </c>
      <c r="N341" s="58">
        <f t="shared" si="210"/>
        <v>200000000</v>
      </c>
      <c r="P341" s="192"/>
      <c r="S341" s="205"/>
      <c r="T341" s="205"/>
      <c r="U341" s="249"/>
    </row>
    <row r="342" spans="1:21" s="134" customFormat="1" ht="33.75" customHeight="1" x14ac:dyDescent="0.25">
      <c r="A342" s="265"/>
      <c r="B342" s="144"/>
      <c r="C342" s="165"/>
      <c r="D342" s="166" t="s">
        <v>148</v>
      </c>
      <c r="E342" s="167" t="s">
        <v>149</v>
      </c>
      <c r="F342" s="168">
        <v>200000000</v>
      </c>
      <c r="G342" s="266"/>
      <c r="H342" s="169"/>
      <c r="I342" s="169">
        <f t="shared" si="201"/>
        <v>0</v>
      </c>
      <c r="J342" s="169"/>
      <c r="K342" s="169"/>
      <c r="L342" s="169">
        <f t="shared" ref="L342" si="211">+J342+K342</f>
        <v>0</v>
      </c>
      <c r="M342" s="169">
        <f t="shared" si="209"/>
        <v>0</v>
      </c>
      <c r="N342" s="168">
        <f t="shared" si="210"/>
        <v>200000000</v>
      </c>
      <c r="P342" s="197"/>
      <c r="S342" s="218"/>
      <c r="T342" s="229">
        <f>151635000</f>
        <v>151635000</v>
      </c>
      <c r="U342" s="247"/>
    </row>
    <row r="343" spans="1:21" s="121" customFormat="1" ht="34.5" customHeight="1" x14ac:dyDescent="0.25">
      <c r="A343" s="154">
        <v>20</v>
      </c>
      <c r="B343" s="155"/>
      <c r="C343" s="155" t="s">
        <v>153</v>
      </c>
      <c r="D343" s="156"/>
      <c r="E343" s="164" t="s">
        <v>154</v>
      </c>
      <c r="F343" s="158">
        <f t="shared" ref="F343:H346" si="212">+F344</f>
        <v>80000000</v>
      </c>
      <c r="G343" s="159">
        <f t="shared" si="212"/>
        <v>0</v>
      </c>
      <c r="H343" s="159">
        <f t="shared" si="212"/>
        <v>0</v>
      </c>
      <c r="I343" s="159">
        <f t="shared" si="201"/>
        <v>0</v>
      </c>
      <c r="J343" s="159">
        <f t="shared" ref="J343:K347" si="213">+J344</f>
        <v>0</v>
      </c>
      <c r="K343" s="159">
        <f t="shared" si="213"/>
        <v>0</v>
      </c>
      <c r="L343" s="159">
        <f>+J343+K343</f>
        <v>0</v>
      </c>
      <c r="M343" s="159">
        <f>+I343+L343</f>
        <v>0</v>
      </c>
      <c r="N343" s="158">
        <f>+F343-M343</f>
        <v>80000000</v>
      </c>
      <c r="P343" s="190"/>
      <c r="R343" s="122"/>
      <c r="S343" s="216"/>
      <c r="T343" s="216"/>
      <c r="U343" s="246"/>
    </row>
    <row r="344" spans="1:21" s="107" customFormat="1" ht="18" customHeight="1" x14ac:dyDescent="0.25">
      <c r="A344" s="101"/>
      <c r="B344" s="102"/>
      <c r="C344" s="102"/>
      <c r="D344" s="103" t="s">
        <v>207</v>
      </c>
      <c r="E344" s="104" t="s">
        <v>262</v>
      </c>
      <c r="F344" s="105">
        <f t="shared" si="212"/>
        <v>80000000</v>
      </c>
      <c r="G344" s="106">
        <f t="shared" si="212"/>
        <v>0</v>
      </c>
      <c r="H344" s="106">
        <f t="shared" si="212"/>
        <v>0</v>
      </c>
      <c r="I344" s="106">
        <f t="shared" si="201"/>
        <v>0</v>
      </c>
      <c r="J344" s="106">
        <f t="shared" si="213"/>
        <v>0</v>
      </c>
      <c r="K344" s="106">
        <f t="shared" si="213"/>
        <v>0</v>
      </c>
      <c r="L344" s="106">
        <f>+J344+K344</f>
        <v>0</v>
      </c>
      <c r="M344" s="106">
        <f t="shared" ref="M344:M348" si="214">+I344+L344</f>
        <v>0</v>
      </c>
      <c r="N344" s="105">
        <f t="shared" ref="N344:N348" si="215">+F344-M344</f>
        <v>80000000</v>
      </c>
      <c r="P344" s="191"/>
      <c r="R344" s="108"/>
      <c r="S344" s="217"/>
      <c r="T344" s="217"/>
      <c r="U344" s="241"/>
    </row>
    <row r="345" spans="1:21" s="67" customFormat="1" ht="18" customHeight="1" x14ac:dyDescent="0.25">
      <c r="A345" s="88"/>
      <c r="B345" s="89"/>
      <c r="C345" s="88"/>
      <c r="D345" s="45" t="s">
        <v>63</v>
      </c>
      <c r="E345" s="45" t="s">
        <v>30</v>
      </c>
      <c r="F345" s="47">
        <f t="shared" si="212"/>
        <v>80000000</v>
      </c>
      <c r="G345" s="70">
        <f t="shared" si="212"/>
        <v>0</v>
      </c>
      <c r="H345" s="70">
        <f t="shared" si="212"/>
        <v>0</v>
      </c>
      <c r="I345" s="70">
        <f t="shared" si="201"/>
        <v>0</v>
      </c>
      <c r="J345" s="70">
        <f t="shared" si="213"/>
        <v>0</v>
      </c>
      <c r="K345" s="70">
        <f t="shared" si="213"/>
        <v>0</v>
      </c>
      <c r="L345" s="70">
        <f>+J345+K345</f>
        <v>0</v>
      </c>
      <c r="M345" s="70">
        <f t="shared" si="214"/>
        <v>0</v>
      </c>
      <c r="N345" s="47">
        <f t="shared" si="215"/>
        <v>80000000</v>
      </c>
      <c r="P345" s="192"/>
      <c r="S345" s="205"/>
      <c r="T345" s="205"/>
      <c r="U345" s="249"/>
    </row>
    <row r="346" spans="1:21" s="55" customFormat="1" ht="18" customHeight="1" x14ac:dyDescent="0.25">
      <c r="A346" s="50"/>
      <c r="B346" s="51"/>
      <c r="C346" s="51"/>
      <c r="D346" s="71" t="s">
        <v>275</v>
      </c>
      <c r="E346" s="51" t="s">
        <v>276</v>
      </c>
      <c r="F346" s="53">
        <f t="shared" si="212"/>
        <v>80000000</v>
      </c>
      <c r="G346" s="72">
        <f t="shared" si="212"/>
        <v>0</v>
      </c>
      <c r="H346" s="72">
        <f t="shared" si="212"/>
        <v>0</v>
      </c>
      <c r="I346" s="72">
        <f t="shared" si="201"/>
        <v>0</v>
      </c>
      <c r="J346" s="72">
        <f t="shared" si="213"/>
        <v>0</v>
      </c>
      <c r="K346" s="72">
        <f t="shared" si="213"/>
        <v>0</v>
      </c>
      <c r="L346" s="72">
        <f>+J346+K346</f>
        <v>0</v>
      </c>
      <c r="M346" s="72">
        <f t="shared" si="214"/>
        <v>0</v>
      </c>
      <c r="N346" s="53">
        <f t="shared" si="215"/>
        <v>80000000</v>
      </c>
      <c r="P346" s="195"/>
      <c r="S346" s="206"/>
      <c r="T346" s="206"/>
      <c r="U346" s="243"/>
    </row>
    <row r="347" spans="1:21" s="67" customFormat="1" ht="18" customHeight="1" x14ac:dyDescent="0.25">
      <c r="A347" s="90"/>
      <c r="B347" s="91"/>
      <c r="C347" s="90"/>
      <c r="D347" s="57" t="s">
        <v>114</v>
      </c>
      <c r="E347" s="57" t="s">
        <v>43</v>
      </c>
      <c r="F347" s="58">
        <f>F348</f>
        <v>80000000</v>
      </c>
      <c r="G347" s="59">
        <f>+G348</f>
        <v>0</v>
      </c>
      <c r="H347" s="59">
        <f>+H348</f>
        <v>0</v>
      </c>
      <c r="I347" s="59">
        <f t="shared" si="201"/>
        <v>0</v>
      </c>
      <c r="J347" s="59">
        <f t="shared" si="213"/>
        <v>0</v>
      </c>
      <c r="K347" s="59">
        <f t="shared" si="213"/>
        <v>0</v>
      </c>
      <c r="L347" s="59">
        <f>+J347+K347</f>
        <v>0</v>
      </c>
      <c r="M347" s="59">
        <f t="shared" si="214"/>
        <v>0</v>
      </c>
      <c r="N347" s="58">
        <f t="shared" si="215"/>
        <v>80000000</v>
      </c>
      <c r="P347" s="192"/>
      <c r="S347" s="205"/>
      <c r="T347" s="205"/>
      <c r="U347" s="249"/>
    </row>
    <row r="348" spans="1:21" s="49" customFormat="1" ht="33.75" customHeight="1" x14ac:dyDescent="0.25">
      <c r="A348" s="170"/>
      <c r="B348" s="86"/>
      <c r="C348" s="171"/>
      <c r="D348" s="162" t="s">
        <v>349</v>
      </c>
      <c r="E348" s="172" t="s">
        <v>350</v>
      </c>
      <c r="F348" s="173">
        <v>80000000</v>
      </c>
      <c r="G348" s="174"/>
      <c r="H348" s="174"/>
      <c r="I348" s="174"/>
      <c r="J348" s="163"/>
      <c r="K348" s="163"/>
      <c r="L348" s="163">
        <f t="shared" ref="L348" si="216">+J348+K348</f>
        <v>0</v>
      </c>
      <c r="M348" s="163">
        <f t="shared" si="214"/>
        <v>0</v>
      </c>
      <c r="N348" s="173">
        <f t="shared" si="215"/>
        <v>80000000</v>
      </c>
      <c r="P348" s="192"/>
      <c r="S348" s="205"/>
      <c r="T348" s="205"/>
      <c r="U348" s="242"/>
    </row>
    <row r="349" spans="1:21" s="134" customFormat="1" ht="18" customHeight="1" x14ac:dyDescent="0.25">
      <c r="A349" s="129"/>
      <c r="B349" s="131"/>
      <c r="C349" s="131"/>
      <c r="D349" s="131"/>
      <c r="E349" s="131"/>
      <c r="F349" s="132"/>
      <c r="G349" s="133"/>
      <c r="H349" s="133"/>
      <c r="I349" s="133"/>
      <c r="J349" s="133"/>
      <c r="K349" s="133"/>
      <c r="L349" s="133"/>
      <c r="M349" s="133"/>
      <c r="N349" s="132"/>
      <c r="P349" s="197"/>
      <c r="S349" s="218"/>
      <c r="T349" s="218"/>
      <c r="U349" s="247"/>
    </row>
    <row r="350" spans="1:21" s="137" customFormat="1" ht="18.75" customHeight="1" x14ac:dyDescent="0.25">
      <c r="A350" s="109"/>
      <c r="B350" s="110" t="s">
        <v>410</v>
      </c>
      <c r="C350" s="110"/>
      <c r="D350" s="110"/>
      <c r="E350" s="150" t="s">
        <v>411</v>
      </c>
      <c r="F350" s="135">
        <f>+F351+F357+F368+F374</f>
        <v>0</v>
      </c>
      <c r="G350" s="113">
        <f>G351+G357+G368+G374</f>
        <v>0</v>
      </c>
      <c r="H350" s="113">
        <f>+H351+H357+H368+H374</f>
        <v>0</v>
      </c>
      <c r="I350" s="136">
        <f>+G350+H350</f>
        <v>0</v>
      </c>
      <c r="J350" s="113">
        <f>J351+J357+J368+J374</f>
        <v>0</v>
      </c>
      <c r="K350" s="113">
        <f>+K352</f>
        <v>0</v>
      </c>
      <c r="L350" s="136">
        <f t="shared" ref="L350:L364" si="217">+J350+K350</f>
        <v>0</v>
      </c>
      <c r="M350" s="136">
        <f t="shared" ref="M350:M364" si="218">+I350+L350</f>
        <v>0</v>
      </c>
      <c r="N350" s="135">
        <f t="shared" ref="N350:N355" si="219">+F350-M350</f>
        <v>0</v>
      </c>
      <c r="P350" s="198"/>
      <c r="R350" s="138"/>
      <c r="S350" s="219"/>
      <c r="T350" s="219"/>
      <c r="U350" s="248"/>
    </row>
    <row r="351" spans="1:21" s="121" customFormat="1" ht="32.25" customHeight="1" x14ac:dyDescent="0.25">
      <c r="A351" s="154">
        <v>21</v>
      </c>
      <c r="B351" s="155"/>
      <c r="C351" s="155" t="s">
        <v>280</v>
      </c>
      <c r="D351" s="156"/>
      <c r="E351" s="164" t="s">
        <v>279</v>
      </c>
      <c r="F351" s="158">
        <f t="shared" ref="F351:H355" si="220">+F352</f>
        <v>0</v>
      </c>
      <c r="G351" s="159">
        <f t="shared" si="220"/>
        <v>0</v>
      </c>
      <c r="H351" s="159">
        <f>+H352</f>
        <v>0</v>
      </c>
      <c r="I351" s="159">
        <f>+G351+H351</f>
        <v>0</v>
      </c>
      <c r="J351" s="159">
        <f>+J352</f>
        <v>0</v>
      </c>
      <c r="K351" s="159">
        <f>+K352</f>
        <v>0</v>
      </c>
      <c r="L351" s="159">
        <f t="shared" si="217"/>
        <v>0</v>
      </c>
      <c r="M351" s="159">
        <f>+I351+L351</f>
        <v>0</v>
      </c>
      <c r="N351" s="158">
        <f>+F351-M351</f>
        <v>0</v>
      </c>
      <c r="P351" s="190"/>
      <c r="R351" s="122"/>
      <c r="S351" s="216"/>
      <c r="T351" s="216"/>
      <c r="U351" s="246"/>
    </row>
    <row r="352" spans="1:21" s="107" customFormat="1" ht="18" customHeight="1" x14ac:dyDescent="0.25">
      <c r="A352" s="101"/>
      <c r="B352" s="102"/>
      <c r="C352" s="102"/>
      <c r="D352" s="103" t="s">
        <v>207</v>
      </c>
      <c r="E352" s="104" t="s">
        <v>262</v>
      </c>
      <c r="F352" s="105">
        <f t="shared" si="220"/>
        <v>0</v>
      </c>
      <c r="G352" s="106">
        <f t="shared" si="220"/>
        <v>0</v>
      </c>
      <c r="H352" s="106">
        <f t="shared" si="220"/>
        <v>0</v>
      </c>
      <c r="I352" s="106">
        <f t="shared" ref="I352:I367" si="221">+G352+H352</f>
        <v>0</v>
      </c>
      <c r="J352" s="106">
        <f>+J353</f>
        <v>0</v>
      </c>
      <c r="K352" s="106">
        <f>+K353</f>
        <v>0</v>
      </c>
      <c r="L352" s="106">
        <f t="shared" si="217"/>
        <v>0</v>
      </c>
      <c r="M352" s="106">
        <f t="shared" si="218"/>
        <v>0</v>
      </c>
      <c r="N352" s="105">
        <f t="shared" si="219"/>
        <v>0</v>
      </c>
      <c r="P352" s="191"/>
      <c r="R352" s="108"/>
      <c r="S352" s="217"/>
      <c r="T352" s="217"/>
      <c r="U352" s="241"/>
    </row>
    <row r="353" spans="1:21" s="67" customFormat="1" ht="18" customHeight="1" x14ac:dyDescent="0.25">
      <c r="A353" s="88"/>
      <c r="B353" s="45"/>
      <c r="C353" s="45"/>
      <c r="D353" s="45" t="s">
        <v>281</v>
      </c>
      <c r="E353" s="45" t="s">
        <v>282</v>
      </c>
      <c r="F353" s="47">
        <f t="shared" si="220"/>
        <v>0</v>
      </c>
      <c r="G353" s="48">
        <f t="shared" si="220"/>
        <v>0</v>
      </c>
      <c r="H353" s="48">
        <f t="shared" si="220"/>
        <v>0</v>
      </c>
      <c r="I353" s="48">
        <f>+G353+H353</f>
        <v>0</v>
      </c>
      <c r="J353" s="48">
        <f>+J354+J363</f>
        <v>0</v>
      </c>
      <c r="K353" s="48">
        <f>+K354+K363</f>
        <v>0</v>
      </c>
      <c r="L353" s="48">
        <f t="shared" si="217"/>
        <v>0</v>
      </c>
      <c r="M353" s="48">
        <f>+I353+L353</f>
        <v>0</v>
      </c>
      <c r="N353" s="95">
        <f t="shared" si="219"/>
        <v>0</v>
      </c>
      <c r="P353" s="192"/>
      <c r="S353" s="205"/>
      <c r="T353" s="205"/>
      <c r="U353" s="249"/>
    </row>
    <row r="354" spans="1:21" s="55" customFormat="1" ht="18" customHeight="1" x14ac:dyDescent="0.25">
      <c r="A354" s="50"/>
      <c r="B354" s="51"/>
      <c r="C354" s="51"/>
      <c r="D354" s="51" t="s">
        <v>283</v>
      </c>
      <c r="E354" s="52" t="s">
        <v>284</v>
      </c>
      <c r="F354" s="53">
        <f t="shared" si="220"/>
        <v>0</v>
      </c>
      <c r="G354" s="54">
        <f t="shared" si="220"/>
        <v>0</v>
      </c>
      <c r="H354" s="54">
        <f t="shared" si="220"/>
        <v>0</v>
      </c>
      <c r="I354" s="54">
        <f t="shared" si="221"/>
        <v>0</v>
      </c>
      <c r="J354" s="54">
        <f>+J355</f>
        <v>0</v>
      </c>
      <c r="K354" s="54">
        <f>+K355</f>
        <v>0</v>
      </c>
      <c r="L354" s="54">
        <f t="shared" si="217"/>
        <v>0</v>
      </c>
      <c r="M354" s="54">
        <f t="shared" si="218"/>
        <v>0</v>
      </c>
      <c r="N354" s="53">
        <f t="shared" si="219"/>
        <v>0</v>
      </c>
      <c r="P354" s="195"/>
      <c r="S354" s="206"/>
      <c r="T354" s="206"/>
      <c r="U354" s="243"/>
    </row>
    <row r="355" spans="1:21" s="49" customFormat="1" ht="31.5" customHeight="1" x14ac:dyDescent="0.25">
      <c r="A355" s="56"/>
      <c r="B355" s="57"/>
      <c r="C355" s="57"/>
      <c r="D355" s="57" t="s">
        <v>412</v>
      </c>
      <c r="E355" s="96" t="s">
        <v>413</v>
      </c>
      <c r="F355" s="58">
        <f t="shared" si="220"/>
        <v>0</v>
      </c>
      <c r="G355" s="59">
        <f t="shared" si="220"/>
        <v>0</v>
      </c>
      <c r="H355" s="59">
        <f t="shared" si="220"/>
        <v>0</v>
      </c>
      <c r="I355" s="59">
        <f t="shared" si="221"/>
        <v>0</v>
      </c>
      <c r="J355" s="59">
        <f>+J356</f>
        <v>0</v>
      </c>
      <c r="K355" s="59">
        <f>+K356</f>
        <v>0</v>
      </c>
      <c r="L355" s="59">
        <f t="shared" si="217"/>
        <v>0</v>
      </c>
      <c r="M355" s="59">
        <f t="shared" si="218"/>
        <v>0</v>
      </c>
      <c r="N355" s="58">
        <f t="shared" si="219"/>
        <v>0</v>
      </c>
      <c r="P355" s="192"/>
      <c r="S355" s="205"/>
      <c r="T355" s="205"/>
      <c r="U355" s="242"/>
    </row>
    <row r="356" spans="1:21" s="153" customFormat="1" ht="33.75" customHeight="1" x14ac:dyDescent="0.25">
      <c r="A356" s="123"/>
      <c r="B356" s="124"/>
      <c r="C356" s="124"/>
      <c r="D356" s="124" t="s">
        <v>414</v>
      </c>
      <c r="E356" s="139" t="s">
        <v>413</v>
      </c>
      <c r="F356" s="125"/>
      <c r="G356" s="126"/>
      <c r="H356" s="126"/>
      <c r="I356" s="126">
        <f t="shared" si="221"/>
        <v>0</v>
      </c>
      <c r="J356" s="140"/>
      <c r="K356" s="126"/>
      <c r="L356" s="126">
        <f t="shared" si="217"/>
        <v>0</v>
      </c>
      <c r="M356" s="126">
        <f t="shared" si="218"/>
        <v>0</v>
      </c>
      <c r="N356" s="125">
        <f>+F356-M356</f>
        <v>0</v>
      </c>
      <c r="P356" s="200"/>
      <c r="S356" s="221"/>
      <c r="T356" s="221"/>
      <c r="U356" s="254"/>
    </row>
    <row r="357" spans="1:21" s="121" customFormat="1" ht="18" customHeight="1" x14ac:dyDescent="0.25">
      <c r="A357" s="116">
        <v>22</v>
      </c>
      <c r="B357" s="117"/>
      <c r="C357" s="117" t="s">
        <v>285</v>
      </c>
      <c r="D357" s="118"/>
      <c r="E357" s="128" t="s">
        <v>286</v>
      </c>
      <c r="F357" s="119">
        <f>+F358</f>
        <v>0</v>
      </c>
      <c r="G357" s="120">
        <f t="shared" ref="G357:H358" si="222">+G358</f>
        <v>0</v>
      </c>
      <c r="H357" s="120">
        <f>+H358</f>
        <v>0</v>
      </c>
      <c r="I357" s="120">
        <f t="shared" si="221"/>
        <v>0</v>
      </c>
      <c r="J357" s="120">
        <f t="shared" ref="J357:K358" si="223">+J358</f>
        <v>0</v>
      </c>
      <c r="K357" s="120">
        <f t="shared" si="223"/>
        <v>0</v>
      </c>
      <c r="L357" s="120">
        <f t="shared" si="217"/>
        <v>0</v>
      </c>
      <c r="M357" s="120">
        <f>+I357+L357</f>
        <v>0</v>
      </c>
      <c r="N357" s="119">
        <f>+F357-M357</f>
        <v>0</v>
      </c>
      <c r="P357" s="190"/>
      <c r="R357" s="122"/>
      <c r="S357" s="216"/>
      <c r="T357" s="216"/>
      <c r="U357" s="246"/>
    </row>
    <row r="358" spans="1:21" s="107" customFormat="1" ht="18" customHeight="1" x14ac:dyDescent="0.25">
      <c r="A358" s="101"/>
      <c r="B358" s="102"/>
      <c r="C358" s="102"/>
      <c r="D358" s="103" t="s">
        <v>287</v>
      </c>
      <c r="E358" s="104" t="s">
        <v>288</v>
      </c>
      <c r="F358" s="105">
        <f>+F359</f>
        <v>0</v>
      </c>
      <c r="G358" s="106">
        <f t="shared" si="222"/>
        <v>0</v>
      </c>
      <c r="H358" s="106">
        <f t="shared" si="222"/>
        <v>0</v>
      </c>
      <c r="I358" s="106">
        <f t="shared" si="221"/>
        <v>0</v>
      </c>
      <c r="J358" s="106">
        <f t="shared" si="223"/>
        <v>0</v>
      </c>
      <c r="K358" s="106">
        <f t="shared" si="223"/>
        <v>0</v>
      </c>
      <c r="L358" s="106">
        <f t="shared" si="217"/>
        <v>0</v>
      </c>
      <c r="M358" s="106">
        <f t="shared" ref="M358" si="224">+I358+L358</f>
        <v>0</v>
      </c>
      <c r="N358" s="105">
        <f t="shared" ref="N358:N366" si="225">+F358-M358</f>
        <v>0</v>
      </c>
      <c r="P358" s="191"/>
      <c r="R358" s="108"/>
      <c r="S358" s="217"/>
      <c r="T358" s="217"/>
      <c r="U358" s="241"/>
    </row>
    <row r="359" spans="1:21" s="67" customFormat="1" ht="18" customHeight="1" x14ac:dyDescent="0.25">
      <c r="A359" s="88"/>
      <c r="B359" s="45"/>
      <c r="C359" s="45"/>
      <c r="D359" s="45" t="s">
        <v>289</v>
      </c>
      <c r="E359" s="45" t="s">
        <v>290</v>
      </c>
      <c r="F359" s="47">
        <f>+F363+F360</f>
        <v>0</v>
      </c>
      <c r="G359" s="48">
        <f>+G363+G360</f>
        <v>0</v>
      </c>
      <c r="H359" s="48">
        <f>+H363+H360</f>
        <v>0</v>
      </c>
      <c r="I359" s="48">
        <f t="shared" si="221"/>
        <v>0</v>
      </c>
      <c r="J359" s="48">
        <f>+J363+J360</f>
        <v>0</v>
      </c>
      <c r="K359" s="48">
        <f>+K363+K360</f>
        <v>0</v>
      </c>
      <c r="L359" s="48">
        <f>+J359+K359</f>
        <v>0</v>
      </c>
      <c r="M359" s="48">
        <f>+I359+L359</f>
        <v>0</v>
      </c>
      <c r="N359" s="95">
        <f t="shared" si="225"/>
        <v>0</v>
      </c>
      <c r="P359" s="192"/>
      <c r="S359" s="205"/>
      <c r="T359" s="205"/>
      <c r="U359" s="249"/>
    </row>
    <row r="360" spans="1:21" s="55" customFormat="1" ht="18" customHeight="1" x14ac:dyDescent="0.25">
      <c r="A360" s="176"/>
      <c r="B360" s="177"/>
      <c r="C360" s="177"/>
      <c r="D360" s="177" t="s">
        <v>291</v>
      </c>
      <c r="E360" s="178" t="s">
        <v>292</v>
      </c>
      <c r="F360" s="179">
        <f t="shared" ref="F360:H361" si="226">+F361</f>
        <v>0</v>
      </c>
      <c r="G360" s="180">
        <f t="shared" si="226"/>
        <v>0</v>
      </c>
      <c r="H360" s="180">
        <f t="shared" si="226"/>
        <v>0</v>
      </c>
      <c r="I360" s="180">
        <f t="shared" si="221"/>
        <v>0</v>
      </c>
      <c r="J360" s="180">
        <f>+J361</f>
        <v>0</v>
      </c>
      <c r="K360" s="180">
        <f>+K361</f>
        <v>0</v>
      </c>
      <c r="L360" s="180">
        <f>+J360+K360</f>
        <v>0</v>
      </c>
      <c r="M360" s="180">
        <f>+I360+L360</f>
        <v>0</v>
      </c>
      <c r="N360" s="179">
        <f t="shared" si="225"/>
        <v>0</v>
      </c>
      <c r="P360" s="195"/>
      <c r="S360" s="206"/>
      <c r="T360" s="206"/>
      <c r="U360" s="243"/>
    </row>
    <row r="361" spans="1:21" s="49" customFormat="1" ht="32.25" customHeight="1" x14ac:dyDescent="0.25">
      <c r="A361" s="181"/>
      <c r="B361" s="182"/>
      <c r="C361" s="182"/>
      <c r="D361" s="182" t="s">
        <v>293</v>
      </c>
      <c r="E361" s="183" t="s">
        <v>295</v>
      </c>
      <c r="F361" s="184">
        <f t="shared" si="226"/>
        <v>0</v>
      </c>
      <c r="G361" s="185">
        <f t="shared" si="226"/>
        <v>0</v>
      </c>
      <c r="H361" s="185">
        <f t="shared" si="226"/>
        <v>0</v>
      </c>
      <c r="I361" s="185">
        <f t="shared" si="221"/>
        <v>0</v>
      </c>
      <c r="J361" s="185">
        <f>+J362</f>
        <v>0</v>
      </c>
      <c r="K361" s="185">
        <f>+K362</f>
        <v>0</v>
      </c>
      <c r="L361" s="185">
        <f>+J361+K361</f>
        <v>0</v>
      </c>
      <c r="M361" s="185">
        <f>+I361+L361</f>
        <v>0</v>
      </c>
      <c r="N361" s="184">
        <f t="shared" si="225"/>
        <v>0</v>
      </c>
      <c r="P361" s="192"/>
      <c r="S361" s="205"/>
      <c r="T361" s="205"/>
      <c r="U361" s="242"/>
    </row>
    <row r="362" spans="1:21" s="65" customFormat="1" ht="29.25" customHeight="1" x14ac:dyDescent="0.25">
      <c r="A362" s="171"/>
      <c r="B362" s="162"/>
      <c r="C362" s="162"/>
      <c r="D362" s="162" t="s">
        <v>294</v>
      </c>
      <c r="E362" s="172" t="s">
        <v>295</v>
      </c>
      <c r="F362" s="173"/>
      <c r="G362" s="186"/>
      <c r="H362" s="186"/>
      <c r="I362" s="186">
        <f t="shared" si="221"/>
        <v>0</v>
      </c>
      <c r="J362" s="163"/>
      <c r="K362" s="186"/>
      <c r="L362" s="186">
        <f>+J362+K362</f>
        <v>0</v>
      </c>
      <c r="M362" s="186">
        <f>+I362+L362</f>
        <v>0</v>
      </c>
      <c r="N362" s="187">
        <f t="shared" si="225"/>
        <v>0</v>
      </c>
      <c r="P362" s="194"/>
      <c r="S362" s="214"/>
      <c r="T362" s="214"/>
      <c r="U362" s="244"/>
    </row>
    <row r="363" spans="1:21" s="55" customFormat="1" ht="18" customHeight="1" x14ac:dyDescent="0.25">
      <c r="A363" s="50"/>
      <c r="B363" s="51"/>
      <c r="C363" s="51"/>
      <c r="D363" s="51" t="s">
        <v>296</v>
      </c>
      <c r="E363" s="52" t="s">
        <v>298</v>
      </c>
      <c r="F363" s="53">
        <f>+F364+F366</f>
        <v>0</v>
      </c>
      <c r="G363" s="54">
        <f>+G364+G366</f>
        <v>0</v>
      </c>
      <c r="H363" s="54">
        <f>+H364+H366</f>
        <v>0</v>
      </c>
      <c r="I363" s="54">
        <f t="shared" si="221"/>
        <v>0</v>
      </c>
      <c r="J363" s="54">
        <f>+J364+J366</f>
        <v>0</v>
      </c>
      <c r="K363" s="54">
        <f>+K364+K366</f>
        <v>0</v>
      </c>
      <c r="L363" s="54">
        <f t="shared" si="217"/>
        <v>0</v>
      </c>
      <c r="M363" s="54">
        <f t="shared" si="218"/>
        <v>0</v>
      </c>
      <c r="N363" s="53">
        <f t="shared" si="225"/>
        <v>0</v>
      </c>
      <c r="P363" s="195"/>
      <c r="S363" s="206"/>
      <c r="T363" s="206"/>
      <c r="U363" s="243"/>
    </row>
    <row r="364" spans="1:21" s="49" customFormat="1" ht="32.25" customHeight="1" x14ac:dyDescent="0.25">
      <c r="A364" s="56"/>
      <c r="B364" s="57"/>
      <c r="C364" s="57"/>
      <c r="D364" s="57" t="s">
        <v>297</v>
      </c>
      <c r="E364" s="96" t="s">
        <v>300</v>
      </c>
      <c r="F364" s="58">
        <f>F365</f>
        <v>0</v>
      </c>
      <c r="G364" s="59">
        <f>+G365</f>
        <v>0</v>
      </c>
      <c r="H364" s="59">
        <f>+H365</f>
        <v>0</v>
      </c>
      <c r="I364" s="60">
        <f t="shared" si="221"/>
        <v>0</v>
      </c>
      <c r="J364" s="59">
        <f>+J365</f>
        <v>0</v>
      </c>
      <c r="K364" s="59">
        <f>+K365</f>
        <v>0</v>
      </c>
      <c r="L364" s="60">
        <f t="shared" si="217"/>
        <v>0</v>
      </c>
      <c r="M364" s="59">
        <f t="shared" si="218"/>
        <v>0</v>
      </c>
      <c r="N364" s="58">
        <f t="shared" si="225"/>
        <v>0</v>
      </c>
      <c r="P364" s="192"/>
      <c r="S364" s="205"/>
      <c r="T364" s="205"/>
      <c r="U364" s="242"/>
    </row>
    <row r="365" spans="1:21" s="65" customFormat="1" ht="29.25" customHeight="1" x14ac:dyDescent="0.25">
      <c r="A365" s="61"/>
      <c r="B365" s="62"/>
      <c r="C365" s="62"/>
      <c r="D365" s="62" t="s">
        <v>299</v>
      </c>
      <c r="E365" s="76" t="s">
        <v>300</v>
      </c>
      <c r="F365" s="63"/>
      <c r="G365" s="64"/>
      <c r="H365" s="64"/>
      <c r="I365" s="64">
        <f t="shared" si="221"/>
        <v>0</v>
      </c>
      <c r="J365" s="75"/>
      <c r="K365" s="64"/>
      <c r="L365" s="64">
        <f>J365+K365</f>
        <v>0</v>
      </c>
      <c r="M365" s="64">
        <f>+I365+L365</f>
        <v>0</v>
      </c>
      <c r="N365" s="97">
        <f t="shared" si="225"/>
        <v>0</v>
      </c>
      <c r="P365" s="194"/>
      <c r="S365" s="213"/>
      <c r="T365" s="213"/>
      <c r="U365" s="244"/>
    </row>
    <row r="366" spans="1:21" s="49" customFormat="1" ht="32.25" customHeight="1" x14ac:dyDescent="0.25">
      <c r="A366" s="56"/>
      <c r="B366" s="57"/>
      <c r="C366" s="57"/>
      <c r="D366" s="57" t="s">
        <v>301</v>
      </c>
      <c r="E366" s="96" t="s">
        <v>303</v>
      </c>
      <c r="F366" s="58">
        <f>F367</f>
        <v>0</v>
      </c>
      <c r="G366" s="59">
        <f>+G367</f>
        <v>0</v>
      </c>
      <c r="H366" s="60">
        <f>+H367</f>
        <v>0</v>
      </c>
      <c r="I366" s="60">
        <f>+G366+H366</f>
        <v>0</v>
      </c>
      <c r="J366" s="59">
        <f>+J367</f>
        <v>0</v>
      </c>
      <c r="K366" s="59">
        <f>+K367</f>
        <v>0</v>
      </c>
      <c r="L366" s="59">
        <f>+J366+K366</f>
        <v>0</v>
      </c>
      <c r="M366" s="59">
        <f t="shared" ref="M366" si="227">+I366+L366</f>
        <v>0</v>
      </c>
      <c r="N366" s="58">
        <f t="shared" si="225"/>
        <v>0</v>
      </c>
      <c r="P366" s="192"/>
      <c r="S366" s="222"/>
      <c r="T366" s="222"/>
      <c r="U366" s="242"/>
    </row>
    <row r="367" spans="1:21" s="127" customFormat="1" ht="29.25" customHeight="1" x14ac:dyDescent="0.25">
      <c r="A367" s="123"/>
      <c r="B367" s="124"/>
      <c r="C367" s="124"/>
      <c r="D367" s="124" t="s">
        <v>302</v>
      </c>
      <c r="E367" s="139" t="s">
        <v>303</v>
      </c>
      <c r="F367" s="125"/>
      <c r="G367" s="126"/>
      <c r="H367" s="126"/>
      <c r="I367" s="126">
        <f t="shared" si="221"/>
        <v>0</v>
      </c>
      <c r="J367" s="140"/>
      <c r="K367" s="126"/>
      <c r="L367" s="126">
        <f>J367+K367</f>
        <v>0</v>
      </c>
      <c r="M367" s="126">
        <f>+I367+L367</f>
        <v>0</v>
      </c>
      <c r="N367" s="97">
        <f>+F367-M367</f>
        <v>0</v>
      </c>
      <c r="P367" s="196"/>
      <c r="S367" s="223"/>
      <c r="T367" s="223"/>
      <c r="U367" s="245"/>
    </row>
    <row r="368" spans="1:21" s="121" customFormat="1" ht="18" customHeight="1" x14ac:dyDescent="0.25">
      <c r="A368" s="116">
        <v>23</v>
      </c>
      <c r="B368" s="117"/>
      <c r="C368" s="117" t="s">
        <v>304</v>
      </c>
      <c r="D368" s="118"/>
      <c r="E368" s="128" t="s">
        <v>305</v>
      </c>
      <c r="F368" s="119">
        <f t="shared" ref="F368:H371" si="228">+F369</f>
        <v>0</v>
      </c>
      <c r="G368" s="120">
        <f t="shared" si="228"/>
        <v>0</v>
      </c>
      <c r="H368" s="120">
        <f t="shared" si="228"/>
        <v>0</v>
      </c>
      <c r="I368" s="120">
        <f>+G368+H368</f>
        <v>0</v>
      </c>
      <c r="J368" s="120">
        <f t="shared" ref="J368:K372" si="229">+J369</f>
        <v>0</v>
      </c>
      <c r="K368" s="120">
        <f t="shared" si="229"/>
        <v>0</v>
      </c>
      <c r="L368" s="120">
        <f>+J368+K368</f>
        <v>0</v>
      </c>
      <c r="M368" s="120">
        <f>+I368+L368</f>
        <v>0</v>
      </c>
      <c r="N368" s="119">
        <f>+F368-M368</f>
        <v>0</v>
      </c>
      <c r="P368" s="190"/>
      <c r="R368" s="122"/>
      <c r="S368" s="224"/>
      <c r="T368" s="224"/>
      <c r="U368" s="246"/>
    </row>
    <row r="369" spans="1:21" s="107" customFormat="1" ht="18" customHeight="1" x14ac:dyDescent="0.25">
      <c r="A369" s="101"/>
      <c r="B369" s="102"/>
      <c r="C369" s="102"/>
      <c r="D369" s="103" t="s">
        <v>306</v>
      </c>
      <c r="E369" s="104" t="s">
        <v>307</v>
      </c>
      <c r="F369" s="105">
        <f t="shared" si="228"/>
        <v>0</v>
      </c>
      <c r="G369" s="106">
        <f t="shared" si="228"/>
        <v>0</v>
      </c>
      <c r="H369" s="106">
        <f t="shared" si="228"/>
        <v>0</v>
      </c>
      <c r="I369" s="106">
        <f>+G369+H369</f>
        <v>0</v>
      </c>
      <c r="J369" s="106">
        <f t="shared" si="229"/>
        <v>0</v>
      </c>
      <c r="K369" s="106">
        <f t="shared" si="229"/>
        <v>0</v>
      </c>
      <c r="L369" s="106">
        <f>+J369+K369</f>
        <v>0</v>
      </c>
      <c r="M369" s="106">
        <f t="shared" ref="M369:M372" si="230">+I369+L369</f>
        <v>0</v>
      </c>
      <c r="N369" s="105">
        <f t="shared" ref="N369:N372" si="231">+F369-M369</f>
        <v>0</v>
      </c>
      <c r="P369" s="191"/>
      <c r="R369" s="108"/>
      <c r="S369" s="210"/>
      <c r="T369" s="210"/>
      <c r="U369" s="241"/>
    </row>
    <row r="370" spans="1:21" s="67" customFormat="1" ht="18" customHeight="1" x14ac:dyDescent="0.25">
      <c r="A370" s="88"/>
      <c r="B370" s="45"/>
      <c r="C370" s="45"/>
      <c r="D370" s="45" t="s">
        <v>308</v>
      </c>
      <c r="E370" s="45" t="s">
        <v>307</v>
      </c>
      <c r="F370" s="47">
        <f t="shared" si="228"/>
        <v>0</v>
      </c>
      <c r="G370" s="48">
        <f t="shared" si="228"/>
        <v>0</v>
      </c>
      <c r="H370" s="48">
        <f t="shared" si="228"/>
        <v>0</v>
      </c>
      <c r="I370" s="48">
        <f>+G370+H370</f>
        <v>0</v>
      </c>
      <c r="J370" s="48">
        <f t="shared" si="229"/>
        <v>0</v>
      </c>
      <c r="K370" s="48">
        <f t="shared" si="229"/>
        <v>0</v>
      </c>
      <c r="L370" s="48">
        <f>+J370+K370</f>
        <v>0</v>
      </c>
      <c r="M370" s="48">
        <f t="shared" si="230"/>
        <v>0</v>
      </c>
      <c r="N370" s="95">
        <f t="shared" si="231"/>
        <v>0</v>
      </c>
      <c r="P370" s="192"/>
      <c r="S370" s="225"/>
      <c r="T370" s="225"/>
      <c r="U370" s="249"/>
    </row>
    <row r="371" spans="1:21" s="55" customFormat="1" ht="18" customHeight="1" x14ac:dyDescent="0.25">
      <c r="A371" s="50"/>
      <c r="B371" s="51"/>
      <c r="C371" s="51"/>
      <c r="D371" s="51" t="s">
        <v>309</v>
      </c>
      <c r="E371" s="52" t="s">
        <v>307</v>
      </c>
      <c r="F371" s="53">
        <f t="shared" si="228"/>
        <v>0</v>
      </c>
      <c r="G371" s="54">
        <f t="shared" si="228"/>
        <v>0</v>
      </c>
      <c r="H371" s="54">
        <f t="shared" si="228"/>
        <v>0</v>
      </c>
      <c r="I371" s="54">
        <f>+G371+H371</f>
        <v>0</v>
      </c>
      <c r="J371" s="54">
        <f t="shared" si="229"/>
        <v>0</v>
      </c>
      <c r="K371" s="54">
        <f t="shared" si="229"/>
        <v>0</v>
      </c>
      <c r="L371" s="54">
        <f>+J371+K371</f>
        <v>0</v>
      </c>
      <c r="M371" s="54">
        <f t="shared" si="230"/>
        <v>0</v>
      </c>
      <c r="N371" s="53">
        <f t="shared" si="231"/>
        <v>0</v>
      </c>
      <c r="P371" s="195"/>
      <c r="S371" s="212"/>
      <c r="T371" s="212"/>
      <c r="U371" s="243"/>
    </row>
    <row r="372" spans="1:21" s="49" customFormat="1" ht="17.25" customHeight="1" x14ac:dyDescent="0.25">
      <c r="A372" s="56"/>
      <c r="B372" s="57"/>
      <c r="C372" s="57"/>
      <c r="D372" s="57" t="s">
        <v>310</v>
      </c>
      <c r="E372" s="96" t="s">
        <v>307</v>
      </c>
      <c r="F372" s="58">
        <f>F373</f>
        <v>0</v>
      </c>
      <c r="G372" s="59">
        <f>+G373</f>
        <v>0</v>
      </c>
      <c r="H372" s="59">
        <f>+H373</f>
        <v>0</v>
      </c>
      <c r="I372" s="60">
        <f>+G372+H372</f>
        <v>0</v>
      </c>
      <c r="J372" s="59">
        <f t="shared" si="229"/>
        <v>0</v>
      </c>
      <c r="K372" s="59">
        <f t="shared" si="229"/>
        <v>0</v>
      </c>
      <c r="L372" s="60">
        <f>+J372+K372</f>
        <v>0</v>
      </c>
      <c r="M372" s="59">
        <f t="shared" si="230"/>
        <v>0</v>
      </c>
      <c r="N372" s="58">
        <f t="shared" si="231"/>
        <v>0</v>
      </c>
      <c r="P372" s="192"/>
      <c r="S372" s="222"/>
      <c r="T372" s="222"/>
      <c r="U372" s="242"/>
    </row>
    <row r="373" spans="1:21" s="127" customFormat="1" ht="20.25" customHeight="1" x14ac:dyDescent="0.25">
      <c r="A373" s="123"/>
      <c r="B373" s="124"/>
      <c r="C373" s="124"/>
      <c r="D373" s="124" t="s">
        <v>311</v>
      </c>
      <c r="E373" s="139" t="s">
        <v>307</v>
      </c>
      <c r="F373" s="125"/>
      <c r="G373" s="126"/>
      <c r="H373" s="126"/>
      <c r="I373" s="126">
        <f t="shared" ref="I373:I382" si="232">+G373+H373</f>
        <v>0</v>
      </c>
      <c r="J373" s="140"/>
      <c r="K373" s="126"/>
      <c r="L373" s="126">
        <f>J373+K373</f>
        <v>0</v>
      </c>
      <c r="M373" s="126">
        <f>+I373+L373</f>
        <v>0</v>
      </c>
      <c r="N373" s="97">
        <f>+F373-M373</f>
        <v>0</v>
      </c>
      <c r="P373" s="196"/>
      <c r="S373" s="223"/>
      <c r="T373" s="223"/>
      <c r="U373" s="245"/>
    </row>
    <row r="374" spans="1:21" s="121" customFormat="1" ht="18" customHeight="1" x14ac:dyDescent="0.25">
      <c r="A374" s="116">
        <v>24</v>
      </c>
      <c r="B374" s="117"/>
      <c r="C374" s="117" t="s">
        <v>320</v>
      </c>
      <c r="D374" s="118"/>
      <c r="E374" s="128" t="s">
        <v>312</v>
      </c>
      <c r="F374" s="119">
        <f t="shared" ref="F374:H375" si="233">+F375</f>
        <v>0</v>
      </c>
      <c r="G374" s="120">
        <f t="shared" si="233"/>
        <v>0</v>
      </c>
      <c r="H374" s="120">
        <f t="shared" si="233"/>
        <v>0</v>
      </c>
      <c r="I374" s="120">
        <f t="shared" si="232"/>
        <v>0</v>
      </c>
      <c r="J374" s="120">
        <f>+J375</f>
        <v>0</v>
      </c>
      <c r="K374" s="120">
        <f>+K375</f>
        <v>0</v>
      </c>
      <c r="L374" s="120">
        <f>+J374+K374</f>
        <v>0</v>
      </c>
      <c r="M374" s="120">
        <f>+I374+L374</f>
        <v>0</v>
      </c>
      <c r="N374" s="119">
        <f>+F374-M374</f>
        <v>0</v>
      </c>
      <c r="P374" s="190"/>
      <c r="R374" s="122"/>
      <c r="S374" s="224"/>
      <c r="T374" s="224"/>
      <c r="U374" s="246"/>
    </row>
    <row r="375" spans="1:21" s="107" customFormat="1" ht="18" customHeight="1" x14ac:dyDescent="0.25">
      <c r="A375" s="101"/>
      <c r="B375" s="102"/>
      <c r="C375" s="102"/>
      <c r="D375" s="103" t="s">
        <v>287</v>
      </c>
      <c r="E375" s="104" t="s">
        <v>288</v>
      </c>
      <c r="F375" s="105">
        <f t="shared" si="233"/>
        <v>0</v>
      </c>
      <c r="G375" s="106">
        <f t="shared" si="233"/>
        <v>0</v>
      </c>
      <c r="H375" s="106">
        <f t="shared" si="233"/>
        <v>0</v>
      </c>
      <c r="I375" s="106">
        <f t="shared" si="232"/>
        <v>0</v>
      </c>
      <c r="J375" s="106">
        <f>+J376</f>
        <v>0</v>
      </c>
      <c r="K375" s="106">
        <f>+K376</f>
        <v>0</v>
      </c>
      <c r="L375" s="106">
        <f>+J375+K375</f>
        <v>0</v>
      </c>
      <c r="M375" s="106">
        <f t="shared" ref="M375:M378" si="234">+I375+L375</f>
        <v>0</v>
      </c>
      <c r="N375" s="105">
        <f t="shared" ref="N375:N378" si="235">+F375-M375</f>
        <v>0</v>
      </c>
      <c r="P375" s="191"/>
      <c r="R375" s="108"/>
      <c r="S375" s="210"/>
      <c r="T375" s="210"/>
      <c r="U375" s="241"/>
    </row>
    <row r="376" spans="1:21" s="67" customFormat="1" ht="18" customHeight="1" x14ac:dyDescent="0.25">
      <c r="A376" s="88"/>
      <c r="B376" s="45"/>
      <c r="C376" s="45"/>
      <c r="D376" s="45" t="s">
        <v>313</v>
      </c>
      <c r="E376" s="45" t="s">
        <v>415</v>
      </c>
      <c r="F376" s="47">
        <f>+F377+F380</f>
        <v>0</v>
      </c>
      <c r="G376" s="48">
        <f>+G377+G380</f>
        <v>0</v>
      </c>
      <c r="H376" s="48">
        <f>+H377+H380</f>
        <v>0</v>
      </c>
      <c r="I376" s="48">
        <f t="shared" si="232"/>
        <v>0</v>
      </c>
      <c r="J376" s="48">
        <f>+J377+J380</f>
        <v>0</v>
      </c>
      <c r="K376" s="48">
        <f>+K377+K380</f>
        <v>0</v>
      </c>
      <c r="L376" s="48">
        <f>+J376+K376</f>
        <v>0</v>
      </c>
      <c r="M376" s="48">
        <f t="shared" si="234"/>
        <v>0</v>
      </c>
      <c r="N376" s="95">
        <f t="shared" si="235"/>
        <v>0</v>
      </c>
      <c r="P376" s="192"/>
      <c r="S376" s="225"/>
      <c r="T376" s="225"/>
      <c r="U376" s="249"/>
    </row>
    <row r="377" spans="1:21" s="55" customFormat="1" ht="31.5" customHeight="1" x14ac:dyDescent="0.25">
      <c r="A377" s="50"/>
      <c r="B377" s="51"/>
      <c r="C377" s="51"/>
      <c r="D377" s="51" t="s">
        <v>314</v>
      </c>
      <c r="E377" s="98" t="s">
        <v>416</v>
      </c>
      <c r="F377" s="53">
        <f>+F378</f>
        <v>0</v>
      </c>
      <c r="G377" s="54">
        <f>+G378</f>
        <v>0</v>
      </c>
      <c r="H377" s="54">
        <f>+H378</f>
        <v>0</v>
      </c>
      <c r="I377" s="54">
        <f t="shared" si="232"/>
        <v>0</v>
      </c>
      <c r="J377" s="54">
        <f>+J378</f>
        <v>0</v>
      </c>
      <c r="K377" s="54">
        <f>+K378</f>
        <v>0</v>
      </c>
      <c r="L377" s="54">
        <f>+J377+K377</f>
        <v>0</v>
      </c>
      <c r="M377" s="54">
        <f t="shared" si="234"/>
        <v>0</v>
      </c>
      <c r="N377" s="53">
        <f t="shared" si="235"/>
        <v>0</v>
      </c>
      <c r="P377" s="195"/>
      <c r="S377" s="212"/>
      <c r="T377" s="212"/>
      <c r="U377" s="243"/>
    </row>
    <row r="378" spans="1:21" s="49" customFormat="1" ht="17.25" customHeight="1" x14ac:dyDescent="0.25">
      <c r="A378" s="56"/>
      <c r="B378" s="57"/>
      <c r="C378" s="57"/>
      <c r="D378" s="57" t="s">
        <v>315</v>
      </c>
      <c r="E378" s="96" t="s">
        <v>417</v>
      </c>
      <c r="F378" s="58">
        <f>F379</f>
        <v>0</v>
      </c>
      <c r="G378" s="59">
        <f>+G379</f>
        <v>0</v>
      </c>
      <c r="H378" s="59">
        <f>+H379</f>
        <v>0</v>
      </c>
      <c r="I378" s="60">
        <f t="shared" si="232"/>
        <v>0</v>
      </c>
      <c r="J378" s="59">
        <f>+J379</f>
        <v>0</v>
      </c>
      <c r="K378" s="59">
        <f>+K379</f>
        <v>0</v>
      </c>
      <c r="L378" s="60">
        <f>+J378+K378</f>
        <v>0</v>
      </c>
      <c r="M378" s="59">
        <f t="shared" si="234"/>
        <v>0</v>
      </c>
      <c r="N378" s="58">
        <f t="shared" si="235"/>
        <v>0</v>
      </c>
      <c r="P378" s="192"/>
      <c r="S378" s="222"/>
      <c r="T378" s="222"/>
      <c r="U378" s="242"/>
    </row>
    <row r="379" spans="1:21" s="65" customFormat="1" ht="20.25" customHeight="1" x14ac:dyDescent="0.25">
      <c r="A379" s="61"/>
      <c r="B379" s="62"/>
      <c r="C379" s="62"/>
      <c r="D379" s="62" t="s">
        <v>316</v>
      </c>
      <c r="E379" s="76" t="s">
        <v>417</v>
      </c>
      <c r="F379" s="63"/>
      <c r="G379" s="64"/>
      <c r="H379" s="64"/>
      <c r="I379" s="64">
        <f t="shared" si="232"/>
        <v>0</v>
      </c>
      <c r="J379" s="75"/>
      <c r="K379" s="64"/>
      <c r="L379" s="64">
        <f>J379+K379</f>
        <v>0</v>
      </c>
      <c r="M379" s="64">
        <f>+I379+L379</f>
        <v>0</v>
      </c>
      <c r="N379" s="97">
        <f>+F379-M379</f>
        <v>0</v>
      </c>
      <c r="P379" s="194"/>
      <c r="S379" s="213"/>
      <c r="T379" s="255"/>
      <c r="U379" s="244"/>
    </row>
    <row r="380" spans="1:21" s="55" customFormat="1" ht="20.25" customHeight="1" x14ac:dyDescent="0.25">
      <c r="A380" s="50"/>
      <c r="B380" s="51"/>
      <c r="C380" s="51"/>
      <c r="D380" s="51" t="s">
        <v>317</v>
      </c>
      <c r="E380" s="98" t="s">
        <v>418</v>
      </c>
      <c r="F380" s="53">
        <f>+F381</f>
        <v>0</v>
      </c>
      <c r="G380" s="54">
        <f>+G381</f>
        <v>0</v>
      </c>
      <c r="H380" s="54">
        <f>+H381</f>
        <v>0</v>
      </c>
      <c r="I380" s="54">
        <f t="shared" si="232"/>
        <v>0</v>
      </c>
      <c r="J380" s="54">
        <f>+J381</f>
        <v>0</v>
      </c>
      <c r="K380" s="54">
        <f>+K381</f>
        <v>0</v>
      </c>
      <c r="L380" s="54">
        <f>+J380+K380</f>
        <v>0</v>
      </c>
      <c r="M380" s="54">
        <f t="shared" ref="M380:M381" si="236">+I380+L380</f>
        <v>0</v>
      </c>
      <c r="N380" s="53">
        <f t="shared" ref="N380:N381" si="237">+F380-M380</f>
        <v>0</v>
      </c>
      <c r="P380" s="195"/>
      <c r="S380" s="212"/>
      <c r="T380" s="212"/>
      <c r="U380" s="243"/>
    </row>
    <row r="381" spans="1:21" s="49" customFormat="1" ht="17.25" customHeight="1" x14ac:dyDescent="0.25">
      <c r="A381" s="56"/>
      <c r="B381" s="57"/>
      <c r="C381" s="57"/>
      <c r="D381" s="57" t="s">
        <v>318</v>
      </c>
      <c r="E381" s="96" t="s">
        <v>418</v>
      </c>
      <c r="F381" s="58">
        <f>F382</f>
        <v>0</v>
      </c>
      <c r="G381" s="59">
        <f>+G382</f>
        <v>0</v>
      </c>
      <c r="H381" s="59">
        <f>+H382</f>
        <v>0</v>
      </c>
      <c r="I381" s="60">
        <f t="shared" si="232"/>
        <v>0</v>
      </c>
      <c r="J381" s="59">
        <f>+J382</f>
        <v>0</v>
      </c>
      <c r="K381" s="59">
        <f>+K382</f>
        <v>0</v>
      </c>
      <c r="L381" s="60">
        <f>+J381+K381</f>
        <v>0</v>
      </c>
      <c r="M381" s="59">
        <f t="shared" si="236"/>
        <v>0</v>
      </c>
      <c r="N381" s="58">
        <f t="shared" si="237"/>
        <v>0</v>
      </c>
      <c r="P381" s="192"/>
      <c r="S381" s="222"/>
      <c r="T381" s="222"/>
      <c r="U381" s="242"/>
    </row>
    <row r="382" spans="1:21" s="5" customFormat="1" ht="20.25" customHeight="1" x14ac:dyDescent="0.25">
      <c r="A382" s="10"/>
      <c r="B382" s="11"/>
      <c r="C382" s="11"/>
      <c r="D382" s="11" t="s">
        <v>319</v>
      </c>
      <c r="E382" s="19" t="s">
        <v>418</v>
      </c>
      <c r="F382" s="12"/>
      <c r="G382" s="13"/>
      <c r="H382" s="13"/>
      <c r="I382" s="13">
        <f t="shared" si="232"/>
        <v>0</v>
      </c>
      <c r="J382" s="16"/>
      <c r="K382" s="13"/>
      <c r="L382" s="13">
        <f>J382+K382</f>
        <v>0</v>
      </c>
      <c r="M382" s="13">
        <f>+I382+L382</f>
        <v>0</v>
      </c>
      <c r="N382" s="17">
        <f>+F382-M382</f>
        <v>0</v>
      </c>
      <c r="P382" s="201"/>
      <c r="S382" s="226"/>
      <c r="T382" s="226"/>
      <c r="U382" s="256"/>
    </row>
    <row r="383" spans="1:21" ht="18" customHeight="1" x14ac:dyDescent="0.25">
      <c r="A383" s="9"/>
      <c r="B383" s="18"/>
      <c r="C383" s="18"/>
      <c r="D383" s="18"/>
      <c r="E383" s="18"/>
      <c r="F383" s="14"/>
      <c r="G383" s="15"/>
      <c r="H383" s="15"/>
      <c r="I383" s="15"/>
      <c r="J383" s="15"/>
      <c r="K383" s="15"/>
      <c r="L383" s="15"/>
      <c r="M383" s="15"/>
      <c r="N383" s="14"/>
      <c r="U383" s="257"/>
    </row>
    <row r="384" spans="1:21" ht="18" customHeight="1" x14ac:dyDescent="0.25">
      <c r="A384" s="8"/>
      <c r="B384" s="20"/>
      <c r="C384" s="20"/>
      <c r="D384" s="20"/>
      <c r="E384" s="20" t="s">
        <v>41</v>
      </c>
      <c r="F384" s="21"/>
      <c r="G384" s="21"/>
      <c r="H384" s="21"/>
      <c r="I384" s="21"/>
      <c r="J384" s="21"/>
      <c r="K384" s="21"/>
      <c r="L384" s="21"/>
      <c r="M384" s="21"/>
      <c r="N384" s="22"/>
      <c r="U384" s="257"/>
    </row>
    <row r="385" spans="1:21" s="32" customFormat="1" ht="18" customHeight="1" x14ac:dyDescent="0.25">
      <c r="A385" s="28"/>
      <c r="B385" s="29"/>
      <c r="C385" s="29"/>
      <c r="D385" s="29"/>
      <c r="E385" s="29" t="s">
        <v>21</v>
      </c>
      <c r="F385" s="30"/>
      <c r="G385" s="30" t="e">
        <f>+G17</f>
        <v>#REF!</v>
      </c>
      <c r="H385" s="30" t="e">
        <f>+H17</f>
        <v>#REF!</v>
      </c>
      <c r="I385" s="30" t="e">
        <f>+I17</f>
        <v>#REF!</v>
      </c>
      <c r="J385" s="30" t="e">
        <f>+J17</f>
        <v>#REF!</v>
      </c>
      <c r="K385" s="30" t="e">
        <f>+K17</f>
        <v>#REF!</v>
      </c>
      <c r="L385" s="30" t="e">
        <f t="shared" ref="L385:L390" si="238">+J385+K385</f>
        <v>#REF!</v>
      </c>
      <c r="M385" s="30" t="e">
        <f>+I385+L385</f>
        <v>#REF!</v>
      </c>
      <c r="N385" s="31"/>
      <c r="P385" s="202"/>
      <c r="S385" s="227"/>
      <c r="T385" s="227"/>
      <c r="U385" s="258"/>
    </row>
    <row r="386" spans="1:21" s="32" customFormat="1" ht="18" customHeight="1" x14ac:dyDescent="0.25">
      <c r="A386" s="28"/>
      <c r="B386" s="29"/>
      <c r="C386" s="29"/>
      <c r="D386" s="29"/>
      <c r="E386" s="29" t="s">
        <v>42</v>
      </c>
      <c r="F386" s="30"/>
      <c r="G386" s="30">
        <f>+SUM(G387:G400)</f>
        <v>0</v>
      </c>
      <c r="H386" s="30">
        <f>+SUM(H387:H400)</f>
        <v>0</v>
      </c>
      <c r="I386" s="30">
        <f>+G386+H386</f>
        <v>0</v>
      </c>
      <c r="J386" s="30">
        <f>+SUM(J387:J400)</f>
        <v>0</v>
      </c>
      <c r="K386" s="30">
        <f>+SUM(K387:K400)</f>
        <v>0</v>
      </c>
      <c r="L386" s="30">
        <f>+J386+K386</f>
        <v>0</v>
      </c>
      <c r="M386" s="33">
        <f>+I386+L386</f>
        <v>0</v>
      </c>
      <c r="N386" s="31"/>
      <c r="P386" s="202" t="e">
        <f>+M385+M386</f>
        <v>#REF!</v>
      </c>
      <c r="S386" s="227"/>
      <c r="T386" s="227"/>
      <c r="U386" s="258"/>
    </row>
    <row r="387" spans="1:21" ht="18" customHeight="1" x14ac:dyDescent="0.25">
      <c r="A387" s="8"/>
      <c r="B387" s="20"/>
      <c r="C387" s="20"/>
      <c r="D387" s="20"/>
      <c r="E387" s="23" t="s">
        <v>24</v>
      </c>
      <c r="F387" s="21"/>
      <c r="G387" s="21"/>
      <c r="H387" s="35"/>
      <c r="I387" s="21">
        <f>+G387+H387</f>
        <v>0</v>
      </c>
      <c r="J387" s="21"/>
      <c r="K387" s="35"/>
      <c r="L387" s="21">
        <f t="shared" si="238"/>
        <v>0</v>
      </c>
      <c r="M387" s="21">
        <f t="shared" ref="M387:M390" si="239">+I387+L387</f>
        <v>0</v>
      </c>
      <c r="N387" s="22"/>
      <c r="U387" s="257"/>
    </row>
    <row r="388" spans="1:21" ht="18" customHeight="1" x14ac:dyDescent="0.25">
      <c r="A388" s="8"/>
      <c r="B388" s="20"/>
      <c r="C388" s="20"/>
      <c r="D388" s="20"/>
      <c r="E388" s="23" t="s">
        <v>22</v>
      </c>
      <c r="F388" s="21"/>
      <c r="G388" s="21"/>
      <c r="H388" s="35"/>
      <c r="I388" s="21">
        <f>+G388+H388</f>
        <v>0</v>
      </c>
      <c r="J388" s="21"/>
      <c r="K388" s="35"/>
      <c r="L388" s="21">
        <f t="shared" si="238"/>
        <v>0</v>
      </c>
      <c r="M388" s="21">
        <f t="shared" si="239"/>
        <v>0</v>
      </c>
      <c r="N388" s="22"/>
      <c r="U388" s="257"/>
    </row>
    <row r="389" spans="1:21" ht="18" customHeight="1" x14ac:dyDescent="0.25">
      <c r="A389" s="4"/>
      <c r="B389" s="233"/>
      <c r="C389" s="233"/>
      <c r="D389" s="233"/>
      <c r="E389" s="234" t="s">
        <v>25</v>
      </c>
      <c r="F389" s="235"/>
      <c r="G389" s="235"/>
      <c r="H389" s="236"/>
      <c r="I389" s="235">
        <f>+G389+H389</f>
        <v>0</v>
      </c>
      <c r="J389" s="235"/>
      <c r="K389" s="236"/>
      <c r="L389" s="235">
        <f t="shared" si="238"/>
        <v>0</v>
      </c>
      <c r="M389" s="235">
        <f t="shared" si="239"/>
        <v>0</v>
      </c>
      <c r="N389" s="237"/>
      <c r="Q389" s="3"/>
      <c r="U389" s="257"/>
    </row>
    <row r="390" spans="1:21" ht="18" customHeight="1" x14ac:dyDescent="0.25">
      <c r="A390" s="8"/>
      <c r="B390" s="20"/>
      <c r="C390" s="20"/>
      <c r="D390" s="20"/>
      <c r="E390" s="23" t="s">
        <v>26</v>
      </c>
      <c r="F390" s="21"/>
      <c r="G390" s="21"/>
      <c r="H390" s="35"/>
      <c r="I390" s="21">
        <f>+G390+H390</f>
        <v>0</v>
      </c>
      <c r="J390" s="21"/>
      <c r="K390" s="35"/>
      <c r="L390" s="21">
        <f t="shared" si="238"/>
        <v>0</v>
      </c>
      <c r="M390" s="21">
        <f t="shared" si="239"/>
        <v>0</v>
      </c>
      <c r="N390" s="22"/>
      <c r="U390" s="257"/>
    </row>
    <row r="391" spans="1:21" ht="18" customHeight="1" x14ac:dyDescent="0.25">
      <c r="A391" s="8"/>
      <c r="B391" s="20"/>
      <c r="C391" s="20"/>
      <c r="D391" s="20"/>
      <c r="E391" s="23" t="s">
        <v>40</v>
      </c>
      <c r="F391" s="21"/>
      <c r="G391" s="21"/>
      <c r="H391" s="35"/>
      <c r="I391" s="21"/>
      <c r="J391" s="21"/>
      <c r="K391" s="35"/>
      <c r="L391" s="21"/>
      <c r="M391" s="21"/>
      <c r="N391" s="22"/>
      <c r="U391" s="257"/>
    </row>
    <row r="392" spans="1:21" ht="18" customHeight="1" x14ac:dyDescent="0.25">
      <c r="A392" s="8"/>
      <c r="B392" s="20"/>
      <c r="C392" s="20"/>
      <c r="D392" s="20"/>
      <c r="E392" s="23" t="s">
        <v>321</v>
      </c>
      <c r="F392" s="21"/>
      <c r="G392" s="21"/>
      <c r="H392" s="35"/>
      <c r="I392" s="21">
        <f>+G392+H392</f>
        <v>0</v>
      </c>
      <c r="J392" s="21"/>
      <c r="K392" s="35"/>
      <c r="L392" s="21">
        <f>+J392+K392</f>
        <v>0</v>
      </c>
      <c r="M392" s="21">
        <f>+I392+L392</f>
        <v>0</v>
      </c>
      <c r="N392" s="22"/>
      <c r="U392" s="257"/>
    </row>
    <row r="393" spans="1:21" ht="18" customHeight="1" x14ac:dyDescent="0.25">
      <c r="A393" s="8"/>
      <c r="B393" s="20"/>
      <c r="C393" s="20"/>
      <c r="D393" s="20"/>
      <c r="E393" s="23" t="s">
        <v>322</v>
      </c>
      <c r="F393" s="21"/>
      <c r="G393" s="21"/>
      <c r="H393" s="35"/>
      <c r="I393" s="21">
        <f t="shared" ref="I393:I399" si="240">+G393+H393</f>
        <v>0</v>
      </c>
      <c r="J393" s="21"/>
      <c r="K393" s="35"/>
      <c r="L393" s="21">
        <f>+J393+K393</f>
        <v>0</v>
      </c>
      <c r="M393" s="21">
        <f t="shared" ref="M393:M399" si="241">+I393+L393</f>
        <v>0</v>
      </c>
      <c r="N393" s="22"/>
      <c r="U393" s="257"/>
    </row>
    <row r="394" spans="1:21" ht="18" customHeight="1" x14ac:dyDescent="0.25">
      <c r="A394" s="8"/>
      <c r="B394" s="20"/>
      <c r="C394" s="20"/>
      <c r="D394" s="20"/>
      <c r="E394" s="23" t="s">
        <v>323</v>
      </c>
      <c r="F394" s="21"/>
      <c r="G394" s="21"/>
      <c r="H394" s="35"/>
      <c r="I394" s="21">
        <f t="shared" si="240"/>
        <v>0</v>
      </c>
      <c r="J394" s="21"/>
      <c r="K394" s="35"/>
      <c r="L394" s="21"/>
      <c r="M394" s="21">
        <f t="shared" si="241"/>
        <v>0</v>
      </c>
      <c r="N394" s="22"/>
      <c r="U394" s="257"/>
    </row>
    <row r="395" spans="1:21" ht="18" customHeight="1" x14ac:dyDescent="0.25">
      <c r="A395" s="8"/>
      <c r="B395" s="20"/>
      <c r="C395" s="20"/>
      <c r="D395" s="20"/>
      <c r="E395" s="23" t="s">
        <v>324</v>
      </c>
      <c r="F395" s="21"/>
      <c r="G395" s="21"/>
      <c r="H395" s="35"/>
      <c r="I395" s="21">
        <f t="shared" si="240"/>
        <v>0</v>
      </c>
      <c r="J395" s="21"/>
      <c r="K395" s="35"/>
      <c r="L395" s="21"/>
      <c r="M395" s="21">
        <f t="shared" si="241"/>
        <v>0</v>
      </c>
      <c r="N395" s="22"/>
      <c r="U395" s="257"/>
    </row>
    <row r="396" spans="1:21" ht="18" customHeight="1" x14ac:dyDescent="0.25">
      <c r="A396" s="8"/>
      <c r="B396" s="20"/>
      <c r="C396" s="20"/>
      <c r="D396" s="20"/>
      <c r="E396" s="23" t="s">
        <v>325</v>
      </c>
      <c r="F396" s="21"/>
      <c r="G396" s="21"/>
      <c r="H396" s="35"/>
      <c r="I396" s="21">
        <f t="shared" si="240"/>
        <v>0</v>
      </c>
      <c r="J396" s="21"/>
      <c r="K396" s="35"/>
      <c r="L396" s="21"/>
      <c r="M396" s="21">
        <f t="shared" si="241"/>
        <v>0</v>
      </c>
      <c r="N396" s="22"/>
      <c r="U396" s="257"/>
    </row>
    <row r="397" spans="1:21" ht="18" customHeight="1" x14ac:dyDescent="0.25">
      <c r="A397" s="8"/>
      <c r="B397" s="20"/>
      <c r="C397" s="20"/>
      <c r="D397" s="20"/>
      <c r="E397" s="23" t="s">
        <v>326</v>
      </c>
      <c r="F397" s="21"/>
      <c r="G397" s="21"/>
      <c r="H397" s="35"/>
      <c r="I397" s="21">
        <f t="shared" si="240"/>
        <v>0</v>
      </c>
      <c r="J397" s="21"/>
      <c r="K397" s="35"/>
      <c r="L397" s="21"/>
      <c r="M397" s="21">
        <f t="shared" si="241"/>
        <v>0</v>
      </c>
      <c r="N397" s="22"/>
      <c r="U397" s="257"/>
    </row>
    <row r="398" spans="1:21" ht="18" customHeight="1" x14ac:dyDescent="0.25">
      <c r="A398" s="4"/>
      <c r="B398" s="233"/>
      <c r="C398" s="233"/>
      <c r="D398" s="233"/>
      <c r="E398" s="234" t="s">
        <v>327</v>
      </c>
      <c r="F398" s="235"/>
      <c r="G398" s="235"/>
      <c r="H398" s="236"/>
      <c r="I398" s="235"/>
      <c r="J398" s="235"/>
      <c r="K398" s="236"/>
      <c r="L398" s="235">
        <f>+J398+K398</f>
        <v>0</v>
      </c>
      <c r="M398" s="235">
        <f t="shared" si="241"/>
        <v>0</v>
      </c>
      <c r="N398" s="237"/>
      <c r="U398" s="257"/>
    </row>
    <row r="399" spans="1:21" ht="18" customHeight="1" x14ac:dyDescent="0.25">
      <c r="A399" s="8"/>
      <c r="B399" s="20"/>
      <c r="C399" s="20"/>
      <c r="D399" s="20"/>
      <c r="E399" s="23" t="s">
        <v>426</v>
      </c>
      <c r="F399" s="21"/>
      <c r="G399" s="21"/>
      <c r="H399" s="35"/>
      <c r="I399" s="21">
        <f t="shared" si="240"/>
        <v>0</v>
      </c>
      <c r="J399" s="21"/>
      <c r="K399" s="35"/>
      <c r="L399" s="21"/>
      <c r="M399" s="21">
        <f t="shared" si="241"/>
        <v>0</v>
      </c>
      <c r="N399" s="22"/>
      <c r="U399" s="257"/>
    </row>
    <row r="400" spans="1:21" ht="18" customHeight="1" x14ac:dyDescent="0.25">
      <c r="A400" s="8"/>
      <c r="B400" s="20"/>
      <c r="C400" s="20"/>
      <c r="D400" s="20"/>
      <c r="E400" s="20" t="s">
        <v>23</v>
      </c>
      <c r="F400" s="21"/>
      <c r="G400" s="21"/>
      <c r="H400" s="21"/>
      <c r="I400" s="21"/>
      <c r="J400" s="21"/>
      <c r="K400" s="21"/>
      <c r="L400" s="21"/>
      <c r="M400" s="21"/>
      <c r="N400" s="22"/>
      <c r="U400" s="257"/>
    </row>
    <row r="401" spans="1:21" ht="18" customHeight="1" x14ac:dyDescent="0.25">
      <c r="A401" s="8"/>
      <c r="B401" s="20"/>
      <c r="C401" s="20"/>
      <c r="D401" s="20"/>
      <c r="E401" s="24" t="s">
        <v>27</v>
      </c>
      <c r="F401" s="15"/>
      <c r="G401" s="25"/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14"/>
      <c r="Q401" s="3"/>
      <c r="U401" s="257"/>
    </row>
    <row r="402" spans="1:21" ht="18" customHeight="1" x14ac:dyDescent="0.25">
      <c r="A402" s="8"/>
      <c r="B402" s="20"/>
      <c r="C402" s="20"/>
      <c r="D402" s="20"/>
      <c r="E402" s="20"/>
      <c r="F402" s="21"/>
      <c r="G402" s="21"/>
      <c r="H402" s="21"/>
      <c r="I402" s="21"/>
      <c r="J402" s="21"/>
      <c r="K402" s="21"/>
      <c r="L402" s="21"/>
      <c r="M402" s="21"/>
      <c r="N402" s="22"/>
      <c r="U402" s="257"/>
    </row>
    <row r="403" spans="1:21" ht="18" customHeight="1" x14ac:dyDescent="0.25">
      <c r="A403" s="8"/>
      <c r="B403" s="20"/>
      <c r="C403" s="20"/>
      <c r="D403" s="20"/>
      <c r="E403" s="20" t="s">
        <v>328</v>
      </c>
      <c r="F403" s="21"/>
      <c r="G403" s="21"/>
      <c r="H403" s="21"/>
      <c r="I403" s="21"/>
      <c r="J403" s="21"/>
      <c r="K403" s="21"/>
      <c r="L403" s="21"/>
      <c r="M403" s="21"/>
      <c r="N403" s="22"/>
      <c r="U403" s="257"/>
    </row>
    <row r="404" spans="1:21" s="32" customFormat="1" ht="18" customHeight="1" x14ac:dyDescent="0.25">
      <c r="A404" s="28"/>
      <c r="B404" s="29"/>
      <c r="C404" s="29"/>
      <c r="D404" s="29"/>
      <c r="E404" s="29" t="s">
        <v>21</v>
      </c>
      <c r="F404" s="30"/>
      <c r="G404" s="30" t="e">
        <f>+G385</f>
        <v>#REF!</v>
      </c>
      <c r="H404" s="33" t="e">
        <f>+H385</f>
        <v>#REF!</v>
      </c>
      <c r="I404" s="30" t="e">
        <f t="shared" ref="I404:L404" si="242">+I385</f>
        <v>#REF!</v>
      </c>
      <c r="J404" s="30" t="e">
        <f t="shared" si="242"/>
        <v>#REF!</v>
      </c>
      <c r="K404" s="30" t="e">
        <f t="shared" si="242"/>
        <v>#REF!</v>
      </c>
      <c r="L404" s="30" t="e">
        <f t="shared" si="242"/>
        <v>#REF!</v>
      </c>
      <c r="M404" s="30" t="e">
        <f>+M385</f>
        <v>#REF!</v>
      </c>
      <c r="N404" s="31"/>
      <c r="O404" s="34"/>
      <c r="P404" s="202"/>
      <c r="S404" s="227"/>
      <c r="T404" s="227"/>
      <c r="U404" s="258"/>
    </row>
    <row r="405" spans="1:21" s="32" customFormat="1" ht="18" customHeight="1" x14ac:dyDescent="0.25">
      <c r="A405" s="28"/>
      <c r="B405" s="29"/>
      <c r="C405" s="29"/>
      <c r="D405" s="29"/>
      <c r="E405" s="29" t="s">
        <v>42</v>
      </c>
      <c r="F405" s="30"/>
      <c r="G405" s="30">
        <f>+SUM(G406:G419)</f>
        <v>0</v>
      </c>
      <c r="H405" s="30">
        <f>+SUM(H406:H419)</f>
        <v>0</v>
      </c>
      <c r="I405" s="30">
        <f>+G405+H405</f>
        <v>0</v>
      </c>
      <c r="J405" s="30">
        <f>+SUM(J406:J419)</f>
        <v>0</v>
      </c>
      <c r="K405" s="30">
        <f>+SUM(K406:K419)</f>
        <v>0</v>
      </c>
      <c r="L405" s="30">
        <f>+J405+K405</f>
        <v>0</v>
      </c>
      <c r="M405" s="33">
        <f>+I405+L405</f>
        <v>0</v>
      </c>
      <c r="N405" s="31"/>
      <c r="P405" s="202"/>
      <c r="S405" s="227"/>
      <c r="T405" s="227"/>
      <c r="U405" s="258"/>
    </row>
    <row r="406" spans="1:21" ht="18" customHeight="1" x14ac:dyDescent="0.25">
      <c r="A406" s="8"/>
      <c r="B406" s="20"/>
      <c r="C406" s="20"/>
      <c r="D406" s="20"/>
      <c r="E406" s="23" t="s">
        <v>24</v>
      </c>
      <c r="F406" s="21"/>
      <c r="G406" s="21"/>
      <c r="H406" s="35"/>
      <c r="I406" s="21">
        <f>+G406+H406</f>
        <v>0</v>
      </c>
      <c r="J406" s="21"/>
      <c r="K406" s="35"/>
      <c r="L406" s="21">
        <f>+J406+K406</f>
        <v>0</v>
      </c>
      <c r="M406" s="21">
        <f>+I406+L406</f>
        <v>0</v>
      </c>
      <c r="N406" s="22"/>
      <c r="U406" s="257"/>
    </row>
    <row r="407" spans="1:21" ht="18" customHeight="1" x14ac:dyDescent="0.25">
      <c r="A407" s="8"/>
      <c r="B407" s="20"/>
      <c r="C407" s="20"/>
      <c r="D407" s="20"/>
      <c r="E407" s="23" t="s">
        <v>22</v>
      </c>
      <c r="F407" s="21"/>
      <c r="G407" s="21"/>
      <c r="H407" s="35"/>
      <c r="I407" s="21">
        <f>+G407+H407</f>
        <v>0</v>
      </c>
      <c r="J407" s="21"/>
      <c r="K407" s="35"/>
      <c r="L407" s="21">
        <f>+J407+K407</f>
        <v>0</v>
      </c>
      <c r="M407" s="21">
        <f>+I407+L407</f>
        <v>0</v>
      </c>
      <c r="N407" s="22"/>
      <c r="U407" s="257"/>
    </row>
    <row r="408" spans="1:21" ht="18" customHeight="1" x14ac:dyDescent="0.25">
      <c r="A408" s="8"/>
      <c r="B408" s="20"/>
      <c r="C408" s="20"/>
      <c r="D408" s="20"/>
      <c r="E408" s="23" t="s">
        <v>25</v>
      </c>
      <c r="F408" s="21"/>
      <c r="G408" s="21"/>
      <c r="H408" s="236"/>
      <c r="I408" s="21">
        <f>+G408+H408</f>
        <v>0</v>
      </c>
      <c r="J408" s="21"/>
      <c r="K408" s="236"/>
      <c r="L408" s="21">
        <f>+J408+K408</f>
        <v>0</v>
      </c>
      <c r="M408" s="21">
        <f>+I408+L408</f>
        <v>0</v>
      </c>
      <c r="N408" s="22"/>
      <c r="U408" s="257"/>
    </row>
    <row r="409" spans="1:21" ht="18" customHeight="1" x14ac:dyDescent="0.25">
      <c r="A409" s="8"/>
      <c r="B409" s="20"/>
      <c r="C409" s="20"/>
      <c r="D409" s="20"/>
      <c r="E409" s="23" t="s">
        <v>26</v>
      </c>
      <c r="F409" s="21"/>
      <c r="G409" s="21"/>
      <c r="H409" s="35"/>
      <c r="I409" s="21">
        <f>+G409+H409</f>
        <v>0</v>
      </c>
      <c r="J409" s="21"/>
      <c r="K409" s="35"/>
      <c r="L409" s="21">
        <f>+J409+K409</f>
        <v>0</v>
      </c>
      <c r="M409" s="21">
        <f>+I409+L409</f>
        <v>0</v>
      </c>
      <c r="N409" s="22"/>
      <c r="U409" s="257"/>
    </row>
    <row r="410" spans="1:21" ht="18" customHeight="1" x14ac:dyDescent="0.25">
      <c r="A410" s="8"/>
      <c r="B410" s="20"/>
      <c r="C410" s="20"/>
      <c r="D410" s="20"/>
      <c r="E410" s="23" t="s">
        <v>40</v>
      </c>
      <c r="F410" s="21"/>
      <c r="G410" s="21"/>
      <c r="H410" s="35"/>
      <c r="I410" s="21"/>
      <c r="J410" s="21"/>
      <c r="K410" s="35"/>
      <c r="L410" s="21"/>
      <c r="M410" s="21"/>
      <c r="N410" s="22"/>
      <c r="U410" s="257"/>
    </row>
    <row r="411" spans="1:21" ht="18" customHeight="1" x14ac:dyDescent="0.25">
      <c r="A411" s="8"/>
      <c r="B411" s="20"/>
      <c r="C411" s="20"/>
      <c r="D411" s="20"/>
      <c r="E411" s="23" t="s">
        <v>321</v>
      </c>
      <c r="F411" s="21"/>
      <c r="G411" s="21"/>
      <c r="H411" s="35"/>
      <c r="I411" s="21">
        <f>+G411+H411</f>
        <v>0</v>
      </c>
      <c r="J411" s="21"/>
      <c r="K411" s="35"/>
      <c r="L411" s="21">
        <f>+J411+K411</f>
        <v>0</v>
      </c>
      <c r="M411" s="21">
        <f t="shared" ref="M411:M418" si="243">+I411+L411</f>
        <v>0</v>
      </c>
      <c r="N411" s="22"/>
      <c r="U411" s="257"/>
    </row>
    <row r="412" spans="1:21" ht="18" customHeight="1" x14ac:dyDescent="0.25">
      <c r="A412" s="8"/>
      <c r="B412" s="20"/>
      <c r="C412" s="20"/>
      <c r="D412" s="20"/>
      <c r="E412" s="23" t="s">
        <v>322</v>
      </c>
      <c r="F412" s="21"/>
      <c r="G412" s="21"/>
      <c r="H412" s="35"/>
      <c r="I412" s="21">
        <f t="shared" ref="I412:I418" si="244">+G412+H412</f>
        <v>0</v>
      </c>
      <c r="J412" s="21"/>
      <c r="K412" s="35"/>
      <c r="L412" s="21"/>
      <c r="M412" s="21">
        <f t="shared" si="243"/>
        <v>0</v>
      </c>
      <c r="N412" s="22"/>
      <c r="U412" s="257"/>
    </row>
    <row r="413" spans="1:21" ht="18" customHeight="1" x14ac:dyDescent="0.25">
      <c r="A413" s="8"/>
      <c r="B413" s="20"/>
      <c r="C413" s="20"/>
      <c r="D413" s="20"/>
      <c r="E413" s="23" t="s">
        <v>323</v>
      </c>
      <c r="F413" s="21"/>
      <c r="G413" s="21"/>
      <c r="H413" s="35"/>
      <c r="I413" s="21">
        <f t="shared" si="244"/>
        <v>0</v>
      </c>
      <c r="J413" s="21"/>
      <c r="K413" s="35"/>
      <c r="L413" s="21"/>
      <c r="M413" s="21">
        <f t="shared" si="243"/>
        <v>0</v>
      </c>
      <c r="N413" s="22"/>
      <c r="U413" s="257"/>
    </row>
    <row r="414" spans="1:21" ht="18" customHeight="1" x14ac:dyDescent="0.25">
      <c r="A414" s="8"/>
      <c r="B414" s="20"/>
      <c r="C414" s="20"/>
      <c r="D414" s="20"/>
      <c r="E414" s="23" t="s">
        <v>324</v>
      </c>
      <c r="F414" s="21"/>
      <c r="G414" s="21"/>
      <c r="H414" s="35"/>
      <c r="I414" s="21">
        <f t="shared" si="244"/>
        <v>0</v>
      </c>
      <c r="J414" s="21"/>
      <c r="K414" s="35"/>
      <c r="L414" s="21"/>
      <c r="M414" s="21">
        <f t="shared" si="243"/>
        <v>0</v>
      </c>
      <c r="N414" s="22"/>
      <c r="U414" s="257"/>
    </row>
    <row r="415" spans="1:21" ht="18" customHeight="1" x14ac:dyDescent="0.25">
      <c r="A415" s="8"/>
      <c r="B415" s="20"/>
      <c r="C415" s="20"/>
      <c r="D415" s="20"/>
      <c r="E415" s="23" t="s">
        <v>325</v>
      </c>
      <c r="F415" s="21"/>
      <c r="G415" s="21"/>
      <c r="H415" s="35"/>
      <c r="I415" s="21">
        <f t="shared" si="244"/>
        <v>0</v>
      </c>
      <c r="J415" s="21"/>
      <c r="K415" s="35"/>
      <c r="L415" s="21"/>
      <c r="M415" s="21">
        <f t="shared" si="243"/>
        <v>0</v>
      </c>
      <c r="N415" s="22"/>
      <c r="U415" s="257"/>
    </row>
    <row r="416" spans="1:21" ht="18" customHeight="1" x14ac:dyDescent="0.25">
      <c r="A416" s="8"/>
      <c r="B416" s="20"/>
      <c r="C416" s="20"/>
      <c r="D416" s="20"/>
      <c r="E416" s="23" t="s">
        <v>326</v>
      </c>
      <c r="F416" s="21"/>
      <c r="G416" s="21"/>
      <c r="H416" s="35"/>
      <c r="I416" s="21">
        <f t="shared" si="244"/>
        <v>0</v>
      </c>
      <c r="J416" s="21"/>
      <c r="K416" s="35"/>
      <c r="L416" s="21"/>
      <c r="M416" s="21">
        <f t="shared" si="243"/>
        <v>0</v>
      </c>
      <c r="N416" s="22"/>
      <c r="U416" s="257"/>
    </row>
    <row r="417" spans="1:21" ht="18" customHeight="1" x14ac:dyDescent="0.25">
      <c r="A417" s="8"/>
      <c r="B417" s="20"/>
      <c r="C417" s="20"/>
      <c r="D417" s="20"/>
      <c r="E417" s="23" t="s">
        <v>327</v>
      </c>
      <c r="F417" s="21"/>
      <c r="G417" s="21"/>
      <c r="H417" s="236"/>
      <c r="I417" s="21"/>
      <c r="J417" s="21"/>
      <c r="K417" s="236"/>
      <c r="L417" s="21">
        <f>+J417+K417</f>
        <v>0</v>
      </c>
      <c r="M417" s="21">
        <f t="shared" si="243"/>
        <v>0</v>
      </c>
      <c r="N417" s="22"/>
      <c r="U417" s="257"/>
    </row>
    <row r="418" spans="1:21" ht="18" customHeight="1" x14ac:dyDescent="0.25">
      <c r="A418" s="8"/>
      <c r="B418" s="20"/>
      <c r="C418" s="20"/>
      <c r="D418" s="20"/>
      <c r="E418" s="23" t="s">
        <v>426</v>
      </c>
      <c r="F418" s="21"/>
      <c r="G418" s="21"/>
      <c r="H418" s="35"/>
      <c r="I418" s="21">
        <f t="shared" si="244"/>
        <v>0</v>
      </c>
      <c r="J418" s="21"/>
      <c r="K418" s="35"/>
      <c r="L418" s="21"/>
      <c r="M418" s="21">
        <f t="shared" si="243"/>
        <v>0</v>
      </c>
      <c r="N418" s="22"/>
      <c r="U418" s="257"/>
    </row>
    <row r="419" spans="1:21" ht="18" customHeight="1" x14ac:dyDescent="0.25">
      <c r="A419" s="8"/>
      <c r="B419" s="20"/>
      <c r="C419" s="20"/>
      <c r="D419" s="20"/>
      <c r="E419" s="20" t="s">
        <v>23</v>
      </c>
      <c r="F419" s="21"/>
      <c r="G419" s="21"/>
      <c r="H419" s="21"/>
      <c r="I419" s="21"/>
      <c r="J419" s="21"/>
      <c r="K419" s="21"/>
      <c r="L419" s="21"/>
      <c r="M419" s="21"/>
      <c r="N419" s="22"/>
      <c r="U419" s="257"/>
    </row>
    <row r="420" spans="1:21" ht="18" customHeight="1" x14ac:dyDescent="0.25">
      <c r="A420" s="8"/>
      <c r="B420" s="20"/>
      <c r="C420" s="20"/>
      <c r="D420" s="20"/>
      <c r="E420" s="24" t="s">
        <v>27</v>
      </c>
      <c r="F420" s="15"/>
      <c r="G420" s="25" t="s">
        <v>49</v>
      </c>
      <c r="H420" s="25" t="s">
        <v>49</v>
      </c>
      <c r="I420" s="25" t="s">
        <v>49</v>
      </c>
      <c r="J420" s="25" t="s">
        <v>49</v>
      </c>
      <c r="K420" s="25" t="s">
        <v>49</v>
      </c>
      <c r="L420" s="25" t="s">
        <v>49</v>
      </c>
      <c r="M420" s="25" t="s">
        <v>49</v>
      </c>
      <c r="N420" s="14"/>
      <c r="U420" s="257"/>
    </row>
    <row r="421" spans="1:21" ht="18" customHeight="1" x14ac:dyDescent="0.25">
      <c r="A421" s="8"/>
      <c r="B421" s="20"/>
      <c r="C421" s="20"/>
      <c r="D421" s="20"/>
      <c r="E421" s="20"/>
      <c r="F421" s="22"/>
      <c r="G421" s="22"/>
      <c r="H421" s="22"/>
      <c r="I421" s="22"/>
      <c r="J421" s="22"/>
      <c r="K421" s="22"/>
      <c r="L421" s="22"/>
      <c r="M421" s="22"/>
      <c r="N421" s="22"/>
      <c r="U421" s="257"/>
    </row>
    <row r="422" spans="1:21" ht="18" customHeight="1" x14ac:dyDescent="0.25">
      <c r="A422" s="26"/>
      <c r="B422" s="26"/>
      <c r="C422" s="26"/>
      <c r="D422" s="26"/>
      <c r="E422" s="24" t="s">
        <v>28</v>
      </c>
      <c r="F422" s="14"/>
      <c r="G422" s="14">
        <v>0</v>
      </c>
      <c r="H422" s="14">
        <v>0</v>
      </c>
      <c r="I422" s="14">
        <v>0</v>
      </c>
      <c r="J422" s="14">
        <v>0</v>
      </c>
      <c r="K422" s="14">
        <v>0</v>
      </c>
      <c r="L422" s="14">
        <v>0</v>
      </c>
      <c r="M422" s="14">
        <v>0</v>
      </c>
      <c r="N422" s="14"/>
      <c r="U422" s="257"/>
    </row>
    <row r="423" spans="1:21" ht="18" customHeight="1" x14ac:dyDescent="0.25">
      <c r="U423" s="257"/>
    </row>
    <row r="424" spans="1:21" ht="18" customHeight="1" x14ac:dyDescent="0.25">
      <c r="A424" s="490" t="s">
        <v>52</v>
      </c>
      <c r="B424" s="490"/>
      <c r="C424" s="490"/>
      <c r="D424" s="490"/>
      <c r="L424" s="492" t="s">
        <v>450</v>
      </c>
      <c r="M424" s="492"/>
      <c r="N424" s="492"/>
      <c r="U424" s="257"/>
    </row>
    <row r="425" spans="1:21" ht="18" customHeight="1" x14ac:dyDescent="0.25">
      <c r="A425" s="490" t="s">
        <v>59</v>
      </c>
      <c r="B425" s="490"/>
      <c r="C425" s="490"/>
      <c r="D425" s="490"/>
      <c r="U425" s="257"/>
    </row>
    <row r="426" spans="1:21" ht="18" customHeight="1" x14ac:dyDescent="0.25">
      <c r="A426" s="490" t="s">
        <v>60</v>
      </c>
      <c r="B426" s="490"/>
      <c r="C426" s="490"/>
      <c r="D426" s="490"/>
      <c r="E426" s="272" t="s">
        <v>38</v>
      </c>
      <c r="F426" s="491" t="s">
        <v>39</v>
      </c>
      <c r="G426" s="491"/>
      <c r="H426" s="491"/>
      <c r="I426" s="160"/>
      <c r="J426" s="160"/>
      <c r="K426" s="160"/>
      <c r="L426" s="491" t="s">
        <v>422</v>
      </c>
      <c r="M426" s="491"/>
      <c r="N426" s="491"/>
      <c r="U426" s="257"/>
    </row>
    <row r="427" spans="1:21" ht="18" customHeight="1" x14ac:dyDescent="0.25">
      <c r="A427" s="490" t="s">
        <v>53</v>
      </c>
      <c r="B427" s="490"/>
      <c r="C427" s="490"/>
      <c r="D427" s="490"/>
      <c r="E427" s="272" t="s">
        <v>330</v>
      </c>
      <c r="F427" s="491" t="s">
        <v>54</v>
      </c>
      <c r="G427" s="491"/>
      <c r="H427" s="491"/>
      <c r="I427" s="160"/>
      <c r="J427" s="160"/>
      <c r="K427" s="160"/>
      <c r="L427" s="491" t="s">
        <v>330</v>
      </c>
      <c r="M427" s="491"/>
      <c r="N427" s="491"/>
      <c r="U427" s="257"/>
    </row>
    <row r="428" spans="1:21" ht="18" customHeight="1" x14ac:dyDescent="0.25">
      <c r="A428" s="269"/>
      <c r="B428" s="7"/>
      <c r="C428" s="7"/>
      <c r="D428" s="7"/>
      <c r="E428" s="269"/>
      <c r="G428" s="273"/>
      <c r="H428" s="6"/>
      <c r="I428" s="6"/>
      <c r="K428" s="6"/>
      <c r="L428" s="6"/>
      <c r="M428" s="6"/>
      <c r="N428" s="6"/>
      <c r="U428" s="257"/>
    </row>
    <row r="429" spans="1:21" ht="18" customHeight="1" x14ac:dyDescent="0.25">
      <c r="A429" s="269"/>
      <c r="B429" s="7"/>
      <c r="C429" s="7"/>
      <c r="D429" s="7"/>
      <c r="E429" s="269"/>
      <c r="G429" s="6"/>
      <c r="H429" s="6"/>
      <c r="K429" s="6"/>
      <c r="L429" s="6"/>
      <c r="M429" s="6"/>
    </row>
    <row r="430" spans="1:21" ht="18" customHeight="1" x14ac:dyDescent="0.25">
      <c r="A430" s="27"/>
      <c r="B430" s="7"/>
      <c r="C430" s="7"/>
      <c r="D430" s="7"/>
      <c r="E430" s="269"/>
      <c r="G430" s="6"/>
      <c r="H430" s="6"/>
      <c r="K430" s="6"/>
      <c r="L430" s="6"/>
      <c r="M430" s="6"/>
    </row>
    <row r="431" spans="1:21" ht="18" customHeight="1" x14ac:dyDescent="0.25">
      <c r="A431" s="490" t="s">
        <v>56</v>
      </c>
      <c r="B431" s="490"/>
      <c r="C431" s="490"/>
      <c r="D431" s="490"/>
      <c r="E431" s="274" t="s">
        <v>421</v>
      </c>
      <c r="F431" s="492" t="s">
        <v>51</v>
      </c>
      <c r="G431" s="492"/>
      <c r="H431" s="492"/>
      <c r="I431" s="161"/>
      <c r="J431" s="161"/>
      <c r="K431" s="161"/>
      <c r="L431" s="492" t="s">
        <v>423</v>
      </c>
      <c r="M431" s="492"/>
      <c r="N431" s="492"/>
    </row>
    <row r="432" spans="1:21" ht="18" customHeight="1" x14ac:dyDescent="0.25">
      <c r="A432" s="490" t="s">
        <v>29</v>
      </c>
      <c r="B432" s="490"/>
      <c r="C432" s="490"/>
      <c r="D432" s="490"/>
      <c r="E432" s="274" t="s">
        <v>419</v>
      </c>
      <c r="F432" s="493" t="s">
        <v>58</v>
      </c>
      <c r="G432" s="493"/>
      <c r="H432" s="493"/>
      <c r="I432" s="161"/>
      <c r="J432" s="161"/>
      <c r="K432" s="161"/>
      <c r="L432" s="493" t="s">
        <v>425</v>
      </c>
      <c r="M432" s="493"/>
      <c r="N432" s="493"/>
    </row>
    <row r="433" spans="1:14" ht="18" customHeight="1" x14ac:dyDescent="0.25">
      <c r="A433" s="490" t="s">
        <v>57</v>
      </c>
      <c r="B433" s="490"/>
      <c r="C433" s="490"/>
      <c r="D433" s="490"/>
      <c r="E433" s="274" t="s">
        <v>420</v>
      </c>
      <c r="F433" s="492" t="s">
        <v>47</v>
      </c>
      <c r="G433" s="492"/>
      <c r="H433" s="492"/>
      <c r="I433" s="161"/>
      <c r="J433" s="161"/>
      <c r="K433" s="161"/>
      <c r="L433" s="492" t="s">
        <v>424</v>
      </c>
      <c r="M433" s="492"/>
      <c r="N433" s="492"/>
    </row>
  </sheetData>
  <mergeCells count="33">
    <mergeCell ref="A427:D427"/>
    <mergeCell ref="F427:H427"/>
    <mergeCell ref="L427:N427"/>
    <mergeCell ref="A433:D433"/>
    <mergeCell ref="F433:H433"/>
    <mergeCell ref="L433:N433"/>
    <mergeCell ref="A431:D431"/>
    <mergeCell ref="F431:H431"/>
    <mergeCell ref="L431:N431"/>
    <mergeCell ref="A432:D432"/>
    <mergeCell ref="F432:H432"/>
    <mergeCell ref="L432:N432"/>
    <mergeCell ref="B17:D17"/>
    <mergeCell ref="A425:D425"/>
    <mergeCell ref="A426:D426"/>
    <mergeCell ref="F426:H426"/>
    <mergeCell ref="L426:N426"/>
    <mergeCell ref="A424:D424"/>
    <mergeCell ref="L424:N424"/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</mergeCells>
  <printOptions horizontalCentered="1"/>
  <pageMargins left="0.19685039370078741" right="0.19685039370078741" top="0.39370078740157483" bottom="0.19685039370078741" header="0.31496062992125984" footer="0.31496062992125984"/>
  <pageSetup paperSize="300" scale="56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U434"/>
  <sheetViews>
    <sheetView showGridLines="0" view="pageBreakPreview" zoomScale="90" zoomScaleNormal="85" zoomScaleSheetLayoutView="90" workbookViewId="0">
      <pane xSplit="4" ySplit="16" topLeftCell="H426" activePane="bottomRight" state="frozen"/>
      <selection pane="topRight" activeCell="D1" sqref="D1"/>
      <selection pane="bottomLeft" activeCell="A17" sqref="A17"/>
      <selection pane="bottomRight" activeCell="J9" sqref="J9"/>
    </sheetView>
  </sheetViews>
  <sheetFormatPr defaultRowHeight="15" customHeight="1" x14ac:dyDescent="0.25"/>
  <cols>
    <col min="1" max="1" width="6" style="293" customWidth="1"/>
    <col min="2" max="2" width="11.5703125" style="293" customWidth="1"/>
    <col min="3" max="3" width="13.7109375" style="293" customWidth="1"/>
    <col min="4" max="4" width="15.85546875" style="293" customWidth="1"/>
    <col min="5" max="5" width="68.5703125" style="293" customWidth="1"/>
    <col min="6" max="6" width="18.140625" style="293" customWidth="1"/>
    <col min="7" max="7" width="16.85546875" style="293" customWidth="1"/>
    <col min="8" max="8" width="15.85546875" style="293" customWidth="1"/>
    <col min="9" max="9" width="18.7109375" style="293" customWidth="1"/>
    <col min="10" max="10" width="15" style="293" customWidth="1"/>
    <col min="11" max="11" width="14" style="293" customWidth="1"/>
    <col min="12" max="12" width="15.140625" style="293" customWidth="1"/>
    <col min="13" max="13" width="16.7109375" style="293" customWidth="1"/>
    <col min="14" max="14" width="19.28515625" style="293" customWidth="1"/>
    <col min="15" max="15" width="4.28515625" style="293" customWidth="1"/>
    <col min="16" max="16" width="18.42578125" style="294" customWidth="1"/>
    <col min="17" max="17" width="14.85546875" style="293" customWidth="1"/>
    <col min="18" max="18" width="15.42578125" style="293" customWidth="1"/>
    <col min="19" max="19" width="20.140625" style="295" customWidth="1"/>
    <col min="20" max="20" width="25.7109375" style="295" customWidth="1"/>
    <col min="21" max="21" width="26.140625" style="293" customWidth="1"/>
    <col min="22" max="16384" width="9.140625" style="293"/>
  </cols>
  <sheetData>
    <row r="1" spans="1:18" s="295" customFormat="1" ht="15" customHeight="1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293"/>
      <c r="P1" s="294"/>
      <c r="Q1" s="293"/>
      <c r="R1" s="293"/>
    </row>
    <row r="2" spans="1:18" s="295" customFormat="1" ht="15" customHeight="1" x14ac:dyDescent="0.25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293"/>
      <c r="P2" s="294"/>
      <c r="Q2" s="293"/>
      <c r="R2" s="293"/>
    </row>
    <row r="3" spans="1:18" s="295" customFormat="1" ht="15" customHeight="1" x14ac:dyDescent="0.25">
      <c r="A3" s="522" t="s">
        <v>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293"/>
      <c r="P3" s="294"/>
      <c r="Q3" s="293"/>
      <c r="R3" s="293"/>
    </row>
    <row r="4" spans="1:18" s="295" customFormat="1" ht="15" customHeight="1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  <c r="Q4" s="293"/>
      <c r="R4" s="293"/>
    </row>
    <row r="5" spans="1:18" s="295" customFormat="1" ht="15" customHeight="1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4"/>
      <c r="Q5" s="293"/>
      <c r="R5" s="293"/>
    </row>
    <row r="6" spans="1:18" s="295" customFormat="1" ht="15" customHeight="1" x14ac:dyDescent="0.25">
      <c r="A6" s="293" t="s">
        <v>3</v>
      </c>
      <c r="B6" s="293"/>
      <c r="C6" s="293"/>
      <c r="D6" s="293" t="s">
        <v>45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Q6" s="293"/>
      <c r="R6" s="293"/>
    </row>
    <row r="7" spans="1:18" s="295" customFormat="1" ht="15" customHeight="1" x14ac:dyDescent="0.25">
      <c r="A7" s="293" t="s">
        <v>4</v>
      </c>
      <c r="B7" s="293"/>
      <c r="C7" s="293"/>
      <c r="D7" s="293" t="s">
        <v>55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4"/>
      <c r="Q7" s="293"/>
      <c r="R7" s="293"/>
    </row>
    <row r="8" spans="1:18" s="295" customFormat="1" ht="15" customHeight="1" x14ac:dyDescent="0.25">
      <c r="A8" s="293" t="s">
        <v>5</v>
      </c>
      <c r="B8" s="293"/>
      <c r="C8" s="293"/>
      <c r="D8" s="504" t="s">
        <v>50</v>
      </c>
      <c r="E8" s="504"/>
      <c r="F8" s="504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293"/>
      <c r="R8" s="293"/>
    </row>
    <row r="9" spans="1:18" s="295" customFormat="1" ht="15" customHeight="1" x14ac:dyDescent="0.25">
      <c r="A9" s="293" t="s">
        <v>6</v>
      </c>
      <c r="B9" s="293"/>
      <c r="C9" s="293"/>
      <c r="D9" s="293" t="s">
        <v>449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4"/>
      <c r="Q9" s="293"/>
      <c r="R9" s="296"/>
    </row>
    <row r="10" spans="1:18" s="295" customFormat="1" ht="15" customHeight="1" x14ac:dyDescent="0.25">
      <c r="A10" s="293" t="s">
        <v>7</v>
      </c>
      <c r="B10" s="293"/>
      <c r="C10" s="293"/>
      <c r="D10" s="293" t="s">
        <v>487</v>
      </c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4"/>
      <c r="Q10" s="293"/>
      <c r="R10" s="296"/>
    </row>
    <row r="11" spans="1:18" s="295" customFormat="1" ht="15" customHeight="1" x14ac:dyDescent="0.25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4"/>
      <c r="Q11" s="293"/>
      <c r="R11" s="296"/>
    </row>
    <row r="12" spans="1:18" s="295" customFormat="1" ht="15" customHeight="1" x14ac:dyDescent="0.25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4"/>
      <c r="Q12" s="293"/>
      <c r="R12" s="296"/>
    </row>
    <row r="13" spans="1:18" s="295" customFormat="1" ht="15" customHeight="1" x14ac:dyDescent="0.25">
      <c r="A13" s="523" t="s">
        <v>37</v>
      </c>
      <c r="B13" s="525" t="s">
        <v>10</v>
      </c>
      <c r="C13" s="526"/>
      <c r="D13" s="527"/>
      <c r="E13" s="531" t="s">
        <v>8</v>
      </c>
      <c r="F13" s="531" t="s">
        <v>9</v>
      </c>
      <c r="G13" s="533" t="s">
        <v>14</v>
      </c>
      <c r="H13" s="533"/>
      <c r="I13" s="533"/>
      <c r="J13" s="533" t="s">
        <v>15</v>
      </c>
      <c r="K13" s="533"/>
      <c r="L13" s="533"/>
      <c r="M13" s="531" t="s">
        <v>17</v>
      </c>
      <c r="N13" s="531" t="s">
        <v>16</v>
      </c>
      <c r="O13" s="293"/>
      <c r="P13" s="294"/>
      <c r="Q13" s="293"/>
      <c r="R13" s="296"/>
    </row>
    <row r="14" spans="1:18" s="295" customFormat="1" ht="15" customHeight="1" x14ac:dyDescent="0.25">
      <c r="A14" s="524"/>
      <c r="B14" s="528"/>
      <c r="C14" s="529"/>
      <c r="D14" s="530"/>
      <c r="E14" s="531"/>
      <c r="F14" s="532"/>
      <c r="G14" s="474" t="s">
        <v>11</v>
      </c>
      <c r="H14" s="474" t="s">
        <v>12</v>
      </c>
      <c r="I14" s="474" t="s">
        <v>13</v>
      </c>
      <c r="J14" s="474" t="s">
        <v>11</v>
      </c>
      <c r="K14" s="474" t="s">
        <v>12</v>
      </c>
      <c r="L14" s="474" t="s">
        <v>13</v>
      </c>
      <c r="M14" s="531"/>
      <c r="N14" s="531"/>
      <c r="O14" s="293"/>
      <c r="P14" s="294"/>
      <c r="Q14" s="293"/>
      <c r="R14" s="298"/>
    </row>
    <row r="15" spans="1:18" s="295" customFormat="1" ht="15" customHeight="1" x14ac:dyDescent="0.25">
      <c r="A15" s="299"/>
      <c r="B15" s="516">
        <v>1</v>
      </c>
      <c r="C15" s="517"/>
      <c r="D15" s="518"/>
      <c r="E15" s="475">
        <v>2</v>
      </c>
      <c r="F15" s="475">
        <v>3</v>
      </c>
      <c r="G15" s="475">
        <v>7</v>
      </c>
      <c r="H15" s="475">
        <v>8</v>
      </c>
      <c r="I15" s="475" t="s">
        <v>18</v>
      </c>
      <c r="J15" s="475">
        <v>10</v>
      </c>
      <c r="K15" s="475">
        <v>11</v>
      </c>
      <c r="L15" s="475" t="s">
        <v>19</v>
      </c>
      <c r="M15" s="475" t="s">
        <v>155</v>
      </c>
      <c r="N15" s="475" t="s">
        <v>36</v>
      </c>
      <c r="O15" s="293"/>
      <c r="P15" s="294"/>
      <c r="Q15" s="293"/>
      <c r="R15" s="293"/>
    </row>
    <row r="16" spans="1:18" s="295" customFormat="1" ht="15" customHeight="1" x14ac:dyDescent="0.25">
      <c r="A16" s="301"/>
      <c r="B16" s="519"/>
      <c r="C16" s="520"/>
      <c r="D16" s="521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293"/>
      <c r="P16" s="294"/>
      <c r="Q16" s="293"/>
      <c r="R16" s="293"/>
    </row>
    <row r="17" spans="1:21" ht="17.100000000000001" customHeight="1" x14ac:dyDescent="0.25">
      <c r="A17" s="303"/>
      <c r="B17" s="534" t="s">
        <v>20</v>
      </c>
      <c r="C17" s="535"/>
      <c r="D17" s="536"/>
      <c r="E17" s="303"/>
      <c r="F17" s="304">
        <f>+F18+F47+F122+F138+F239+F247+F298+F350</f>
        <v>428263811167</v>
      </c>
      <c r="G17" s="304">
        <f>+G18+G47+G122+G138+G239+G247+G298+G350</f>
        <v>19588610336</v>
      </c>
      <c r="H17" s="304">
        <f>+H18+H47+H122+H138+H239+H247+H298+H350</f>
        <v>28967363516</v>
      </c>
      <c r="I17" s="304">
        <f>+G17+H17</f>
        <v>48555973852</v>
      </c>
      <c r="J17" s="304">
        <f>+J18+J47+J122+J138+J239+J247+J298+J350</f>
        <v>460031431</v>
      </c>
      <c r="K17" s="304">
        <f>+K18+K47+K122+K138+K239+K247+K298+K350</f>
        <v>316277418</v>
      </c>
      <c r="L17" s="304">
        <f>+J17+K17</f>
        <v>776308849</v>
      </c>
      <c r="M17" s="304">
        <f>+I17+L17</f>
        <v>49332282701</v>
      </c>
      <c r="N17" s="304">
        <f>+F17-M17</f>
        <v>378931528466</v>
      </c>
      <c r="R17" s="298"/>
      <c r="U17" s="294">
        <f>178000000+33460000+79728000+22342995000+29162378+3014333670+6242819000+179060000+4822000000+316799545+177216575</f>
        <v>37415574168</v>
      </c>
    </row>
    <row r="18" spans="1:21" s="309" customFormat="1" ht="18" customHeight="1" x14ac:dyDescent="0.25">
      <c r="A18" s="276"/>
      <c r="B18" s="305" t="s">
        <v>336</v>
      </c>
      <c r="C18" s="305"/>
      <c r="D18" s="305"/>
      <c r="E18" s="306" t="s">
        <v>335</v>
      </c>
      <c r="F18" s="307">
        <f>+F19+F32</f>
        <v>276269500</v>
      </c>
      <c r="G18" s="308">
        <f>+G19+G32</f>
        <v>0</v>
      </c>
      <c r="H18" s="308">
        <f>+H19+H32</f>
        <v>0</v>
      </c>
      <c r="I18" s="308">
        <f>+G18+H18</f>
        <v>0</v>
      </c>
      <c r="J18" s="308">
        <f>+J19+J32</f>
        <v>48567500</v>
      </c>
      <c r="K18" s="308">
        <f>+K19+K32</f>
        <v>24428500</v>
      </c>
      <c r="L18" s="308">
        <f>+J18+K18</f>
        <v>72996000</v>
      </c>
      <c r="M18" s="308">
        <f>+I18+L18</f>
        <v>72996000</v>
      </c>
      <c r="N18" s="307">
        <f>+F18-M18</f>
        <v>203273500</v>
      </c>
      <c r="P18" s="310">
        <f>+N19+N32+N48+N113+N123+N139+N165+N173+N184+N206+N240+N248+N256+N269+N278+N299+N312+N331+N337+N343+N351+N357+N369+N375</f>
        <v>378931528466</v>
      </c>
      <c r="Q18" s="309" t="s">
        <v>332</v>
      </c>
      <c r="R18" s="311"/>
      <c r="S18" s="312" t="s">
        <v>427</v>
      </c>
      <c r="T18" s="313"/>
    </row>
    <row r="19" spans="1:21" s="319" customFormat="1" ht="18" customHeight="1" x14ac:dyDescent="0.25">
      <c r="A19" s="275">
        <v>1</v>
      </c>
      <c r="B19" s="314"/>
      <c r="C19" s="314" t="s">
        <v>61</v>
      </c>
      <c r="D19" s="315"/>
      <c r="E19" s="316" t="s">
        <v>62</v>
      </c>
      <c r="F19" s="317">
        <f t="shared" ref="F19:H20" si="0">+F20</f>
        <v>117975500</v>
      </c>
      <c r="G19" s="318">
        <f t="shared" si="0"/>
        <v>0</v>
      </c>
      <c r="H19" s="318">
        <f t="shared" si="0"/>
        <v>0</v>
      </c>
      <c r="I19" s="318">
        <f>+G19+H19</f>
        <v>0</v>
      </c>
      <c r="J19" s="318">
        <f>+J20</f>
        <v>39967500</v>
      </c>
      <c r="K19" s="318">
        <f>+K20</f>
        <v>4190000</v>
      </c>
      <c r="L19" s="318">
        <f>+J19+K19</f>
        <v>44157500</v>
      </c>
      <c r="M19" s="318">
        <f>+I19+L19</f>
        <v>44157500</v>
      </c>
      <c r="N19" s="317">
        <f>+F19-M19</f>
        <v>73818000</v>
      </c>
      <c r="P19" s="320"/>
      <c r="R19" s="321"/>
      <c r="S19" s="322">
        <f>SUM(S24:S361)</f>
        <v>316277418</v>
      </c>
      <c r="T19" s="322">
        <f>SUM(T24:T434)</f>
        <v>28967363516</v>
      </c>
    </row>
    <row r="20" spans="1:21" s="329" customFormat="1" ht="18" customHeight="1" x14ac:dyDescent="0.25">
      <c r="A20" s="323"/>
      <c r="B20" s="324"/>
      <c r="C20" s="324"/>
      <c r="D20" s="325" t="s">
        <v>207</v>
      </c>
      <c r="E20" s="326" t="s">
        <v>262</v>
      </c>
      <c r="F20" s="327">
        <f t="shared" si="0"/>
        <v>117975500</v>
      </c>
      <c r="G20" s="328">
        <f t="shared" si="0"/>
        <v>0</v>
      </c>
      <c r="H20" s="328">
        <f t="shared" si="0"/>
        <v>0</v>
      </c>
      <c r="I20" s="328">
        <f>+G20+H20</f>
        <v>0</v>
      </c>
      <c r="J20" s="328">
        <f>+J21</f>
        <v>39967500</v>
      </c>
      <c r="K20" s="328">
        <f>+K21</f>
        <v>4190000</v>
      </c>
      <c r="L20" s="328">
        <f t="shared" ref="L20:L28" si="1">+J20+K20</f>
        <v>44157500</v>
      </c>
      <c r="M20" s="328">
        <f>+I20+L20</f>
        <v>44157500</v>
      </c>
      <c r="N20" s="327">
        <f>+F20-M20</f>
        <v>73818000</v>
      </c>
      <c r="P20" s="330"/>
      <c r="R20" s="331"/>
      <c r="S20" s="332"/>
      <c r="T20" s="332"/>
      <c r="U20" s="333"/>
    </row>
    <row r="21" spans="1:21" s="339" customFormat="1" ht="18" customHeight="1" x14ac:dyDescent="0.25">
      <c r="A21" s="334"/>
      <c r="B21" s="335"/>
      <c r="C21" s="335"/>
      <c r="D21" s="335" t="s">
        <v>63</v>
      </c>
      <c r="E21" s="336" t="s">
        <v>30</v>
      </c>
      <c r="F21" s="337">
        <f>+F22+F29</f>
        <v>117975500</v>
      </c>
      <c r="G21" s="338">
        <f>+G22+G29</f>
        <v>0</v>
      </c>
      <c r="H21" s="338">
        <f>+H22+H29</f>
        <v>0</v>
      </c>
      <c r="I21" s="338">
        <f>+G21+H21</f>
        <v>0</v>
      </c>
      <c r="J21" s="338">
        <f>+J22+J29</f>
        <v>39967500</v>
      </c>
      <c r="K21" s="338">
        <f>+K22+K29</f>
        <v>4190000</v>
      </c>
      <c r="L21" s="338">
        <f>+J21+K21</f>
        <v>44157500</v>
      </c>
      <c r="M21" s="338">
        <f>+I21+L21</f>
        <v>44157500</v>
      </c>
      <c r="N21" s="337">
        <f>+F21-M21</f>
        <v>73818000</v>
      </c>
      <c r="P21" s="340">
        <f>H386+H387+K386+K387</f>
        <v>29427298627</v>
      </c>
      <c r="Q21" s="339" t="s">
        <v>334</v>
      </c>
      <c r="S21" s="341"/>
      <c r="T21" s="341"/>
      <c r="U21" s="342"/>
    </row>
    <row r="22" spans="1:21" s="339" customFormat="1" ht="18" customHeight="1" x14ac:dyDescent="0.25">
      <c r="A22" s="334"/>
      <c r="B22" s="335"/>
      <c r="C22" s="335"/>
      <c r="D22" s="335" t="s">
        <v>263</v>
      </c>
      <c r="E22" s="336" t="s">
        <v>264</v>
      </c>
      <c r="F22" s="337">
        <f>+F23</f>
        <v>65295500</v>
      </c>
      <c r="G22" s="338">
        <f>+G23</f>
        <v>0</v>
      </c>
      <c r="H22" s="338">
        <f>+H23</f>
        <v>0</v>
      </c>
      <c r="I22" s="338">
        <f t="shared" ref="I22:I31" si="2">+G22+H22</f>
        <v>0</v>
      </c>
      <c r="J22" s="338">
        <f>+J23</f>
        <v>31587500</v>
      </c>
      <c r="K22" s="338">
        <f>+K23</f>
        <v>0</v>
      </c>
      <c r="L22" s="338">
        <f t="shared" si="1"/>
        <v>31587500</v>
      </c>
      <c r="M22" s="338">
        <f t="shared" ref="M22:M31" si="3">+I22+L22</f>
        <v>31587500</v>
      </c>
      <c r="N22" s="337">
        <f t="shared" ref="N22:N31" si="4">+F22-M22</f>
        <v>33708000</v>
      </c>
      <c r="P22" s="343">
        <f>+H17+K17</f>
        <v>29283640934</v>
      </c>
      <c r="Q22" s="339" t="s">
        <v>333</v>
      </c>
      <c r="S22" s="341"/>
      <c r="T22" s="341"/>
      <c r="U22" s="342"/>
    </row>
    <row r="23" spans="1:21" s="339" customFormat="1" ht="18" customHeight="1" x14ac:dyDescent="0.25">
      <c r="A23" s="334"/>
      <c r="B23" s="335"/>
      <c r="C23" s="335"/>
      <c r="D23" s="335" t="s">
        <v>64</v>
      </c>
      <c r="E23" s="335" t="s">
        <v>65</v>
      </c>
      <c r="F23" s="337">
        <f>SUM(F24:F28)</f>
        <v>65295500</v>
      </c>
      <c r="G23" s="344">
        <f>SUM(G24:G28)</f>
        <v>0</v>
      </c>
      <c r="H23" s="344">
        <f>SUM(H24:H28)</f>
        <v>0</v>
      </c>
      <c r="I23" s="338">
        <f>+G23+H23</f>
        <v>0</v>
      </c>
      <c r="J23" s="338">
        <f>+SUM(J24:J28)</f>
        <v>31587500</v>
      </c>
      <c r="K23" s="338">
        <f>+SUM(K24:K28)</f>
        <v>0</v>
      </c>
      <c r="L23" s="338">
        <f>+J23+K23</f>
        <v>31587500</v>
      </c>
      <c r="M23" s="338">
        <f>+I23+L23</f>
        <v>31587500</v>
      </c>
      <c r="N23" s="337">
        <f>+F23-M23</f>
        <v>33708000</v>
      </c>
      <c r="P23" s="340"/>
      <c r="S23" s="341"/>
      <c r="T23" s="341"/>
      <c r="U23" s="342"/>
    </row>
    <row r="24" spans="1:21" s="339" customFormat="1" ht="18" customHeight="1" x14ac:dyDescent="0.25">
      <c r="A24" s="334"/>
      <c r="B24" s="335"/>
      <c r="C24" s="335"/>
      <c r="D24" s="335" t="s">
        <v>66</v>
      </c>
      <c r="E24" s="335" t="s">
        <v>67</v>
      </c>
      <c r="F24" s="337">
        <v>7554500</v>
      </c>
      <c r="G24" s="338"/>
      <c r="H24" s="338"/>
      <c r="I24" s="338">
        <f t="shared" si="2"/>
        <v>0</v>
      </c>
      <c r="J24" s="338">
        <v>7554500</v>
      </c>
      <c r="K24" s="338"/>
      <c r="L24" s="338">
        <f t="shared" si="1"/>
        <v>7554500</v>
      </c>
      <c r="M24" s="338">
        <f>+I24+L24</f>
        <v>7554500</v>
      </c>
      <c r="N24" s="337">
        <f t="shared" si="4"/>
        <v>0</v>
      </c>
      <c r="P24" s="340"/>
      <c r="S24" s="345"/>
      <c r="T24" s="345"/>
      <c r="U24" s="342"/>
    </row>
    <row r="25" spans="1:21" s="339" customFormat="1" ht="18" customHeight="1" x14ac:dyDescent="0.25">
      <c r="A25" s="334"/>
      <c r="B25" s="335"/>
      <c r="C25" s="335"/>
      <c r="D25" s="335" t="s">
        <v>337</v>
      </c>
      <c r="E25" s="335" t="s">
        <v>338</v>
      </c>
      <c r="F25" s="337">
        <v>6408000</v>
      </c>
      <c r="G25" s="338"/>
      <c r="H25" s="338"/>
      <c r="I25" s="338">
        <f>+G25+H25</f>
        <v>0</v>
      </c>
      <c r="J25" s="338">
        <v>6408000</v>
      </c>
      <c r="K25" s="338"/>
      <c r="L25" s="338">
        <f t="shared" si="1"/>
        <v>6408000</v>
      </c>
      <c r="M25" s="338">
        <f t="shared" si="3"/>
        <v>6408000</v>
      </c>
      <c r="N25" s="337">
        <f t="shared" si="4"/>
        <v>0</v>
      </c>
      <c r="P25" s="340"/>
      <c r="S25" s="345"/>
      <c r="T25" s="345"/>
      <c r="U25" s="342"/>
    </row>
    <row r="26" spans="1:21" s="339" customFormat="1" ht="18" customHeight="1" x14ac:dyDescent="0.25">
      <c r="A26" s="334"/>
      <c r="B26" s="335"/>
      <c r="C26" s="335"/>
      <c r="D26" s="335" t="s">
        <v>68</v>
      </c>
      <c r="E26" s="335" t="s">
        <v>69</v>
      </c>
      <c r="F26" s="337">
        <v>44208000</v>
      </c>
      <c r="G26" s="338"/>
      <c r="H26" s="338"/>
      <c r="I26" s="338">
        <f t="shared" si="2"/>
        <v>0</v>
      </c>
      <c r="J26" s="338">
        <v>17625000</v>
      </c>
      <c r="K26" s="338"/>
      <c r="L26" s="338">
        <f t="shared" si="1"/>
        <v>17625000</v>
      </c>
      <c r="M26" s="338">
        <f t="shared" si="3"/>
        <v>17625000</v>
      </c>
      <c r="N26" s="337">
        <f t="shared" si="4"/>
        <v>26583000</v>
      </c>
      <c r="P26" s="340">
        <f>5440000000+63000000+730000000+7470000000+6242819000+3024665072+31328939+4570000000+12239500000+3046850000+197720000+310724118</f>
        <v>43366607129</v>
      </c>
      <c r="Q26" s="339" t="s">
        <v>428</v>
      </c>
      <c r="S26" s="345"/>
      <c r="T26" s="345"/>
      <c r="U26" s="342"/>
    </row>
    <row r="27" spans="1:21" s="339" customFormat="1" ht="18" customHeight="1" x14ac:dyDescent="0.25">
      <c r="A27" s="334"/>
      <c r="B27" s="335"/>
      <c r="C27" s="335"/>
      <c r="D27" s="335" t="s">
        <v>339</v>
      </c>
      <c r="E27" s="335" t="s">
        <v>340</v>
      </c>
      <c r="F27" s="337">
        <v>2125000</v>
      </c>
      <c r="G27" s="338"/>
      <c r="H27" s="338"/>
      <c r="I27" s="338"/>
      <c r="J27" s="338"/>
      <c r="K27" s="338"/>
      <c r="L27" s="338">
        <f t="shared" si="1"/>
        <v>0</v>
      </c>
      <c r="M27" s="338">
        <f t="shared" si="3"/>
        <v>0</v>
      </c>
      <c r="N27" s="337">
        <f t="shared" si="4"/>
        <v>2125000</v>
      </c>
      <c r="P27" s="340"/>
      <c r="S27" s="345"/>
      <c r="T27" s="345"/>
      <c r="U27" s="342"/>
    </row>
    <row r="28" spans="1:21" s="339" customFormat="1" ht="18" customHeight="1" x14ac:dyDescent="0.25">
      <c r="A28" s="334"/>
      <c r="B28" s="335"/>
      <c r="C28" s="335"/>
      <c r="D28" s="335" t="s">
        <v>70</v>
      </c>
      <c r="E28" s="335" t="s">
        <v>33</v>
      </c>
      <c r="F28" s="337">
        <v>5000000</v>
      </c>
      <c r="G28" s="338"/>
      <c r="H28" s="338"/>
      <c r="I28" s="338"/>
      <c r="J28" s="338"/>
      <c r="K28" s="338"/>
      <c r="L28" s="338">
        <f t="shared" si="1"/>
        <v>0</v>
      </c>
      <c r="M28" s="338">
        <f t="shared" si="3"/>
        <v>0</v>
      </c>
      <c r="N28" s="337">
        <f t="shared" si="4"/>
        <v>5000000</v>
      </c>
      <c r="P28" s="340"/>
      <c r="S28" s="345"/>
      <c r="T28" s="345"/>
      <c r="U28" s="342"/>
    </row>
    <row r="29" spans="1:21" s="339" customFormat="1" ht="18" customHeight="1" x14ac:dyDescent="0.25">
      <c r="A29" s="334"/>
      <c r="B29" s="335"/>
      <c r="C29" s="335"/>
      <c r="D29" s="335" t="s">
        <v>271</v>
      </c>
      <c r="E29" s="336" t="s">
        <v>272</v>
      </c>
      <c r="F29" s="337">
        <f>+F30</f>
        <v>52680000</v>
      </c>
      <c r="G29" s="338">
        <f>+G30</f>
        <v>0</v>
      </c>
      <c r="H29" s="338">
        <f>+H30</f>
        <v>0</v>
      </c>
      <c r="I29" s="338">
        <f>+G29+H29</f>
        <v>0</v>
      </c>
      <c r="J29" s="338">
        <f>+J30</f>
        <v>8380000</v>
      </c>
      <c r="K29" s="338">
        <f>+K30</f>
        <v>4190000</v>
      </c>
      <c r="L29" s="338">
        <f>+J29+K29</f>
        <v>12570000</v>
      </c>
      <c r="M29" s="338">
        <f>+I29+L29</f>
        <v>12570000</v>
      </c>
      <c r="N29" s="337">
        <f t="shared" si="4"/>
        <v>40110000</v>
      </c>
      <c r="P29" s="340"/>
      <c r="S29" s="341"/>
      <c r="T29" s="341"/>
      <c r="U29" s="342"/>
    </row>
    <row r="30" spans="1:21" s="339" customFormat="1" ht="18" customHeight="1" x14ac:dyDescent="0.25">
      <c r="A30" s="334"/>
      <c r="B30" s="335"/>
      <c r="C30" s="335"/>
      <c r="D30" s="335" t="s">
        <v>81</v>
      </c>
      <c r="E30" s="335" t="s">
        <v>31</v>
      </c>
      <c r="F30" s="337">
        <f>SUM(F31:F31)</f>
        <v>52680000</v>
      </c>
      <c r="G30" s="344">
        <f>+G31</f>
        <v>0</v>
      </c>
      <c r="H30" s="338">
        <f>+SUM(H31:H31)</f>
        <v>0</v>
      </c>
      <c r="I30" s="338">
        <f t="shared" si="2"/>
        <v>0</v>
      </c>
      <c r="J30" s="338">
        <f>+SUM(J31:J31)</f>
        <v>8380000</v>
      </c>
      <c r="K30" s="338">
        <f>+SUM(K31:K31)</f>
        <v>4190000</v>
      </c>
      <c r="L30" s="338">
        <f>+J30+K30</f>
        <v>12570000</v>
      </c>
      <c r="M30" s="338">
        <f t="shared" si="3"/>
        <v>12570000</v>
      </c>
      <c r="N30" s="337">
        <f t="shared" si="4"/>
        <v>40110000</v>
      </c>
      <c r="P30" s="340"/>
      <c r="S30" s="341"/>
      <c r="T30" s="341"/>
      <c r="U30" s="342"/>
    </row>
    <row r="31" spans="1:21" s="339" customFormat="1" ht="18" customHeight="1" x14ac:dyDescent="0.25">
      <c r="A31" s="334"/>
      <c r="B31" s="335"/>
      <c r="C31" s="335"/>
      <c r="D31" s="335" t="s">
        <v>82</v>
      </c>
      <c r="E31" s="335" t="s">
        <v>83</v>
      </c>
      <c r="F31" s="337">
        <v>52680000</v>
      </c>
      <c r="G31" s="338"/>
      <c r="H31" s="338"/>
      <c r="I31" s="338">
        <f t="shared" si="2"/>
        <v>0</v>
      </c>
      <c r="J31" s="338">
        <v>8380000</v>
      </c>
      <c r="K31" s="338">
        <v>4190000</v>
      </c>
      <c r="L31" s="338">
        <f t="shared" ref="L31" si="5">+J31+K31</f>
        <v>12570000</v>
      </c>
      <c r="M31" s="338">
        <f t="shared" si="3"/>
        <v>12570000</v>
      </c>
      <c r="N31" s="337">
        <f t="shared" si="4"/>
        <v>40110000</v>
      </c>
      <c r="P31" s="340"/>
      <c r="S31" s="455">
        <v>4190000</v>
      </c>
      <c r="T31" s="347"/>
      <c r="U31" s="342"/>
    </row>
    <row r="32" spans="1:21" s="319" customFormat="1" ht="32.25" customHeight="1" x14ac:dyDescent="0.25">
      <c r="A32" s="275">
        <v>2</v>
      </c>
      <c r="B32" s="314"/>
      <c r="C32" s="314" t="s">
        <v>79</v>
      </c>
      <c r="D32" s="315"/>
      <c r="E32" s="348" t="s">
        <v>80</v>
      </c>
      <c r="F32" s="317">
        <f t="shared" ref="F32:H33" si="6">+F33</f>
        <v>158294000</v>
      </c>
      <c r="G32" s="318">
        <f t="shared" si="6"/>
        <v>0</v>
      </c>
      <c r="H32" s="318">
        <f t="shared" si="6"/>
        <v>0</v>
      </c>
      <c r="I32" s="318">
        <f>+G32+H32</f>
        <v>0</v>
      </c>
      <c r="J32" s="318">
        <f>+J33</f>
        <v>8600000</v>
      </c>
      <c r="K32" s="318">
        <f>+K33</f>
        <v>20238500</v>
      </c>
      <c r="L32" s="318">
        <f>+J32+K32</f>
        <v>28838500</v>
      </c>
      <c r="M32" s="318">
        <f>+I32+L32</f>
        <v>28838500</v>
      </c>
      <c r="N32" s="317">
        <f>+F32-M32</f>
        <v>129455500</v>
      </c>
      <c r="P32" s="320"/>
      <c r="R32" s="321"/>
      <c r="S32" s="349"/>
      <c r="T32" s="349"/>
      <c r="U32" s="350"/>
    </row>
    <row r="33" spans="1:21" s="329" customFormat="1" ht="18" customHeight="1" x14ac:dyDescent="0.25">
      <c r="A33" s="323"/>
      <c r="B33" s="324"/>
      <c r="C33" s="324"/>
      <c r="D33" s="325" t="s">
        <v>207</v>
      </c>
      <c r="E33" s="326" t="s">
        <v>262</v>
      </c>
      <c r="F33" s="327">
        <f t="shared" si="6"/>
        <v>158294000</v>
      </c>
      <c r="G33" s="328">
        <f t="shared" si="6"/>
        <v>0</v>
      </c>
      <c r="H33" s="328">
        <f t="shared" si="6"/>
        <v>0</v>
      </c>
      <c r="I33" s="328">
        <f t="shared" ref="I33:I37" si="7">+G33+H33</f>
        <v>0</v>
      </c>
      <c r="J33" s="328">
        <f>+J34</f>
        <v>8600000</v>
      </c>
      <c r="K33" s="328">
        <f>+K34</f>
        <v>20238500</v>
      </c>
      <c r="L33" s="328">
        <f t="shared" ref="L33:L35" si="8">+J33+K33</f>
        <v>28838500</v>
      </c>
      <c r="M33" s="328">
        <f>+I33+L33</f>
        <v>28838500</v>
      </c>
      <c r="N33" s="327">
        <f t="shared" ref="N33:N36" si="9">+F33-M33</f>
        <v>129455500</v>
      </c>
      <c r="P33" s="330"/>
      <c r="R33" s="331"/>
      <c r="S33" s="351"/>
      <c r="T33" s="351"/>
      <c r="U33" s="333"/>
    </row>
    <row r="34" spans="1:21" s="339" customFormat="1" ht="18" customHeight="1" x14ac:dyDescent="0.25">
      <c r="A34" s="334"/>
      <c r="B34" s="335"/>
      <c r="C34" s="335"/>
      <c r="D34" s="335" t="s">
        <v>63</v>
      </c>
      <c r="E34" s="336" t="s">
        <v>30</v>
      </c>
      <c r="F34" s="337">
        <f>+F35+F42</f>
        <v>158294000</v>
      </c>
      <c r="G34" s="338">
        <f>+G35+G42</f>
        <v>0</v>
      </c>
      <c r="H34" s="338">
        <f>+H35+H42</f>
        <v>0</v>
      </c>
      <c r="I34" s="338">
        <f t="shared" si="7"/>
        <v>0</v>
      </c>
      <c r="J34" s="338">
        <f>+J35+J42</f>
        <v>8600000</v>
      </c>
      <c r="K34" s="338">
        <f>+K35+K42</f>
        <v>20238500</v>
      </c>
      <c r="L34" s="338">
        <f t="shared" si="8"/>
        <v>28838500</v>
      </c>
      <c r="M34" s="338">
        <f t="shared" ref="M34:M35" si="10">+I34+L34</f>
        <v>28838500</v>
      </c>
      <c r="N34" s="337">
        <f t="shared" si="9"/>
        <v>129455500</v>
      </c>
      <c r="P34" s="340"/>
      <c r="S34" s="347"/>
      <c r="T34" s="347"/>
      <c r="U34" s="342"/>
    </row>
    <row r="35" spans="1:21" s="339" customFormat="1" ht="18" customHeight="1" x14ac:dyDescent="0.25">
      <c r="A35" s="334"/>
      <c r="B35" s="335"/>
      <c r="C35" s="335"/>
      <c r="D35" s="335" t="s">
        <v>263</v>
      </c>
      <c r="E35" s="336" t="s">
        <v>264</v>
      </c>
      <c r="F35" s="337">
        <f t="shared" ref="F35" si="11">+F36</f>
        <v>76694000</v>
      </c>
      <c r="G35" s="338">
        <f>+G36</f>
        <v>0</v>
      </c>
      <c r="H35" s="338">
        <f>+H36</f>
        <v>0</v>
      </c>
      <c r="I35" s="338">
        <f t="shared" si="7"/>
        <v>0</v>
      </c>
      <c r="J35" s="338">
        <f>+J36</f>
        <v>0</v>
      </c>
      <c r="K35" s="338">
        <f>+K36</f>
        <v>15938500</v>
      </c>
      <c r="L35" s="338">
        <f t="shared" si="8"/>
        <v>15938500</v>
      </c>
      <c r="M35" s="338">
        <f t="shared" si="10"/>
        <v>15938500</v>
      </c>
      <c r="N35" s="337">
        <f t="shared" si="9"/>
        <v>60755500</v>
      </c>
      <c r="P35" s="340"/>
      <c r="S35" s="347"/>
      <c r="T35" s="347"/>
      <c r="U35" s="342"/>
    </row>
    <row r="36" spans="1:21" s="339" customFormat="1" ht="18" customHeight="1" x14ac:dyDescent="0.25">
      <c r="A36" s="334"/>
      <c r="B36" s="335"/>
      <c r="C36" s="335"/>
      <c r="D36" s="335" t="s">
        <v>64</v>
      </c>
      <c r="E36" s="335" t="s">
        <v>65</v>
      </c>
      <c r="F36" s="337">
        <f>SUM(F37:F41)</f>
        <v>76694000</v>
      </c>
      <c r="G36" s="344">
        <f>SUM(G37:G41)</f>
        <v>0</v>
      </c>
      <c r="H36" s="344">
        <f>SUM(H37:H41)</f>
        <v>0</v>
      </c>
      <c r="I36" s="338">
        <f t="shared" si="7"/>
        <v>0</v>
      </c>
      <c r="J36" s="338">
        <f>SUM(J37:J41)</f>
        <v>0</v>
      </c>
      <c r="K36" s="338">
        <f>SUM(K37:K41)</f>
        <v>15938500</v>
      </c>
      <c r="L36" s="338">
        <f>+J36+K36</f>
        <v>15938500</v>
      </c>
      <c r="M36" s="338">
        <f>+I36+L36</f>
        <v>15938500</v>
      </c>
      <c r="N36" s="337">
        <f t="shared" si="9"/>
        <v>60755500</v>
      </c>
      <c r="P36" s="340"/>
      <c r="S36" s="347"/>
      <c r="T36" s="347"/>
      <c r="U36" s="342"/>
    </row>
    <row r="37" spans="1:21" s="339" customFormat="1" ht="18" customHeight="1" x14ac:dyDescent="0.25">
      <c r="A37" s="334"/>
      <c r="B37" s="352"/>
      <c r="C37" s="335"/>
      <c r="D37" s="335" t="s">
        <v>66</v>
      </c>
      <c r="E37" s="335" t="s">
        <v>67</v>
      </c>
      <c r="F37" s="337">
        <v>8160000</v>
      </c>
      <c r="G37" s="338"/>
      <c r="H37" s="338"/>
      <c r="I37" s="338">
        <f t="shared" si="7"/>
        <v>0</v>
      </c>
      <c r="J37" s="338"/>
      <c r="K37" s="338">
        <v>8160000</v>
      </c>
      <c r="L37" s="338">
        <f t="shared" ref="L37" si="12">+J37+K37</f>
        <v>8160000</v>
      </c>
      <c r="M37" s="338">
        <f t="shared" ref="M37" si="13">+I37+L37</f>
        <v>8160000</v>
      </c>
      <c r="N37" s="337">
        <f>+F37-M37</f>
        <v>0</v>
      </c>
      <c r="P37" s="340"/>
      <c r="S37" s="346">
        <v>8160000</v>
      </c>
      <c r="T37" s="347"/>
      <c r="U37" s="342"/>
    </row>
    <row r="38" spans="1:21" s="339" customFormat="1" ht="18" customHeight="1" x14ac:dyDescent="0.25">
      <c r="A38" s="334"/>
      <c r="B38" s="352"/>
      <c r="C38" s="335"/>
      <c r="D38" s="335" t="s">
        <v>337</v>
      </c>
      <c r="E38" s="335" t="s">
        <v>338</v>
      </c>
      <c r="F38" s="337">
        <v>5112000</v>
      </c>
      <c r="G38" s="338"/>
      <c r="H38" s="338"/>
      <c r="I38" s="338"/>
      <c r="J38" s="338"/>
      <c r="K38" s="338"/>
      <c r="L38" s="338">
        <f>+J38+K38</f>
        <v>0</v>
      </c>
      <c r="M38" s="338">
        <f>+I38+L38</f>
        <v>0</v>
      </c>
      <c r="N38" s="337">
        <f>+F38-M38</f>
        <v>5112000</v>
      </c>
      <c r="P38" s="340"/>
      <c r="S38" s="346"/>
      <c r="T38" s="347"/>
      <c r="U38" s="342"/>
    </row>
    <row r="39" spans="1:21" s="339" customFormat="1" ht="18" customHeight="1" x14ac:dyDescent="0.25">
      <c r="A39" s="334"/>
      <c r="B39" s="352"/>
      <c r="C39" s="335"/>
      <c r="D39" s="335" t="s">
        <v>68</v>
      </c>
      <c r="E39" s="335" t="s">
        <v>69</v>
      </c>
      <c r="F39" s="337">
        <v>36414000</v>
      </c>
      <c r="G39" s="338"/>
      <c r="H39" s="338"/>
      <c r="I39" s="338"/>
      <c r="J39" s="338"/>
      <c r="K39" s="338">
        <v>5713500</v>
      </c>
      <c r="L39" s="338">
        <f t="shared" ref="L39:L41" si="14">+J39+K39</f>
        <v>5713500</v>
      </c>
      <c r="M39" s="338">
        <f t="shared" ref="M39:M41" si="15">+I39+L39</f>
        <v>5713500</v>
      </c>
      <c r="N39" s="337">
        <f t="shared" ref="N39:N45" si="16">+F39-M39</f>
        <v>30700500</v>
      </c>
      <c r="P39" s="340"/>
      <c r="S39" s="346">
        <v>5713500</v>
      </c>
      <c r="T39" s="347"/>
      <c r="U39" s="342"/>
    </row>
    <row r="40" spans="1:21" s="339" customFormat="1" ht="18" customHeight="1" x14ac:dyDescent="0.25">
      <c r="A40" s="334"/>
      <c r="B40" s="352"/>
      <c r="C40" s="335"/>
      <c r="D40" s="335" t="s">
        <v>339</v>
      </c>
      <c r="E40" s="335" t="s">
        <v>340</v>
      </c>
      <c r="F40" s="337">
        <v>12008000</v>
      </c>
      <c r="G40" s="338"/>
      <c r="H40" s="338"/>
      <c r="I40" s="338"/>
      <c r="J40" s="338"/>
      <c r="K40" s="338">
        <v>2065000</v>
      </c>
      <c r="L40" s="338">
        <f t="shared" si="14"/>
        <v>2065000</v>
      </c>
      <c r="M40" s="338">
        <f t="shared" si="15"/>
        <v>2065000</v>
      </c>
      <c r="N40" s="337">
        <f t="shared" si="16"/>
        <v>9943000</v>
      </c>
      <c r="P40" s="340"/>
      <c r="S40" s="346">
        <v>2065000</v>
      </c>
      <c r="T40" s="347"/>
      <c r="U40" s="342"/>
    </row>
    <row r="41" spans="1:21" s="339" customFormat="1" ht="18" customHeight="1" x14ac:dyDescent="0.25">
      <c r="A41" s="334"/>
      <c r="B41" s="352"/>
      <c r="C41" s="335"/>
      <c r="D41" s="335" t="s">
        <v>70</v>
      </c>
      <c r="E41" s="335" t="s">
        <v>33</v>
      </c>
      <c r="F41" s="337">
        <v>15000000</v>
      </c>
      <c r="G41" s="338"/>
      <c r="H41" s="338"/>
      <c r="I41" s="338">
        <f>+G41+H41</f>
        <v>0</v>
      </c>
      <c r="J41" s="338"/>
      <c r="K41" s="338"/>
      <c r="L41" s="338">
        <f t="shared" si="14"/>
        <v>0</v>
      </c>
      <c r="M41" s="338">
        <f t="shared" si="15"/>
        <v>0</v>
      </c>
      <c r="N41" s="337">
        <f t="shared" si="16"/>
        <v>15000000</v>
      </c>
      <c r="P41" s="340"/>
      <c r="S41" s="347"/>
      <c r="T41" s="347"/>
      <c r="U41" s="342"/>
    </row>
    <row r="42" spans="1:21" s="339" customFormat="1" ht="18" customHeight="1" x14ac:dyDescent="0.25">
      <c r="A42" s="334"/>
      <c r="B42" s="335"/>
      <c r="C42" s="335"/>
      <c r="D42" s="335" t="s">
        <v>271</v>
      </c>
      <c r="E42" s="336" t="s">
        <v>272</v>
      </c>
      <c r="F42" s="337">
        <f>+F43</f>
        <v>81600000</v>
      </c>
      <c r="G42" s="338">
        <f>+G43</f>
        <v>0</v>
      </c>
      <c r="H42" s="338">
        <f>+H43</f>
        <v>0</v>
      </c>
      <c r="I42" s="338">
        <f t="shared" ref="I42:I45" si="17">+G42+H42</f>
        <v>0</v>
      </c>
      <c r="J42" s="338">
        <f>+J43</f>
        <v>8600000</v>
      </c>
      <c r="K42" s="338">
        <f>+K43</f>
        <v>4300000</v>
      </c>
      <c r="L42" s="338">
        <f>+J42+K42</f>
        <v>12900000</v>
      </c>
      <c r="M42" s="338">
        <f>+I42+L42</f>
        <v>12900000</v>
      </c>
      <c r="N42" s="337">
        <f t="shared" si="16"/>
        <v>68700000</v>
      </c>
      <c r="P42" s="340"/>
      <c r="S42" s="347"/>
      <c r="T42" s="347"/>
      <c r="U42" s="342"/>
    </row>
    <row r="43" spans="1:21" s="339" customFormat="1" ht="18" customHeight="1" x14ac:dyDescent="0.25">
      <c r="A43" s="334"/>
      <c r="B43" s="335"/>
      <c r="C43" s="335"/>
      <c r="D43" s="335" t="s">
        <v>81</v>
      </c>
      <c r="E43" s="335" t="s">
        <v>31</v>
      </c>
      <c r="F43" s="337">
        <f>SUM(F44:F45)</f>
        <v>81600000</v>
      </c>
      <c r="G43" s="344">
        <f>+G45</f>
        <v>0</v>
      </c>
      <c r="H43" s="338">
        <f>+SUM(H45:H45)</f>
        <v>0</v>
      </c>
      <c r="I43" s="338">
        <f t="shared" si="17"/>
        <v>0</v>
      </c>
      <c r="J43" s="338">
        <f>+SUM(J45:J45)</f>
        <v>8600000</v>
      </c>
      <c r="K43" s="338">
        <f>+SUM(K45:K45)</f>
        <v>4300000</v>
      </c>
      <c r="L43" s="338">
        <f t="shared" ref="L43:L45" si="18">+J43+K43</f>
        <v>12900000</v>
      </c>
      <c r="M43" s="338">
        <f t="shared" ref="M43:M45" si="19">+I43+L43</f>
        <v>12900000</v>
      </c>
      <c r="N43" s="337">
        <f t="shared" si="16"/>
        <v>68700000</v>
      </c>
      <c r="P43" s="340"/>
      <c r="S43" s="347"/>
      <c r="T43" s="347"/>
      <c r="U43" s="342"/>
    </row>
    <row r="44" spans="1:21" s="339" customFormat="1" ht="18" customHeight="1" x14ac:dyDescent="0.25">
      <c r="A44" s="334"/>
      <c r="B44" s="335"/>
      <c r="C44" s="335"/>
      <c r="D44" s="335" t="s">
        <v>451</v>
      </c>
      <c r="E44" s="335" t="s">
        <v>452</v>
      </c>
      <c r="F44" s="337">
        <v>30000000</v>
      </c>
      <c r="G44" s="338"/>
      <c r="H44" s="338"/>
      <c r="I44" s="338">
        <f t="shared" si="17"/>
        <v>0</v>
      </c>
      <c r="J44" s="338"/>
      <c r="K44" s="338"/>
      <c r="L44" s="338">
        <f t="shared" si="18"/>
        <v>0</v>
      </c>
      <c r="M44" s="338">
        <f t="shared" si="19"/>
        <v>0</v>
      </c>
      <c r="N44" s="337">
        <f t="shared" si="16"/>
        <v>30000000</v>
      </c>
      <c r="P44" s="340"/>
      <c r="S44" s="347"/>
      <c r="T44" s="347"/>
      <c r="U44" s="342"/>
    </row>
    <row r="45" spans="1:21" s="339" customFormat="1" ht="18" customHeight="1" x14ac:dyDescent="0.25">
      <c r="A45" s="334"/>
      <c r="B45" s="335"/>
      <c r="C45" s="335"/>
      <c r="D45" s="335" t="s">
        <v>82</v>
      </c>
      <c r="E45" s="335" t="s">
        <v>83</v>
      </c>
      <c r="F45" s="337">
        <v>51600000</v>
      </c>
      <c r="G45" s="338"/>
      <c r="H45" s="338"/>
      <c r="I45" s="338">
        <f t="shared" si="17"/>
        <v>0</v>
      </c>
      <c r="J45" s="338">
        <v>8600000</v>
      </c>
      <c r="K45" s="338">
        <v>4300000</v>
      </c>
      <c r="L45" s="338">
        <f t="shared" si="18"/>
        <v>12900000</v>
      </c>
      <c r="M45" s="338">
        <f t="shared" si="19"/>
        <v>12900000</v>
      </c>
      <c r="N45" s="337">
        <f t="shared" si="16"/>
        <v>38700000</v>
      </c>
      <c r="P45" s="340"/>
      <c r="S45" s="455">
        <v>4300000</v>
      </c>
      <c r="T45" s="347"/>
      <c r="U45" s="342"/>
    </row>
    <row r="46" spans="1:21" s="153" customFormat="1" ht="18" customHeight="1" x14ac:dyDescent="0.25">
      <c r="A46" s="353"/>
      <c r="B46" s="354"/>
      <c r="C46" s="354"/>
      <c r="D46" s="355"/>
      <c r="E46" s="355"/>
      <c r="F46" s="356"/>
      <c r="G46" s="357"/>
      <c r="H46" s="357"/>
      <c r="I46" s="357"/>
      <c r="J46" s="357"/>
      <c r="K46" s="357"/>
      <c r="L46" s="357"/>
      <c r="M46" s="357"/>
      <c r="N46" s="356"/>
      <c r="P46" s="200"/>
      <c r="S46" s="221"/>
      <c r="T46" s="221"/>
      <c r="U46" s="254"/>
    </row>
    <row r="47" spans="1:21" s="319" customFormat="1" ht="18" customHeight="1" x14ac:dyDescent="0.25">
      <c r="A47" s="276"/>
      <c r="B47" s="305" t="s">
        <v>407</v>
      </c>
      <c r="C47" s="305"/>
      <c r="D47" s="305"/>
      <c r="E47" s="305" t="s">
        <v>408</v>
      </c>
      <c r="F47" s="359">
        <f>+F48+F113</f>
        <v>27970445142</v>
      </c>
      <c r="G47" s="360">
        <f>+G48</f>
        <v>914829928</v>
      </c>
      <c r="H47" s="360">
        <f>+H48+H113</f>
        <v>312720646</v>
      </c>
      <c r="I47" s="360">
        <f>+G47+H47</f>
        <v>1227550574</v>
      </c>
      <c r="J47" s="360">
        <f>+J114</f>
        <v>2990625</v>
      </c>
      <c r="K47" s="360">
        <f>+K114</f>
        <v>0</v>
      </c>
      <c r="L47" s="360">
        <f>+J47+K47</f>
        <v>2990625</v>
      </c>
      <c r="M47" s="360">
        <f>+I47+L47</f>
        <v>1230541199</v>
      </c>
      <c r="N47" s="359">
        <f>+F47-M47</f>
        <v>26739903943</v>
      </c>
      <c r="P47" s="361"/>
      <c r="R47" s="321"/>
      <c r="S47" s="362"/>
      <c r="T47" s="362"/>
      <c r="U47" s="350"/>
    </row>
    <row r="48" spans="1:21" s="319" customFormat="1" ht="18" customHeight="1" x14ac:dyDescent="0.25">
      <c r="A48" s="276">
        <v>3</v>
      </c>
      <c r="B48" s="305"/>
      <c r="C48" s="305" t="s">
        <v>156</v>
      </c>
      <c r="D48" s="363"/>
      <c r="E48" s="364" t="s">
        <v>157</v>
      </c>
      <c r="F48" s="307">
        <f>+F49</f>
        <v>27939292142</v>
      </c>
      <c r="G48" s="308">
        <f>+G49</f>
        <v>914829928</v>
      </c>
      <c r="H48" s="308">
        <f>+H49</f>
        <v>312720646</v>
      </c>
      <c r="I48" s="308">
        <f>+G48+H48</f>
        <v>1227550574</v>
      </c>
      <c r="J48" s="308">
        <f>+J49</f>
        <v>0</v>
      </c>
      <c r="K48" s="308">
        <f>+K49</f>
        <v>0</v>
      </c>
      <c r="L48" s="308">
        <f>+J48+K48</f>
        <v>0</v>
      </c>
      <c r="M48" s="308">
        <f>+I48+L48</f>
        <v>1227550574</v>
      </c>
      <c r="N48" s="307">
        <f>+F48-M48</f>
        <v>26711741568</v>
      </c>
      <c r="P48" s="320"/>
      <c r="R48" s="321"/>
      <c r="S48" s="349"/>
      <c r="T48" s="349"/>
      <c r="U48" s="350"/>
    </row>
    <row r="49" spans="1:21" s="329" customFormat="1" ht="18" customHeight="1" x14ac:dyDescent="0.25">
      <c r="A49" s="323"/>
      <c r="B49" s="324"/>
      <c r="C49" s="324"/>
      <c r="D49" s="325" t="s">
        <v>207</v>
      </c>
      <c r="E49" s="326" t="s">
        <v>262</v>
      </c>
      <c r="F49" s="327">
        <f t="shared" ref="F49" si="20">+F50</f>
        <v>27939292142</v>
      </c>
      <c r="G49" s="328">
        <f>+G50</f>
        <v>914829928</v>
      </c>
      <c r="H49" s="328">
        <f>+H50</f>
        <v>312720646</v>
      </c>
      <c r="I49" s="328">
        <f t="shared" ref="I49:I50" si="21">+G49+H49</f>
        <v>1227550574</v>
      </c>
      <c r="J49" s="328"/>
      <c r="K49" s="328">
        <f>+K50</f>
        <v>0</v>
      </c>
      <c r="L49" s="328">
        <f t="shared" ref="L49:L112" si="22">+J49+K49</f>
        <v>0</v>
      </c>
      <c r="M49" s="328">
        <f t="shared" ref="M49:M72" si="23">+I49+L49</f>
        <v>1227550574</v>
      </c>
      <c r="N49" s="327">
        <f t="shared" ref="N49:N54" si="24">+F49-M49</f>
        <v>26711741568</v>
      </c>
      <c r="P49" s="330"/>
      <c r="R49" s="331"/>
      <c r="S49" s="351"/>
      <c r="T49" s="351"/>
      <c r="U49" s="333"/>
    </row>
    <row r="50" spans="1:21" s="339" customFormat="1" ht="18" customHeight="1" x14ac:dyDescent="0.25">
      <c r="A50" s="334"/>
      <c r="B50" s="335"/>
      <c r="C50" s="335"/>
      <c r="D50" s="365" t="s">
        <v>158</v>
      </c>
      <c r="E50" s="335" t="s">
        <v>159</v>
      </c>
      <c r="F50" s="337">
        <f>F51+F76+F83+F101</f>
        <v>27939292142</v>
      </c>
      <c r="G50" s="344">
        <f>+G51+G83+G101+G76</f>
        <v>914829928</v>
      </c>
      <c r="H50" s="344">
        <f>+H51+H83+H101+H76</f>
        <v>312720646</v>
      </c>
      <c r="I50" s="344">
        <f t="shared" si="21"/>
        <v>1227550574</v>
      </c>
      <c r="J50" s="344"/>
      <c r="K50" s="344">
        <f>+K51+K76+K83+K101</f>
        <v>0</v>
      </c>
      <c r="L50" s="344">
        <f t="shared" si="22"/>
        <v>0</v>
      </c>
      <c r="M50" s="344">
        <f t="shared" si="23"/>
        <v>1227550574</v>
      </c>
      <c r="N50" s="337">
        <f t="shared" si="24"/>
        <v>26711741568</v>
      </c>
      <c r="P50" s="340"/>
      <c r="S50" s="347"/>
      <c r="T50" s="347"/>
      <c r="U50" s="342"/>
    </row>
    <row r="51" spans="1:21" s="339" customFormat="1" ht="18" customHeight="1" x14ac:dyDescent="0.25">
      <c r="A51" s="334"/>
      <c r="B51" s="335"/>
      <c r="C51" s="335"/>
      <c r="D51" s="365" t="s">
        <v>208</v>
      </c>
      <c r="E51" s="335" t="s">
        <v>209</v>
      </c>
      <c r="F51" s="337">
        <f>F52+F54+F56+F58+F60+F62+F64+F66+F68+F70+F72+F74</f>
        <v>15098272502</v>
      </c>
      <c r="G51" s="344">
        <f>+G52+G54+G56+G58+G60+G62+G64+G66+G68+G70+G72+G74</f>
        <v>644411140</v>
      </c>
      <c r="H51" s="344">
        <f>+H52+H54+H56+H58+H60+H62+H64+H66+H68+H70+H72+H74</f>
        <v>312720646</v>
      </c>
      <c r="I51" s="344">
        <f>+G51+H51</f>
        <v>957131786</v>
      </c>
      <c r="J51" s="344"/>
      <c r="K51" s="344">
        <f>+K52+K54+K56+K58+K60+K62+K64+K66+K68+K70+K72+K74</f>
        <v>0</v>
      </c>
      <c r="L51" s="344">
        <f t="shared" si="22"/>
        <v>0</v>
      </c>
      <c r="M51" s="344">
        <f t="shared" si="23"/>
        <v>957131786</v>
      </c>
      <c r="N51" s="337">
        <f t="shared" si="24"/>
        <v>14141140716</v>
      </c>
      <c r="P51" s="340"/>
      <c r="S51" s="347"/>
      <c r="T51" s="347"/>
      <c r="U51" s="342"/>
    </row>
    <row r="52" spans="1:21" s="339" customFormat="1" ht="18" customHeight="1" x14ac:dyDescent="0.25">
      <c r="A52" s="334"/>
      <c r="B52" s="335"/>
      <c r="C52" s="335"/>
      <c r="D52" s="365" t="s">
        <v>160</v>
      </c>
      <c r="E52" s="335" t="s">
        <v>162</v>
      </c>
      <c r="F52" s="337">
        <f>+F53</f>
        <v>13525507924</v>
      </c>
      <c r="G52" s="344">
        <f>+G53</f>
        <v>484889600</v>
      </c>
      <c r="H52" s="344">
        <f>+H53</f>
        <v>236043300</v>
      </c>
      <c r="I52" s="344">
        <f t="shared" ref="I52" si="25">+G52+H52</f>
        <v>720932900</v>
      </c>
      <c r="J52" s="344"/>
      <c r="K52" s="344">
        <f>+K53</f>
        <v>0</v>
      </c>
      <c r="L52" s="344">
        <f>+J52+K52</f>
        <v>0</v>
      </c>
      <c r="M52" s="344">
        <f t="shared" si="23"/>
        <v>720932900</v>
      </c>
      <c r="N52" s="337">
        <f t="shared" si="24"/>
        <v>12804575024</v>
      </c>
      <c r="P52" s="340"/>
      <c r="S52" s="347"/>
      <c r="T52" s="347"/>
      <c r="U52" s="342"/>
    </row>
    <row r="53" spans="1:21" s="339" customFormat="1" ht="18" customHeight="1" x14ac:dyDescent="0.25">
      <c r="A53" s="334"/>
      <c r="B53" s="335"/>
      <c r="C53" s="335"/>
      <c r="D53" s="365" t="s">
        <v>161</v>
      </c>
      <c r="E53" s="335" t="s">
        <v>163</v>
      </c>
      <c r="F53" s="337">
        <v>13525507924</v>
      </c>
      <c r="G53" s="344">
        <v>484889600</v>
      </c>
      <c r="H53" s="344">
        <v>236043300</v>
      </c>
      <c r="I53" s="344">
        <f>+G53+H53</f>
        <v>720932900</v>
      </c>
      <c r="J53" s="344"/>
      <c r="K53" s="344"/>
      <c r="L53" s="344">
        <f t="shared" si="22"/>
        <v>0</v>
      </c>
      <c r="M53" s="344">
        <f t="shared" si="23"/>
        <v>720932900</v>
      </c>
      <c r="N53" s="337">
        <f t="shared" si="24"/>
        <v>12804575024</v>
      </c>
      <c r="P53" s="340"/>
      <c r="S53" s="347"/>
      <c r="T53" s="346">
        <v>236043300</v>
      </c>
      <c r="U53" s="342"/>
    </row>
    <row r="54" spans="1:21" s="339" customFormat="1" ht="18" customHeight="1" x14ac:dyDescent="0.25">
      <c r="A54" s="334"/>
      <c r="B54" s="335"/>
      <c r="C54" s="335"/>
      <c r="D54" s="365" t="s">
        <v>164</v>
      </c>
      <c r="E54" s="335" t="s">
        <v>166</v>
      </c>
      <c r="F54" s="337">
        <f>+F55</f>
        <v>401878814</v>
      </c>
      <c r="G54" s="344">
        <f>+G55</f>
        <v>49010896</v>
      </c>
      <c r="H54" s="344">
        <f>+H55</f>
        <v>23328042</v>
      </c>
      <c r="I54" s="344">
        <f t="shared" ref="I54:I73" si="26">+G54+H54</f>
        <v>72338938</v>
      </c>
      <c r="J54" s="344"/>
      <c r="K54" s="344">
        <f>+K55</f>
        <v>0</v>
      </c>
      <c r="L54" s="344">
        <f>+J54+K54</f>
        <v>0</v>
      </c>
      <c r="M54" s="344">
        <f t="shared" si="23"/>
        <v>72338938</v>
      </c>
      <c r="N54" s="337">
        <f t="shared" si="24"/>
        <v>329539876</v>
      </c>
      <c r="P54" s="340"/>
      <c r="S54" s="347"/>
      <c r="T54" s="346"/>
      <c r="U54" s="342"/>
    </row>
    <row r="55" spans="1:21" s="339" customFormat="1" ht="18" customHeight="1" x14ac:dyDescent="0.25">
      <c r="A55" s="334"/>
      <c r="B55" s="335"/>
      <c r="C55" s="335"/>
      <c r="D55" s="365" t="s">
        <v>165</v>
      </c>
      <c r="E55" s="335" t="s">
        <v>167</v>
      </c>
      <c r="F55" s="337">
        <v>401878814</v>
      </c>
      <c r="G55" s="344">
        <v>49010896</v>
      </c>
      <c r="H55" s="344">
        <v>23328042</v>
      </c>
      <c r="I55" s="344">
        <f t="shared" si="26"/>
        <v>72338938</v>
      </c>
      <c r="J55" s="344"/>
      <c r="K55" s="344"/>
      <c r="L55" s="344">
        <f t="shared" si="22"/>
        <v>0</v>
      </c>
      <c r="M55" s="344">
        <f t="shared" si="23"/>
        <v>72338938</v>
      </c>
      <c r="N55" s="337">
        <f>+F55-M55</f>
        <v>329539876</v>
      </c>
      <c r="P55" s="340"/>
      <c r="S55" s="347"/>
      <c r="T55" s="346">
        <v>23328042</v>
      </c>
      <c r="U55" s="342"/>
    </row>
    <row r="56" spans="1:21" s="339" customFormat="1" ht="18" customHeight="1" x14ac:dyDescent="0.25">
      <c r="A56" s="334"/>
      <c r="B56" s="335"/>
      <c r="C56" s="335"/>
      <c r="D56" s="365" t="s">
        <v>168</v>
      </c>
      <c r="E56" s="335" t="s">
        <v>170</v>
      </c>
      <c r="F56" s="337">
        <f>+F57</f>
        <v>290052000</v>
      </c>
      <c r="G56" s="344">
        <f>+G57</f>
        <v>35610000</v>
      </c>
      <c r="H56" s="344">
        <f>+H57</f>
        <v>17265000</v>
      </c>
      <c r="I56" s="344">
        <f t="shared" si="26"/>
        <v>52875000</v>
      </c>
      <c r="J56" s="344"/>
      <c r="K56" s="344">
        <f>+K57</f>
        <v>0</v>
      </c>
      <c r="L56" s="344">
        <f t="shared" si="22"/>
        <v>0</v>
      </c>
      <c r="M56" s="344">
        <f t="shared" si="23"/>
        <v>52875000</v>
      </c>
      <c r="N56" s="337">
        <f t="shared" ref="N56:N58" si="27">+F56-M56</f>
        <v>237177000</v>
      </c>
      <c r="P56" s="340"/>
      <c r="S56" s="347"/>
      <c r="T56" s="346"/>
      <c r="U56" s="342"/>
    </row>
    <row r="57" spans="1:21" s="339" customFormat="1" ht="18" customHeight="1" x14ac:dyDescent="0.25">
      <c r="A57" s="334"/>
      <c r="B57" s="335"/>
      <c r="C57" s="335"/>
      <c r="D57" s="365" t="s">
        <v>169</v>
      </c>
      <c r="E57" s="335" t="s">
        <v>171</v>
      </c>
      <c r="F57" s="337">
        <v>290052000</v>
      </c>
      <c r="G57" s="344">
        <v>35610000</v>
      </c>
      <c r="H57" s="344">
        <v>17265000</v>
      </c>
      <c r="I57" s="344">
        <f t="shared" si="26"/>
        <v>52875000</v>
      </c>
      <c r="J57" s="344"/>
      <c r="K57" s="344"/>
      <c r="L57" s="344">
        <f t="shared" si="22"/>
        <v>0</v>
      </c>
      <c r="M57" s="344">
        <f t="shared" si="23"/>
        <v>52875000</v>
      </c>
      <c r="N57" s="337">
        <f t="shared" si="27"/>
        <v>237177000</v>
      </c>
      <c r="P57" s="340"/>
      <c r="S57" s="347"/>
      <c r="T57" s="346">
        <v>17265000</v>
      </c>
      <c r="U57" s="342"/>
    </row>
    <row r="58" spans="1:21" s="339" customFormat="1" ht="18" customHeight="1" x14ac:dyDescent="0.25">
      <c r="A58" s="334"/>
      <c r="B58" s="335"/>
      <c r="C58" s="335"/>
      <c r="D58" s="365" t="s">
        <v>172</v>
      </c>
      <c r="E58" s="335" t="s">
        <v>174</v>
      </c>
      <c r="F58" s="337">
        <f>+F59</f>
        <v>62496000</v>
      </c>
      <c r="G58" s="344">
        <f>+G59</f>
        <v>1920000</v>
      </c>
      <c r="H58" s="344">
        <f>+H59</f>
        <v>960000</v>
      </c>
      <c r="I58" s="344">
        <f t="shared" si="26"/>
        <v>2880000</v>
      </c>
      <c r="J58" s="344"/>
      <c r="K58" s="344">
        <f>+K59</f>
        <v>0</v>
      </c>
      <c r="L58" s="344">
        <f t="shared" si="22"/>
        <v>0</v>
      </c>
      <c r="M58" s="344">
        <f t="shared" si="23"/>
        <v>2880000</v>
      </c>
      <c r="N58" s="337">
        <f t="shared" si="27"/>
        <v>59616000</v>
      </c>
      <c r="P58" s="340"/>
      <c r="S58" s="347"/>
      <c r="T58" s="347"/>
      <c r="U58" s="342"/>
    </row>
    <row r="59" spans="1:21" s="339" customFormat="1" ht="18" customHeight="1" x14ac:dyDescent="0.25">
      <c r="A59" s="334"/>
      <c r="B59" s="335"/>
      <c r="C59" s="335"/>
      <c r="D59" s="365" t="s">
        <v>173</v>
      </c>
      <c r="E59" s="335" t="s">
        <v>175</v>
      </c>
      <c r="F59" s="337">
        <v>62496000</v>
      </c>
      <c r="G59" s="344">
        <v>1920000</v>
      </c>
      <c r="H59" s="344">
        <v>960000</v>
      </c>
      <c r="I59" s="344">
        <f t="shared" si="26"/>
        <v>2880000</v>
      </c>
      <c r="J59" s="344"/>
      <c r="K59" s="344"/>
      <c r="L59" s="344">
        <f t="shared" si="22"/>
        <v>0</v>
      </c>
      <c r="M59" s="344">
        <f t="shared" si="23"/>
        <v>2880000</v>
      </c>
      <c r="N59" s="337">
        <f>+F59-M59</f>
        <v>59616000</v>
      </c>
      <c r="P59" s="340"/>
      <c r="S59" s="347"/>
      <c r="T59" s="346">
        <v>960000</v>
      </c>
      <c r="U59" s="342"/>
    </row>
    <row r="60" spans="1:21" s="339" customFormat="1" ht="18" customHeight="1" x14ac:dyDescent="0.25">
      <c r="A60" s="334"/>
      <c r="B60" s="335"/>
      <c r="C60" s="335"/>
      <c r="D60" s="365" t="s">
        <v>176</v>
      </c>
      <c r="E60" s="335" t="s">
        <v>178</v>
      </c>
      <c r="F60" s="337">
        <f>+F61</f>
        <v>126672000</v>
      </c>
      <c r="G60" s="344">
        <f>+G61</f>
        <v>15465000</v>
      </c>
      <c r="H60" s="344">
        <f>+H61</f>
        <v>7545000</v>
      </c>
      <c r="I60" s="344">
        <f t="shared" si="26"/>
        <v>23010000</v>
      </c>
      <c r="J60" s="344"/>
      <c r="K60" s="344">
        <f>+K61</f>
        <v>0</v>
      </c>
      <c r="L60" s="344">
        <f t="shared" si="22"/>
        <v>0</v>
      </c>
      <c r="M60" s="344">
        <f t="shared" si="23"/>
        <v>23010000</v>
      </c>
      <c r="N60" s="337">
        <f t="shared" ref="N60:N72" si="28">+F60-M60</f>
        <v>103662000</v>
      </c>
      <c r="P60" s="340"/>
      <c r="S60" s="347"/>
      <c r="T60" s="346"/>
      <c r="U60" s="342"/>
    </row>
    <row r="61" spans="1:21" s="339" customFormat="1" ht="18" customHeight="1" x14ac:dyDescent="0.25">
      <c r="A61" s="334"/>
      <c r="B61" s="335"/>
      <c r="C61" s="335"/>
      <c r="D61" s="365" t="s">
        <v>177</v>
      </c>
      <c r="E61" s="335" t="s">
        <v>179</v>
      </c>
      <c r="F61" s="337">
        <v>126672000</v>
      </c>
      <c r="G61" s="344">
        <v>15465000</v>
      </c>
      <c r="H61" s="344">
        <v>7545000</v>
      </c>
      <c r="I61" s="344">
        <f t="shared" si="26"/>
        <v>23010000</v>
      </c>
      <c r="J61" s="344"/>
      <c r="K61" s="344"/>
      <c r="L61" s="344">
        <f t="shared" si="22"/>
        <v>0</v>
      </c>
      <c r="M61" s="344">
        <f t="shared" si="23"/>
        <v>23010000</v>
      </c>
      <c r="N61" s="337">
        <f t="shared" si="28"/>
        <v>103662000</v>
      </c>
      <c r="P61" s="340"/>
      <c r="S61" s="347"/>
      <c r="T61" s="346">
        <v>7545000</v>
      </c>
      <c r="U61" s="342"/>
    </row>
    <row r="62" spans="1:21" s="339" customFormat="1" ht="18" customHeight="1" x14ac:dyDescent="0.25">
      <c r="A62" s="334"/>
      <c r="B62" s="335"/>
      <c r="C62" s="335"/>
      <c r="D62" s="365" t="s">
        <v>180</v>
      </c>
      <c r="E62" s="335" t="s">
        <v>182</v>
      </c>
      <c r="F62" s="337">
        <f>+F63</f>
        <v>237247920</v>
      </c>
      <c r="G62" s="344">
        <f>+G63</f>
        <v>28823160</v>
      </c>
      <c r="H62" s="344">
        <f>+H63</f>
        <v>13614960</v>
      </c>
      <c r="I62" s="344">
        <f t="shared" si="26"/>
        <v>42438120</v>
      </c>
      <c r="J62" s="344"/>
      <c r="K62" s="344">
        <f>+K63</f>
        <v>0</v>
      </c>
      <c r="L62" s="344">
        <f t="shared" si="22"/>
        <v>0</v>
      </c>
      <c r="M62" s="344">
        <f t="shared" si="23"/>
        <v>42438120</v>
      </c>
      <c r="N62" s="337">
        <f t="shared" si="28"/>
        <v>194809800</v>
      </c>
      <c r="P62" s="340"/>
      <c r="S62" s="347"/>
      <c r="T62" s="346"/>
      <c r="U62" s="342"/>
    </row>
    <row r="63" spans="1:21" s="339" customFormat="1" ht="18" customHeight="1" x14ac:dyDescent="0.25">
      <c r="A63" s="334"/>
      <c r="B63" s="335"/>
      <c r="C63" s="335"/>
      <c r="D63" s="365" t="s">
        <v>181</v>
      </c>
      <c r="E63" s="335" t="s">
        <v>183</v>
      </c>
      <c r="F63" s="337">
        <v>237247920</v>
      </c>
      <c r="G63" s="344">
        <v>28823160</v>
      </c>
      <c r="H63" s="344">
        <v>13614960</v>
      </c>
      <c r="I63" s="344">
        <f t="shared" si="26"/>
        <v>42438120</v>
      </c>
      <c r="J63" s="344"/>
      <c r="K63" s="344"/>
      <c r="L63" s="344">
        <f t="shared" si="22"/>
        <v>0</v>
      </c>
      <c r="M63" s="344">
        <f t="shared" si="23"/>
        <v>42438120</v>
      </c>
      <c r="N63" s="337">
        <f t="shared" si="28"/>
        <v>194809800</v>
      </c>
      <c r="P63" s="340"/>
      <c r="S63" s="347"/>
      <c r="T63" s="346">
        <v>13614960</v>
      </c>
      <c r="U63" s="342"/>
    </row>
    <row r="64" spans="1:21" s="339" customFormat="1" ht="18" customHeight="1" x14ac:dyDescent="0.25">
      <c r="A64" s="334"/>
      <c r="B64" s="335"/>
      <c r="C64" s="335"/>
      <c r="D64" s="365" t="s">
        <v>184</v>
      </c>
      <c r="E64" s="335" t="s">
        <v>186</v>
      </c>
      <c r="F64" s="337">
        <f>+F65</f>
        <v>202631050</v>
      </c>
      <c r="G64" s="344">
        <f>+G65</f>
        <v>555294</v>
      </c>
      <c r="H64" s="344">
        <f>+H65</f>
        <v>289559</v>
      </c>
      <c r="I64" s="344">
        <f t="shared" si="26"/>
        <v>844853</v>
      </c>
      <c r="J64" s="344"/>
      <c r="K64" s="344">
        <f>+K65</f>
        <v>0</v>
      </c>
      <c r="L64" s="344">
        <f t="shared" si="22"/>
        <v>0</v>
      </c>
      <c r="M64" s="344">
        <f t="shared" si="23"/>
        <v>844853</v>
      </c>
      <c r="N64" s="337">
        <f t="shared" si="28"/>
        <v>201786197</v>
      </c>
      <c r="P64" s="340"/>
      <c r="S64" s="347"/>
      <c r="T64" s="346"/>
      <c r="U64" s="342"/>
    </row>
    <row r="65" spans="1:21" s="339" customFormat="1" ht="18" customHeight="1" x14ac:dyDescent="0.25">
      <c r="A65" s="334"/>
      <c r="B65" s="335"/>
      <c r="C65" s="335"/>
      <c r="D65" s="365" t="s">
        <v>185</v>
      </c>
      <c r="E65" s="335" t="s">
        <v>187</v>
      </c>
      <c r="F65" s="337">
        <v>202631050</v>
      </c>
      <c r="G65" s="344">
        <v>555294</v>
      </c>
      <c r="H65" s="344">
        <v>289559</v>
      </c>
      <c r="I65" s="344">
        <f t="shared" si="26"/>
        <v>844853</v>
      </c>
      <c r="J65" s="344"/>
      <c r="K65" s="344"/>
      <c r="L65" s="344">
        <f t="shared" si="22"/>
        <v>0</v>
      </c>
      <c r="M65" s="344">
        <f t="shared" si="23"/>
        <v>844853</v>
      </c>
      <c r="N65" s="337">
        <f t="shared" si="28"/>
        <v>201786197</v>
      </c>
      <c r="P65" s="340"/>
      <c r="S65" s="347"/>
      <c r="T65" s="346">
        <v>289559</v>
      </c>
      <c r="U65" s="342"/>
    </row>
    <row r="66" spans="1:21" s="339" customFormat="1" ht="18" customHeight="1" x14ac:dyDescent="0.25">
      <c r="A66" s="334"/>
      <c r="B66" s="335"/>
      <c r="C66" s="335"/>
      <c r="D66" s="365" t="s">
        <v>188</v>
      </c>
      <c r="E66" s="335" t="s">
        <v>190</v>
      </c>
      <c r="F66" s="337">
        <f t="shared" ref="F66" si="29">+F67</f>
        <v>51845</v>
      </c>
      <c r="G66" s="344">
        <f>+G67</f>
        <v>6428</v>
      </c>
      <c r="H66" s="344">
        <f>+H67</f>
        <v>3115</v>
      </c>
      <c r="I66" s="344">
        <f t="shared" si="26"/>
        <v>9543</v>
      </c>
      <c r="J66" s="344"/>
      <c r="K66" s="344">
        <f>+K67</f>
        <v>0</v>
      </c>
      <c r="L66" s="344">
        <f t="shared" si="22"/>
        <v>0</v>
      </c>
      <c r="M66" s="344">
        <f t="shared" si="23"/>
        <v>9543</v>
      </c>
      <c r="N66" s="337">
        <f t="shared" si="28"/>
        <v>42302</v>
      </c>
      <c r="P66" s="340"/>
      <c r="S66" s="347"/>
      <c r="T66" s="346"/>
      <c r="U66" s="342"/>
    </row>
    <row r="67" spans="1:21" s="339" customFormat="1" ht="18" customHeight="1" x14ac:dyDescent="0.25">
      <c r="A67" s="334"/>
      <c r="B67" s="335"/>
      <c r="C67" s="335"/>
      <c r="D67" s="365" t="s">
        <v>189</v>
      </c>
      <c r="E67" s="335" t="s">
        <v>329</v>
      </c>
      <c r="F67" s="337">
        <v>51845</v>
      </c>
      <c r="G67" s="344">
        <v>6428</v>
      </c>
      <c r="H67" s="344">
        <v>3115</v>
      </c>
      <c r="I67" s="344">
        <f t="shared" si="26"/>
        <v>9543</v>
      </c>
      <c r="J67" s="344"/>
      <c r="K67" s="344"/>
      <c r="L67" s="344">
        <f t="shared" si="22"/>
        <v>0</v>
      </c>
      <c r="M67" s="344">
        <f t="shared" si="23"/>
        <v>9543</v>
      </c>
      <c r="N67" s="337">
        <f t="shared" si="28"/>
        <v>42302</v>
      </c>
      <c r="P67" s="340"/>
      <c r="S67" s="347"/>
      <c r="T67" s="346">
        <v>3115</v>
      </c>
      <c r="U67" s="342"/>
    </row>
    <row r="68" spans="1:21" s="339" customFormat="1" ht="18" customHeight="1" x14ac:dyDescent="0.25">
      <c r="A68" s="334"/>
      <c r="B68" s="335"/>
      <c r="C68" s="335"/>
      <c r="D68" s="365" t="s">
        <v>191</v>
      </c>
      <c r="E68" s="335" t="s">
        <v>193</v>
      </c>
      <c r="F68" s="337">
        <f t="shared" ref="F68" si="30">+F69</f>
        <v>190139023</v>
      </c>
      <c r="G68" s="344">
        <f>+G69</f>
        <v>23475822</v>
      </c>
      <c r="H68" s="344">
        <f>+H69</f>
        <v>11405655</v>
      </c>
      <c r="I68" s="344">
        <f t="shared" si="26"/>
        <v>34881477</v>
      </c>
      <c r="J68" s="344"/>
      <c r="K68" s="344">
        <f>+K69</f>
        <v>0</v>
      </c>
      <c r="L68" s="344">
        <f t="shared" si="22"/>
        <v>0</v>
      </c>
      <c r="M68" s="344">
        <f t="shared" si="23"/>
        <v>34881477</v>
      </c>
      <c r="N68" s="337">
        <f t="shared" si="28"/>
        <v>155257546</v>
      </c>
      <c r="P68" s="340"/>
      <c r="S68" s="347"/>
      <c r="T68" s="347"/>
      <c r="U68" s="342"/>
    </row>
    <row r="69" spans="1:21" s="339" customFormat="1" ht="18" customHeight="1" x14ac:dyDescent="0.25">
      <c r="A69" s="334"/>
      <c r="B69" s="335"/>
      <c r="C69" s="335"/>
      <c r="D69" s="365" t="s">
        <v>192</v>
      </c>
      <c r="E69" s="335" t="s">
        <v>194</v>
      </c>
      <c r="F69" s="337">
        <v>190139023</v>
      </c>
      <c r="G69" s="344">
        <v>23475822</v>
      </c>
      <c r="H69" s="344">
        <v>11405655</v>
      </c>
      <c r="I69" s="344">
        <f t="shared" si="26"/>
        <v>34881477</v>
      </c>
      <c r="J69" s="344"/>
      <c r="K69" s="344"/>
      <c r="L69" s="344">
        <f t="shared" si="22"/>
        <v>0</v>
      </c>
      <c r="M69" s="344">
        <f t="shared" si="23"/>
        <v>34881477</v>
      </c>
      <c r="N69" s="337">
        <f t="shared" si="28"/>
        <v>155257546</v>
      </c>
      <c r="P69" s="340"/>
      <c r="S69" s="347"/>
      <c r="T69" s="346">
        <v>11405655</v>
      </c>
      <c r="U69" s="342"/>
    </row>
    <row r="70" spans="1:21" s="339" customFormat="1" ht="18" customHeight="1" x14ac:dyDescent="0.25">
      <c r="A70" s="334"/>
      <c r="B70" s="335"/>
      <c r="C70" s="335"/>
      <c r="D70" s="365" t="s">
        <v>195</v>
      </c>
      <c r="E70" s="335" t="s">
        <v>197</v>
      </c>
      <c r="F70" s="337">
        <f t="shared" ref="F70" si="31">+F71</f>
        <v>9404942</v>
      </c>
      <c r="G70" s="344">
        <f>+G71</f>
        <v>1163735</v>
      </c>
      <c r="H70" s="344">
        <f>+H71</f>
        <v>566504</v>
      </c>
      <c r="I70" s="344">
        <f t="shared" si="26"/>
        <v>1730239</v>
      </c>
      <c r="J70" s="344"/>
      <c r="K70" s="344">
        <f>+K71</f>
        <v>0</v>
      </c>
      <c r="L70" s="344">
        <f t="shared" si="22"/>
        <v>0</v>
      </c>
      <c r="M70" s="344">
        <f t="shared" si="23"/>
        <v>1730239</v>
      </c>
      <c r="N70" s="337">
        <f t="shared" si="28"/>
        <v>7674703</v>
      </c>
      <c r="P70" s="340"/>
      <c r="S70" s="347"/>
      <c r="T70" s="346"/>
      <c r="U70" s="342"/>
    </row>
    <row r="71" spans="1:21" s="339" customFormat="1" ht="18" customHeight="1" x14ac:dyDescent="0.25">
      <c r="A71" s="334"/>
      <c r="B71" s="335"/>
      <c r="C71" s="335"/>
      <c r="D71" s="365" t="s">
        <v>196</v>
      </c>
      <c r="E71" s="335" t="s">
        <v>198</v>
      </c>
      <c r="F71" s="337">
        <v>9404942</v>
      </c>
      <c r="G71" s="344">
        <v>1163735</v>
      </c>
      <c r="H71" s="344">
        <v>566504</v>
      </c>
      <c r="I71" s="344">
        <f t="shared" si="26"/>
        <v>1730239</v>
      </c>
      <c r="J71" s="344"/>
      <c r="K71" s="344"/>
      <c r="L71" s="344">
        <f t="shared" si="22"/>
        <v>0</v>
      </c>
      <c r="M71" s="344">
        <f t="shared" si="23"/>
        <v>1730239</v>
      </c>
      <c r="N71" s="337">
        <f t="shared" si="28"/>
        <v>7674703</v>
      </c>
      <c r="P71" s="340"/>
      <c r="S71" s="347"/>
      <c r="T71" s="346">
        <v>566504</v>
      </c>
      <c r="U71" s="342"/>
    </row>
    <row r="72" spans="1:21" s="339" customFormat="1" ht="18" customHeight="1" x14ac:dyDescent="0.25">
      <c r="A72" s="334"/>
      <c r="B72" s="335"/>
      <c r="C72" s="335"/>
      <c r="D72" s="365" t="s">
        <v>199</v>
      </c>
      <c r="E72" s="335" t="s">
        <v>201</v>
      </c>
      <c r="F72" s="337">
        <f>+F73</f>
        <v>28215046</v>
      </c>
      <c r="G72" s="344">
        <f>+G73</f>
        <v>3491205</v>
      </c>
      <c r="H72" s="344">
        <f>+H73</f>
        <v>1699511</v>
      </c>
      <c r="I72" s="344">
        <f t="shared" si="26"/>
        <v>5190716</v>
      </c>
      <c r="J72" s="344"/>
      <c r="K72" s="344">
        <f>+K73</f>
        <v>0</v>
      </c>
      <c r="L72" s="344">
        <f t="shared" si="22"/>
        <v>0</v>
      </c>
      <c r="M72" s="344">
        <f t="shared" si="23"/>
        <v>5190716</v>
      </c>
      <c r="N72" s="337">
        <f t="shared" si="28"/>
        <v>23024330</v>
      </c>
      <c r="P72" s="340"/>
      <c r="S72" s="347"/>
      <c r="T72" s="346"/>
      <c r="U72" s="342"/>
    </row>
    <row r="73" spans="1:21" s="339" customFormat="1" ht="18" customHeight="1" x14ac:dyDescent="0.25">
      <c r="A73" s="334"/>
      <c r="B73" s="335"/>
      <c r="C73" s="335"/>
      <c r="D73" s="365" t="s">
        <v>200</v>
      </c>
      <c r="E73" s="335" t="s">
        <v>202</v>
      </c>
      <c r="F73" s="337">
        <v>28215046</v>
      </c>
      <c r="G73" s="344">
        <v>3491205</v>
      </c>
      <c r="H73" s="344">
        <v>1699511</v>
      </c>
      <c r="I73" s="344">
        <f t="shared" si="26"/>
        <v>5190716</v>
      </c>
      <c r="J73" s="344"/>
      <c r="K73" s="344"/>
      <c r="L73" s="344">
        <f t="shared" si="22"/>
        <v>0</v>
      </c>
      <c r="M73" s="344">
        <f>+I73+L73</f>
        <v>5190716</v>
      </c>
      <c r="N73" s="337">
        <f>+F73-M73</f>
        <v>23024330</v>
      </c>
      <c r="P73" s="340"/>
      <c r="S73" s="347"/>
      <c r="T73" s="346">
        <v>1699511</v>
      </c>
      <c r="U73" s="342"/>
    </row>
    <row r="74" spans="1:21" s="339" customFormat="1" ht="18" customHeight="1" x14ac:dyDescent="0.25">
      <c r="A74" s="334"/>
      <c r="B74" s="335"/>
      <c r="C74" s="335"/>
      <c r="D74" s="365" t="s">
        <v>203</v>
      </c>
      <c r="E74" s="335" t="s">
        <v>205</v>
      </c>
      <c r="F74" s="337">
        <f>+F75</f>
        <v>23975938</v>
      </c>
      <c r="G74" s="344">
        <f>G75</f>
        <v>0</v>
      </c>
      <c r="H74" s="344">
        <f>+H75</f>
        <v>0</v>
      </c>
      <c r="I74" s="344">
        <f>+I75</f>
        <v>0</v>
      </c>
      <c r="J74" s="344"/>
      <c r="K74" s="344">
        <f>+K75</f>
        <v>0</v>
      </c>
      <c r="L74" s="344">
        <f t="shared" si="22"/>
        <v>0</v>
      </c>
      <c r="M74" s="344">
        <f t="shared" ref="M74:M101" si="32">+I74+L74</f>
        <v>0</v>
      </c>
      <c r="N74" s="337">
        <f t="shared" ref="N74:N84" si="33">+F74-M74</f>
        <v>23975938</v>
      </c>
      <c r="P74" s="340"/>
      <c r="S74" s="347"/>
      <c r="T74" s="347"/>
      <c r="U74" s="342"/>
    </row>
    <row r="75" spans="1:21" s="339" customFormat="1" ht="18" customHeight="1" x14ac:dyDescent="0.25">
      <c r="A75" s="334"/>
      <c r="B75" s="335"/>
      <c r="C75" s="335"/>
      <c r="D75" s="365" t="s">
        <v>204</v>
      </c>
      <c r="E75" s="335" t="s">
        <v>206</v>
      </c>
      <c r="F75" s="337">
        <v>23975938</v>
      </c>
      <c r="G75" s="344"/>
      <c r="H75" s="344"/>
      <c r="I75" s="344">
        <f t="shared" ref="I75:I100" si="34">+G75+H75</f>
        <v>0</v>
      </c>
      <c r="J75" s="344"/>
      <c r="K75" s="344"/>
      <c r="L75" s="344">
        <f t="shared" si="22"/>
        <v>0</v>
      </c>
      <c r="M75" s="344">
        <f t="shared" si="32"/>
        <v>0</v>
      </c>
      <c r="N75" s="337">
        <f t="shared" si="33"/>
        <v>23975938</v>
      </c>
      <c r="P75" s="340"/>
      <c r="S75" s="347"/>
      <c r="T75" s="347"/>
      <c r="U75" s="342"/>
    </row>
    <row r="76" spans="1:21" s="339" customFormat="1" ht="18" customHeight="1" x14ac:dyDescent="0.25">
      <c r="A76" s="334"/>
      <c r="B76" s="335"/>
      <c r="C76" s="335"/>
      <c r="D76" s="365" t="s">
        <v>210</v>
      </c>
      <c r="E76" s="335" t="s">
        <v>211</v>
      </c>
      <c r="F76" s="337">
        <f>+F77+F79+F81</f>
        <v>2044369640</v>
      </c>
      <c r="G76" s="344">
        <f>+G77+G79+G81</f>
        <v>194118788</v>
      </c>
      <c r="H76" s="344">
        <f>+H77+H79+H81</f>
        <v>0</v>
      </c>
      <c r="I76" s="344">
        <f>+G76+H76</f>
        <v>194118788</v>
      </c>
      <c r="J76" s="344"/>
      <c r="K76" s="344">
        <f>+K77</f>
        <v>0</v>
      </c>
      <c r="L76" s="344">
        <f t="shared" si="22"/>
        <v>0</v>
      </c>
      <c r="M76" s="344">
        <f t="shared" si="32"/>
        <v>194118788</v>
      </c>
      <c r="N76" s="337">
        <f t="shared" si="33"/>
        <v>1850250852</v>
      </c>
      <c r="P76" s="340"/>
      <c r="S76" s="347"/>
      <c r="T76" s="347"/>
      <c r="U76" s="342"/>
    </row>
    <row r="77" spans="1:21" s="339" customFormat="1" ht="18" customHeight="1" x14ac:dyDescent="0.25">
      <c r="A77" s="334"/>
      <c r="B77" s="335"/>
      <c r="C77" s="335"/>
      <c r="D77" s="365" t="s">
        <v>212</v>
      </c>
      <c r="E77" s="335" t="s">
        <v>214</v>
      </c>
      <c r="F77" s="337">
        <f>+F78</f>
        <v>180000000</v>
      </c>
      <c r="G77" s="344">
        <f>+G78</f>
        <v>179148911</v>
      </c>
      <c r="H77" s="344">
        <f t="shared" ref="G77:H81" si="35">+H78</f>
        <v>0</v>
      </c>
      <c r="I77" s="344">
        <f t="shared" si="34"/>
        <v>179148911</v>
      </c>
      <c r="J77" s="344"/>
      <c r="K77" s="344">
        <f>+K78</f>
        <v>0</v>
      </c>
      <c r="L77" s="344">
        <f t="shared" si="22"/>
        <v>0</v>
      </c>
      <c r="M77" s="344">
        <f t="shared" si="32"/>
        <v>179148911</v>
      </c>
      <c r="N77" s="337">
        <f t="shared" si="33"/>
        <v>851089</v>
      </c>
      <c r="P77" s="340"/>
      <c r="S77" s="347"/>
      <c r="T77" s="347"/>
      <c r="U77" s="342"/>
    </row>
    <row r="78" spans="1:21" s="339" customFormat="1" ht="18" customHeight="1" x14ac:dyDescent="0.25">
      <c r="A78" s="334"/>
      <c r="B78" s="335"/>
      <c r="C78" s="335"/>
      <c r="D78" s="365" t="s">
        <v>213</v>
      </c>
      <c r="E78" s="335" t="s">
        <v>215</v>
      </c>
      <c r="F78" s="337">
        <v>180000000</v>
      </c>
      <c r="G78" s="344">
        <v>179148911</v>
      </c>
      <c r="H78" s="344"/>
      <c r="I78" s="344">
        <f t="shared" si="34"/>
        <v>179148911</v>
      </c>
      <c r="J78" s="344"/>
      <c r="K78" s="344"/>
      <c r="L78" s="344">
        <f t="shared" si="22"/>
        <v>0</v>
      </c>
      <c r="M78" s="344">
        <f t="shared" si="32"/>
        <v>179148911</v>
      </c>
      <c r="N78" s="337">
        <f t="shared" si="33"/>
        <v>851089</v>
      </c>
      <c r="P78" s="340"/>
      <c r="S78" s="347"/>
      <c r="T78" s="347"/>
      <c r="U78" s="342"/>
    </row>
    <row r="79" spans="1:21" s="339" customFormat="1" ht="18" customHeight="1" x14ac:dyDescent="0.25">
      <c r="A79" s="334"/>
      <c r="B79" s="335"/>
      <c r="C79" s="335"/>
      <c r="D79" s="365" t="s">
        <v>431</v>
      </c>
      <c r="E79" s="335" t="s">
        <v>432</v>
      </c>
      <c r="F79" s="337">
        <f>+F80</f>
        <v>123544200</v>
      </c>
      <c r="G79" s="344">
        <f t="shared" si="35"/>
        <v>9969877</v>
      </c>
      <c r="H79" s="344">
        <f t="shared" si="35"/>
        <v>0</v>
      </c>
      <c r="I79" s="344">
        <f>+G79+H79</f>
        <v>9969877</v>
      </c>
      <c r="J79" s="344"/>
      <c r="K79" s="344">
        <f>+K80</f>
        <v>0</v>
      </c>
      <c r="L79" s="344">
        <f t="shared" si="22"/>
        <v>0</v>
      </c>
      <c r="M79" s="344">
        <f t="shared" si="32"/>
        <v>9969877</v>
      </c>
      <c r="N79" s="337">
        <f t="shared" si="33"/>
        <v>113574323</v>
      </c>
      <c r="P79" s="340"/>
      <c r="S79" s="347"/>
      <c r="T79" s="347"/>
      <c r="U79" s="342"/>
    </row>
    <row r="80" spans="1:21" s="339" customFormat="1" ht="18" customHeight="1" x14ac:dyDescent="0.25">
      <c r="A80" s="334"/>
      <c r="B80" s="335"/>
      <c r="C80" s="335"/>
      <c r="D80" s="365" t="s">
        <v>429</v>
      </c>
      <c r="E80" s="335" t="s">
        <v>430</v>
      </c>
      <c r="F80" s="337">
        <v>123544200</v>
      </c>
      <c r="G80" s="344">
        <v>9969877</v>
      </c>
      <c r="H80" s="344"/>
      <c r="I80" s="344">
        <f>+G80+H80</f>
        <v>9969877</v>
      </c>
      <c r="J80" s="344"/>
      <c r="K80" s="344"/>
      <c r="L80" s="344"/>
      <c r="M80" s="344">
        <f t="shared" si="32"/>
        <v>9969877</v>
      </c>
      <c r="N80" s="337">
        <f>+F80-M80</f>
        <v>113574323</v>
      </c>
      <c r="P80" s="340"/>
      <c r="S80" s="347"/>
      <c r="T80" s="347"/>
      <c r="U80" s="342"/>
    </row>
    <row r="81" spans="1:21" s="339" customFormat="1" ht="18" customHeight="1" x14ac:dyDescent="0.25">
      <c r="A81" s="334"/>
      <c r="B81" s="335"/>
      <c r="C81" s="335"/>
      <c r="D81" s="365" t="s">
        <v>453</v>
      </c>
      <c r="E81" s="335" t="s">
        <v>456</v>
      </c>
      <c r="F81" s="337">
        <f>+F82</f>
        <v>1740825440</v>
      </c>
      <c r="G81" s="344">
        <f t="shared" si="35"/>
        <v>5000000</v>
      </c>
      <c r="H81" s="344">
        <f t="shared" si="35"/>
        <v>0</v>
      </c>
      <c r="I81" s="344">
        <f>+G81+H81</f>
        <v>5000000</v>
      </c>
      <c r="J81" s="344"/>
      <c r="K81" s="344">
        <f>+K82</f>
        <v>0</v>
      </c>
      <c r="L81" s="344">
        <f t="shared" ref="L81" si="36">+J81+K81</f>
        <v>0</v>
      </c>
      <c r="M81" s="344">
        <f t="shared" si="32"/>
        <v>5000000</v>
      </c>
      <c r="N81" s="337">
        <f t="shared" ref="N81" si="37">+F81-M81</f>
        <v>1735825440</v>
      </c>
      <c r="P81" s="340"/>
      <c r="S81" s="347"/>
      <c r="T81" s="347"/>
      <c r="U81" s="342"/>
    </row>
    <row r="82" spans="1:21" s="339" customFormat="1" ht="18" customHeight="1" x14ac:dyDescent="0.25">
      <c r="A82" s="334"/>
      <c r="B82" s="335"/>
      <c r="C82" s="335"/>
      <c r="D82" s="365" t="s">
        <v>454</v>
      </c>
      <c r="E82" s="335" t="s">
        <v>455</v>
      </c>
      <c r="F82" s="337">
        <v>1740825440</v>
      </c>
      <c r="G82" s="344">
        <v>5000000</v>
      </c>
      <c r="H82" s="344"/>
      <c r="I82" s="344">
        <f>+G82+H82</f>
        <v>5000000</v>
      </c>
      <c r="J82" s="344"/>
      <c r="K82" s="344"/>
      <c r="L82" s="344"/>
      <c r="M82" s="344">
        <f t="shared" si="32"/>
        <v>5000000</v>
      </c>
      <c r="N82" s="337">
        <f>+F82-M82</f>
        <v>1735825440</v>
      </c>
      <c r="P82" s="340"/>
      <c r="S82" s="347"/>
      <c r="T82" s="347"/>
      <c r="U82" s="342"/>
    </row>
    <row r="83" spans="1:21" s="339" customFormat="1" ht="18" customHeight="1" x14ac:dyDescent="0.25">
      <c r="A83" s="334"/>
      <c r="B83" s="335"/>
      <c r="C83" s="335"/>
      <c r="D83" s="365" t="s">
        <v>216</v>
      </c>
      <c r="E83" s="335" t="s">
        <v>219</v>
      </c>
      <c r="F83" s="337">
        <f>+F84+F95+F99</f>
        <v>10039198750</v>
      </c>
      <c r="G83" s="344">
        <f>+G84+G95+G99</f>
        <v>76300000</v>
      </c>
      <c r="H83" s="344">
        <f>+H84+H95+H99</f>
        <v>0</v>
      </c>
      <c r="I83" s="344">
        <f>+G83+H83</f>
        <v>76300000</v>
      </c>
      <c r="J83" s="344"/>
      <c r="K83" s="344">
        <f>+K84</f>
        <v>0</v>
      </c>
      <c r="L83" s="344">
        <f t="shared" si="22"/>
        <v>0</v>
      </c>
      <c r="M83" s="344">
        <f t="shared" si="32"/>
        <v>76300000</v>
      </c>
      <c r="N83" s="337">
        <f t="shared" si="33"/>
        <v>9962898750</v>
      </c>
      <c r="P83" s="340"/>
      <c r="S83" s="347"/>
      <c r="T83" s="347"/>
      <c r="U83" s="342"/>
    </row>
    <row r="84" spans="1:21" s="339" customFormat="1" ht="18" customHeight="1" x14ac:dyDescent="0.25">
      <c r="A84" s="334"/>
      <c r="B84" s="335"/>
      <c r="C84" s="335"/>
      <c r="D84" s="365" t="s">
        <v>217</v>
      </c>
      <c r="E84" s="335" t="s">
        <v>220</v>
      </c>
      <c r="F84" s="337">
        <f>SUM(F85:F94)</f>
        <v>8593798750</v>
      </c>
      <c r="G84" s="344">
        <f>SUM(G85:G94)</f>
        <v>0</v>
      </c>
      <c r="H84" s="344">
        <f>SUM(H85:H94)</f>
        <v>0</v>
      </c>
      <c r="I84" s="344">
        <f t="shared" si="34"/>
        <v>0</v>
      </c>
      <c r="J84" s="344"/>
      <c r="K84" s="344">
        <f>+SUM(K85:K94)</f>
        <v>0</v>
      </c>
      <c r="L84" s="344">
        <f t="shared" si="22"/>
        <v>0</v>
      </c>
      <c r="M84" s="344">
        <f t="shared" si="32"/>
        <v>0</v>
      </c>
      <c r="N84" s="337">
        <f t="shared" si="33"/>
        <v>8593798750</v>
      </c>
      <c r="P84" s="340"/>
      <c r="S84" s="347"/>
      <c r="T84" s="347"/>
      <c r="U84" s="342"/>
    </row>
    <row r="85" spans="1:21" s="339" customFormat="1" ht="18" customHeight="1" x14ac:dyDescent="0.25">
      <c r="A85" s="334"/>
      <c r="B85" s="335"/>
      <c r="C85" s="335"/>
      <c r="D85" s="365" t="s">
        <v>218</v>
      </c>
      <c r="E85" s="335" t="s">
        <v>221</v>
      </c>
      <c r="F85" s="337">
        <v>356112500</v>
      </c>
      <c r="G85" s="344"/>
      <c r="H85" s="344"/>
      <c r="I85" s="344">
        <f t="shared" si="34"/>
        <v>0</v>
      </c>
      <c r="J85" s="344"/>
      <c r="K85" s="344"/>
      <c r="L85" s="344">
        <f t="shared" si="22"/>
        <v>0</v>
      </c>
      <c r="M85" s="344">
        <f t="shared" si="32"/>
        <v>0</v>
      </c>
      <c r="N85" s="337">
        <f>+F85-M85</f>
        <v>356112500</v>
      </c>
      <c r="P85" s="340"/>
      <c r="S85" s="347"/>
      <c r="T85" s="347"/>
      <c r="U85" s="342"/>
    </row>
    <row r="86" spans="1:21" s="339" customFormat="1" ht="18" customHeight="1" x14ac:dyDescent="0.25">
      <c r="A86" s="334"/>
      <c r="B86" s="335"/>
      <c r="C86" s="335"/>
      <c r="D86" s="365" t="s">
        <v>222</v>
      </c>
      <c r="E86" s="335" t="s">
        <v>223</v>
      </c>
      <c r="F86" s="337">
        <v>413550000</v>
      </c>
      <c r="G86" s="344"/>
      <c r="H86" s="344"/>
      <c r="I86" s="344">
        <f t="shared" si="34"/>
        <v>0</v>
      </c>
      <c r="J86" s="344"/>
      <c r="K86" s="344"/>
      <c r="L86" s="344">
        <f t="shared" si="22"/>
        <v>0</v>
      </c>
      <c r="M86" s="344">
        <f t="shared" si="32"/>
        <v>0</v>
      </c>
      <c r="N86" s="337">
        <f t="shared" ref="N86:N100" si="38">+F86-M86</f>
        <v>413550000</v>
      </c>
      <c r="P86" s="340"/>
      <c r="S86" s="347"/>
      <c r="T86" s="347"/>
      <c r="U86" s="342"/>
    </row>
    <row r="87" spans="1:21" s="339" customFormat="1" ht="18" customHeight="1" x14ac:dyDescent="0.25">
      <c r="A87" s="334"/>
      <c r="B87" s="335"/>
      <c r="C87" s="335"/>
      <c r="D87" s="365" t="s">
        <v>224</v>
      </c>
      <c r="E87" s="335" t="s">
        <v>225</v>
      </c>
      <c r="F87" s="337">
        <v>45950000</v>
      </c>
      <c r="G87" s="344"/>
      <c r="H87" s="344"/>
      <c r="I87" s="344">
        <f t="shared" si="34"/>
        <v>0</v>
      </c>
      <c r="J87" s="344"/>
      <c r="K87" s="344"/>
      <c r="L87" s="344">
        <f t="shared" si="22"/>
        <v>0</v>
      </c>
      <c r="M87" s="344">
        <f t="shared" si="32"/>
        <v>0</v>
      </c>
      <c r="N87" s="337">
        <f t="shared" si="38"/>
        <v>45950000</v>
      </c>
      <c r="P87" s="340"/>
      <c r="S87" s="347"/>
      <c r="T87" s="347"/>
      <c r="U87" s="342"/>
    </row>
    <row r="88" spans="1:21" s="339" customFormat="1" ht="18" customHeight="1" x14ac:dyDescent="0.25">
      <c r="A88" s="334"/>
      <c r="B88" s="335"/>
      <c r="C88" s="335"/>
      <c r="D88" s="365" t="s">
        <v>226</v>
      </c>
      <c r="E88" s="335" t="s">
        <v>227</v>
      </c>
      <c r="F88" s="337">
        <v>252725000</v>
      </c>
      <c r="G88" s="344"/>
      <c r="H88" s="344"/>
      <c r="I88" s="344">
        <f t="shared" si="34"/>
        <v>0</v>
      </c>
      <c r="J88" s="344"/>
      <c r="K88" s="344"/>
      <c r="L88" s="344">
        <f t="shared" si="22"/>
        <v>0</v>
      </c>
      <c r="M88" s="344">
        <f t="shared" si="32"/>
        <v>0</v>
      </c>
      <c r="N88" s="337">
        <f t="shared" si="38"/>
        <v>252725000</v>
      </c>
      <c r="P88" s="340"/>
      <c r="S88" s="347"/>
      <c r="T88" s="347"/>
      <c r="U88" s="342"/>
    </row>
    <row r="89" spans="1:21" s="339" customFormat="1" ht="18" customHeight="1" x14ac:dyDescent="0.25">
      <c r="A89" s="334"/>
      <c r="B89" s="335"/>
      <c r="C89" s="335"/>
      <c r="D89" s="365" t="s">
        <v>228</v>
      </c>
      <c r="E89" s="335" t="s">
        <v>229</v>
      </c>
      <c r="F89" s="337">
        <v>3101625000</v>
      </c>
      <c r="G89" s="344"/>
      <c r="H89" s="344"/>
      <c r="I89" s="344">
        <f t="shared" si="34"/>
        <v>0</v>
      </c>
      <c r="J89" s="344"/>
      <c r="K89" s="344"/>
      <c r="L89" s="344">
        <f t="shared" si="22"/>
        <v>0</v>
      </c>
      <c r="M89" s="344">
        <f t="shared" si="32"/>
        <v>0</v>
      </c>
      <c r="N89" s="337">
        <f t="shared" si="38"/>
        <v>3101625000</v>
      </c>
      <c r="P89" s="340"/>
      <c r="S89" s="347"/>
      <c r="T89" s="347"/>
      <c r="U89" s="342"/>
    </row>
    <row r="90" spans="1:21" s="339" customFormat="1" ht="18" customHeight="1" x14ac:dyDescent="0.25">
      <c r="A90" s="334"/>
      <c r="B90" s="335"/>
      <c r="C90" s="335"/>
      <c r="D90" s="365" t="s">
        <v>230</v>
      </c>
      <c r="E90" s="335" t="s">
        <v>231</v>
      </c>
      <c r="F90" s="337">
        <v>13785000</v>
      </c>
      <c r="G90" s="344"/>
      <c r="H90" s="344"/>
      <c r="I90" s="344">
        <f t="shared" si="34"/>
        <v>0</v>
      </c>
      <c r="J90" s="344"/>
      <c r="K90" s="344"/>
      <c r="L90" s="344">
        <f t="shared" si="22"/>
        <v>0</v>
      </c>
      <c r="M90" s="344">
        <f t="shared" si="32"/>
        <v>0</v>
      </c>
      <c r="N90" s="337">
        <f t="shared" si="38"/>
        <v>13785000</v>
      </c>
      <c r="P90" s="340"/>
      <c r="S90" s="347"/>
      <c r="T90" s="347"/>
      <c r="U90" s="342"/>
    </row>
    <row r="91" spans="1:21" s="339" customFormat="1" ht="18" customHeight="1" x14ac:dyDescent="0.25">
      <c r="A91" s="334"/>
      <c r="B91" s="335"/>
      <c r="C91" s="335"/>
      <c r="D91" s="365" t="s">
        <v>232</v>
      </c>
      <c r="E91" s="335" t="s">
        <v>233</v>
      </c>
      <c r="F91" s="337">
        <v>126362500</v>
      </c>
      <c r="G91" s="344"/>
      <c r="H91" s="344"/>
      <c r="I91" s="344">
        <f t="shared" si="34"/>
        <v>0</v>
      </c>
      <c r="J91" s="344"/>
      <c r="K91" s="344"/>
      <c r="L91" s="344">
        <f t="shared" si="22"/>
        <v>0</v>
      </c>
      <c r="M91" s="344">
        <f t="shared" si="32"/>
        <v>0</v>
      </c>
      <c r="N91" s="337">
        <f t="shared" si="38"/>
        <v>126362500</v>
      </c>
      <c r="P91" s="340"/>
      <c r="S91" s="347"/>
      <c r="T91" s="347"/>
      <c r="U91" s="342"/>
    </row>
    <row r="92" spans="1:21" s="339" customFormat="1" ht="19.5" customHeight="1" x14ac:dyDescent="0.25">
      <c r="A92" s="366"/>
      <c r="B92" s="367"/>
      <c r="C92" s="367"/>
      <c r="D92" s="368" t="s">
        <v>234</v>
      </c>
      <c r="E92" s="369" t="s">
        <v>235</v>
      </c>
      <c r="F92" s="370">
        <v>2297500</v>
      </c>
      <c r="G92" s="371"/>
      <c r="H92" s="371"/>
      <c r="I92" s="371">
        <f t="shared" si="34"/>
        <v>0</v>
      </c>
      <c r="J92" s="371"/>
      <c r="K92" s="371"/>
      <c r="L92" s="371">
        <f t="shared" si="22"/>
        <v>0</v>
      </c>
      <c r="M92" s="371">
        <f t="shared" si="32"/>
        <v>0</v>
      </c>
      <c r="N92" s="370">
        <f t="shared" si="38"/>
        <v>2297500</v>
      </c>
      <c r="P92" s="340"/>
      <c r="S92" s="347"/>
      <c r="T92" s="347"/>
      <c r="U92" s="342"/>
    </row>
    <row r="93" spans="1:21" s="339" customFormat="1" ht="30.75" customHeight="1" x14ac:dyDescent="0.25">
      <c r="A93" s="366"/>
      <c r="B93" s="367"/>
      <c r="C93" s="367"/>
      <c r="D93" s="368" t="s">
        <v>236</v>
      </c>
      <c r="E93" s="369" t="s">
        <v>237</v>
      </c>
      <c r="F93" s="370">
        <v>1156791250</v>
      </c>
      <c r="G93" s="371"/>
      <c r="H93" s="371"/>
      <c r="I93" s="371">
        <f t="shared" si="34"/>
        <v>0</v>
      </c>
      <c r="J93" s="371"/>
      <c r="K93" s="371"/>
      <c r="L93" s="371">
        <f t="shared" si="22"/>
        <v>0</v>
      </c>
      <c r="M93" s="371">
        <f t="shared" si="32"/>
        <v>0</v>
      </c>
      <c r="N93" s="370">
        <f t="shared" si="38"/>
        <v>1156791250</v>
      </c>
      <c r="P93" s="340"/>
      <c r="S93" s="347"/>
      <c r="T93" s="347"/>
      <c r="U93" s="342"/>
    </row>
    <row r="94" spans="1:21" s="339" customFormat="1" ht="31.5" x14ac:dyDescent="0.25">
      <c r="A94" s="366"/>
      <c r="B94" s="367"/>
      <c r="C94" s="367"/>
      <c r="D94" s="368" t="s">
        <v>238</v>
      </c>
      <c r="E94" s="369" t="s">
        <v>239</v>
      </c>
      <c r="F94" s="370">
        <v>3124600000</v>
      </c>
      <c r="G94" s="371"/>
      <c r="H94" s="371"/>
      <c r="I94" s="371">
        <f t="shared" si="34"/>
        <v>0</v>
      </c>
      <c r="J94" s="371"/>
      <c r="K94" s="371"/>
      <c r="L94" s="371">
        <f t="shared" si="22"/>
        <v>0</v>
      </c>
      <c r="M94" s="371">
        <f t="shared" si="32"/>
        <v>0</v>
      </c>
      <c r="N94" s="370">
        <f t="shared" si="38"/>
        <v>3124600000</v>
      </c>
      <c r="P94" s="340"/>
      <c r="S94" s="347"/>
      <c r="T94" s="347"/>
      <c r="U94" s="342"/>
    </row>
    <row r="95" spans="1:21" s="339" customFormat="1" ht="18" customHeight="1" x14ac:dyDescent="0.25">
      <c r="A95" s="334"/>
      <c r="B95" s="335"/>
      <c r="C95" s="335"/>
      <c r="D95" s="365" t="s">
        <v>433</v>
      </c>
      <c r="E95" s="335" t="s">
        <v>434</v>
      </c>
      <c r="F95" s="337">
        <f>+F96+F97+F98</f>
        <v>984100000</v>
      </c>
      <c r="G95" s="344">
        <f>+G96+G97</f>
        <v>42050000</v>
      </c>
      <c r="H95" s="344">
        <f>+H96+H97</f>
        <v>0</v>
      </c>
      <c r="I95" s="344">
        <f>+G95+H95</f>
        <v>42050000</v>
      </c>
      <c r="J95" s="344">
        <f>+J96+J97</f>
        <v>0</v>
      </c>
      <c r="K95" s="344">
        <f>+SUM(K101:K110)</f>
        <v>0</v>
      </c>
      <c r="L95" s="344">
        <f>+J95+K95</f>
        <v>0</v>
      </c>
      <c r="M95" s="344">
        <f t="shared" si="32"/>
        <v>42050000</v>
      </c>
      <c r="N95" s="337">
        <f t="shared" si="38"/>
        <v>942050000</v>
      </c>
      <c r="P95" s="340"/>
      <c r="S95" s="347"/>
      <c r="T95" s="347"/>
      <c r="U95" s="342"/>
    </row>
    <row r="96" spans="1:21" s="339" customFormat="1" ht="18" customHeight="1" x14ac:dyDescent="0.25">
      <c r="A96" s="334"/>
      <c r="B96" s="335"/>
      <c r="C96" s="335"/>
      <c r="D96" s="365" t="s">
        <v>435</v>
      </c>
      <c r="E96" s="335" t="s">
        <v>437</v>
      </c>
      <c r="F96" s="337">
        <v>516750000</v>
      </c>
      <c r="G96" s="344">
        <v>40950000</v>
      </c>
      <c r="H96" s="344"/>
      <c r="I96" s="344">
        <f t="shared" si="34"/>
        <v>40950000</v>
      </c>
      <c r="J96" s="344"/>
      <c r="K96" s="344"/>
      <c r="L96" s="344">
        <f t="shared" si="22"/>
        <v>0</v>
      </c>
      <c r="M96" s="344">
        <f t="shared" si="32"/>
        <v>40950000</v>
      </c>
      <c r="N96" s="337">
        <f t="shared" si="38"/>
        <v>475800000</v>
      </c>
      <c r="P96" s="340"/>
      <c r="S96" s="347"/>
      <c r="T96" s="347"/>
      <c r="U96" s="342"/>
    </row>
    <row r="97" spans="1:21" s="339" customFormat="1" ht="18" customHeight="1" x14ac:dyDescent="0.25">
      <c r="A97" s="334"/>
      <c r="B97" s="335"/>
      <c r="C97" s="335"/>
      <c r="D97" s="365" t="s">
        <v>436</v>
      </c>
      <c r="E97" s="335" t="s">
        <v>438</v>
      </c>
      <c r="F97" s="337">
        <v>19500000</v>
      </c>
      <c r="G97" s="344">
        <v>1100000</v>
      </c>
      <c r="H97" s="344"/>
      <c r="I97" s="344">
        <f t="shared" si="34"/>
        <v>1100000</v>
      </c>
      <c r="J97" s="344"/>
      <c r="K97" s="344"/>
      <c r="L97" s="344">
        <f t="shared" si="22"/>
        <v>0</v>
      </c>
      <c r="M97" s="344">
        <f t="shared" si="32"/>
        <v>1100000</v>
      </c>
      <c r="N97" s="337">
        <f t="shared" si="38"/>
        <v>18400000</v>
      </c>
      <c r="P97" s="340"/>
      <c r="S97" s="347"/>
      <c r="T97" s="347"/>
      <c r="U97" s="342"/>
    </row>
    <row r="98" spans="1:21" s="339" customFormat="1" ht="18" customHeight="1" x14ac:dyDescent="0.25">
      <c r="A98" s="334"/>
      <c r="B98" s="335"/>
      <c r="C98" s="335"/>
      <c r="D98" s="365" t="s">
        <v>457</v>
      </c>
      <c r="E98" s="335" t="s">
        <v>458</v>
      </c>
      <c r="F98" s="337">
        <v>447850000</v>
      </c>
      <c r="G98" s="344"/>
      <c r="H98" s="344"/>
      <c r="I98" s="344">
        <f t="shared" si="34"/>
        <v>0</v>
      </c>
      <c r="J98" s="344"/>
      <c r="K98" s="344"/>
      <c r="L98" s="344">
        <f t="shared" si="22"/>
        <v>0</v>
      </c>
      <c r="M98" s="344">
        <f t="shared" si="32"/>
        <v>0</v>
      </c>
      <c r="N98" s="337">
        <f t="shared" si="38"/>
        <v>447850000</v>
      </c>
      <c r="P98" s="340"/>
      <c r="S98" s="347"/>
      <c r="T98" s="347"/>
      <c r="U98" s="342"/>
    </row>
    <row r="99" spans="1:21" s="339" customFormat="1" ht="18" customHeight="1" x14ac:dyDescent="0.25">
      <c r="A99" s="334"/>
      <c r="B99" s="335"/>
      <c r="C99" s="335"/>
      <c r="D99" s="365" t="s">
        <v>439</v>
      </c>
      <c r="E99" s="335" t="s">
        <v>442</v>
      </c>
      <c r="F99" s="337">
        <f>+F100</f>
        <v>461300000</v>
      </c>
      <c r="G99" s="344">
        <f>+G100</f>
        <v>34250000</v>
      </c>
      <c r="H99" s="344">
        <f>+H100</f>
        <v>0</v>
      </c>
      <c r="I99" s="344">
        <f t="shared" si="34"/>
        <v>34250000</v>
      </c>
      <c r="J99" s="344"/>
      <c r="K99" s="344">
        <f>+SUM(K104:K113)</f>
        <v>0</v>
      </c>
      <c r="L99" s="344">
        <f t="shared" si="22"/>
        <v>0</v>
      </c>
      <c r="M99" s="344">
        <f t="shared" si="32"/>
        <v>34250000</v>
      </c>
      <c r="N99" s="337">
        <f t="shared" si="38"/>
        <v>427050000</v>
      </c>
      <c r="P99" s="340"/>
      <c r="S99" s="347"/>
      <c r="T99" s="347"/>
      <c r="U99" s="342"/>
    </row>
    <row r="100" spans="1:21" s="339" customFormat="1" ht="18" customHeight="1" x14ac:dyDescent="0.25">
      <c r="A100" s="334"/>
      <c r="B100" s="335"/>
      <c r="C100" s="335"/>
      <c r="D100" s="365" t="s">
        <v>440</v>
      </c>
      <c r="E100" s="335" t="s">
        <v>441</v>
      </c>
      <c r="F100" s="337">
        <v>461300000</v>
      </c>
      <c r="G100" s="344">
        <v>34250000</v>
      </c>
      <c r="H100" s="344"/>
      <c r="I100" s="344">
        <f t="shared" si="34"/>
        <v>34250000</v>
      </c>
      <c r="J100" s="344"/>
      <c r="K100" s="344"/>
      <c r="L100" s="344">
        <f t="shared" si="22"/>
        <v>0</v>
      </c>
      <c r="M100" s="344">
        <f t="shared" si="32"/>
        <v>34250000</v>
      </c>
      <c r="N100" s="337">
        <f t="shared" si="38"/>
        <v>427050000</v>
      </c>
      <c r="P100" s="340"/>
      <c r="S100" s="347"/>
      <c r="T100" s="347"/>
      <c r="U100" s="342"/>
    </row>
    <row r="101" spans="1:21" s="339" customFormat="1" ht="18" customHeight="1" x14ac:dyDescent="0.25">
      <c r="A101" s="334"/>
      <c r="B101" s="335"/>
      <c r="C101" s="335"/>
      <c r="D101" s="365" t="s">
        <v>240</v>
      </c>
      <c r="E101" s="335" t="s">
        <v>241</v>
      </c>
      <c r="F101" s="337">
        <f>+F102</f>
        <v>757451250</v>
      </c>
      <c r="G101" s="344">
        <f>+G102</f>
        <v>0</v>
      </c>
      <c r="H101" s="344">
        <f>+H102</f>
        <v>0</v>
      </c>
      <c r="I101" s="344">
        <f>+G101+H101</f>
        <v>0</v>
      </c>
      <c r="J101" s="344">
        <f>+J102</f>
        <v>0</v>
      </c>
      <c r="K101" s="344">
        <f>+K102</f>
        <v>0</v>
      </c>
      <c r="L101" s="344">
        <f>+J101+K101</f>
        <v>0</v>
      </c>
      <c r="M101" s="344">
        <f t="shared" si="32"/>
        <v>0</v>
      </c>
      <c r="N101" s="337">
        <f>+F101-M101</f>
        <v>757451250</v>
      </c>
      <c r="P101" s="340"/>
      <c r="S101" s="347"/>
      <c r="T101" s="347"/>
      <c r="U101" s="342"/>
    </row>
    <row r="102" spans="1:21" s="339" customFormat="1" ht="18" customHeight="1" x14ac:dyDescent="0.25">
      <c r="A102" s="334"/>
      <c r="B102" s="335"/>
      <c r="C102" s="335"/>
      <c r="D102" s="365" t="s">
        <v>242</v>
      </c>
      <c r="E102" s="335" t="s">
        <v>409</v>
      </c>
      <c r="F102" s="337">
        <f>SUM(F103:F112)</f>
        <v>757451250</v>
      </c>
      <c r="G102" s="344">
        <f>SUM(G103:G112)</f>
        <v>0</v>
      </c>
      <c r="H102" s="344">
        <f>SUM(H103:H112)</f>
        <v>0</v>
      </c>
      <c r="I102" s="344">
        <f>+G102+H102</f>
        <v>0</v>
      </c>
      <c r="J102" s="344">
        <f>SUM(J103:J112)</f>
        <v>0</v>
      </c>
      <c r="K102" s="344">
        <f>SUM(K103:K112)</f>
        <v>0</v>
      </c>
      <c r="L102" s="344">
        <f>+J102+K102</f>
        <v>0</v>
      </c>
      <c r="M102" s="344">
        <f>+I102+L102</f>
        <v>0</v>
      </c>
      <c r="N102" s="337">
        <f>+F102-M102</f>
        <v>757451250</v>
      </c>
      <c r="P102" s="340"/>
      <c r="S102" s="347"/>
      <c r="T102" s="347"/>
      <c r="U102" s="342"/>
    </row>
    <row r="103" spans="1:21" s="339" customFormat="1" ht="18" customHeight="1" x14ac:dyDescent="0.25">
      <c r="A103" s="334"/>
      <c r="B103" s="335"/>
      <c r="C103" s="335"/>
      <c r="D103" s="365" t="s">
        <v>243</v>
      </c>
      <c r="E103" s="335" t="s">
        <v>331</v>
      </c>
      <c r="F103" s="337">
        <v>31387500</v>
      </c>
      <c r="G103" s="344"/>
      <c r="H103" s="344"/>
      <c r="I103" s="344">
        <f t="shared" ref="I103:I110" si="39">+G103+H103</f>
        <v>0</v>
      </c>
      <c r="J103" s="344"/>
      <c r="K103" s="344"/>
      <c r="L103" s="344">
        <f t="shared" si="22"/>
        <v>0</v>
      </c>
      <c r="M103" s="344">
        <f t="shared" ref="M103:M112" si="40">+I103+L103</f>
        <v>0</v>
      </c>
      <c r="N103" s="337">
        <f t="shared" ref="N103:N108" si="41">+F103-M103</f>
        <v>31387500</v>
      </c>
      <c r="P103" s="340"/>
      <c r="S103" s="347"/>
      <c r="T103" s="347"/>
      <c r="U103" s="342"/>
    </row>
    <row r="104" spans="1:21" s="339" customFormat="1" ht="18" customHeight="1" x14ac:dyDescent="0.25">
      <c r="A104" s="334"/>
      <c r="B104" s="335"/>
      <c r="C104" s="335"/>
      <c r="D104" s="365" t="s">
        <v>244</v>
      </c>
      <c r="E104" s="335" t="s">
        <v>245</v>
      </c>
      <c r="F104" s="337">
        <v>36450000</v>
      </c>
      <c r="G104" s="344"/>
      <c r="H104" s="344"/>
      <c r="I104" s="344">
        <f t="shared" si="39"/>
        <v>0</v>
      </c>
      <c r="J104" s="344"/>
      <c r="K104" s="344"/>
      <c r="L104" s="344">
        <f t="shared" si="22"/>
        <v>0</v>
      </c>
      <c r="M104" s="344">
        <f t="shared" si="40"/>
        <v>0</v>
      </c>
      <c r="N104" s="337">
        <f t="shared" si="41"/>
        <v>36450000</v>
      </c>
      <c r="P104" s="340"/>
      <c r="S104" s="347"/>
      <c r="T104" s="347"/>
      <c r="U104" s="342"/>
    </row>
    <row r="105" spans="1:21" s="339" customFormat="1" ht="18" customHeight="1" x14ac:dyDescent="0.25">
      <c r="A105" s="334"/>
      <c r="B105" s="335"/>
      <c r="C105" s="335"/>
      <c r="D105" s="365" t="s">
        <v>246</v>
      </c>
      <c r="E105" s="335" t="s">
        <v>247</v>
      </c>
      <c r="F105" s="337">
        <v>4050000</v>
      </c>
      <c r="G105" s="344"/>
      <c r="H105" s="344"/>
      <c r="I105" s="344">
        <f t="shared" si="39"/>
        <v>0</v>
      </c>
      <c r="J105" s="344"/>
      <c r="K105" s="344"/>
      <c r="L105" s="344">
        <f t="shared" si="22"/>
        <v>0</v>
      </c>
      <c r="M105" s="344">
        <f t="shared" si="40"/>
        <v>0</v>
      </c>
      <c r="N105" s="337">
        <f t="shared" si="41"/>
        <v>4050000</v>
      </c>
      <c r="P105" s="340"/>
      <c r="S105" s="347"/>
      <c r="T105" s="347"/>
      <c r="U105" s="342"/>
    </row>
    <row r="106" spans="1:21" s="339" customFormat="1" ht="18" customHeight="1" x14ac:dyDescent="0.25">
      <c r="A106" s="334"/>
      <c r="B106" s="335"/>
      <c r="C106" s="335"/>
      <c r="D106" s="365" t="s">
        <v>248</v>
      </c>
      <c r="E106" s="335" t="s">
        <v>249</v>
      </c>
      <c r="F106" s="337">
        <v>22275000</v>
      </c>
      <c r="G106" s="344"/>
      <c r="H106" s="344"/>
      <c r="I106" s="344">
        <f t="shared" si="39"/>
        <v>0</v>
      </c>
      <c r="J106" s="344"/>
      <c r="K106" s="344"/>
      <c r="L106" s="344">
        <f t="shared" si="22"/>
        <v>0</v>
      </c>
      <c r="M106" s="344">
        <f t="shared" si="40"/>
        <v>0</v>
      </c>
      <c r="N106" s="337">
        <f t="shared" si="41"/>
        <v>22275000</v>
      </c>
      <c r="P106" s="340"/>
      <c r="S106" s="347"/>
      <c r="T106" s="347"/>
      <c r="U106" s="342"/>
    </row>
    <row r="107" spans="1:21" s="339" customFormat="1" ht="18" customHeight="1" x14ac:dyDescent="0.25">
      <c r="A107" s="334"/>
      <c r="B107" s="335"/>
      <c r="C107" s="335"/>
      <c r="D107" s="365" t="s">
        <v>250</v>
      </c>
      <c r="E107" s="335" t="s">
        <v>251</v>
      </c>
      <c r="F107" s="337">
        <v>273375000</v>
      </c>
      <c r="G107" s="344"/>
      <c r="H107" s="344"/>
      <c r="I107" s="344">
        <f t="shared" si="39"/>
        <v>0</v>
      </c>
      <c r="J107" s="344"/>
      <c r="K107" s="344"/>
      <c r="L107" s="344">
        <f t="shared" si="22"/>
        <v>0</v>
      </c>
      <c r="M107" s="344">
        <f t="shared" si="40"/>
        <v>0</v>
      </c>
      <c r="N107" s="337">
        <f t="shared" si="41"/>
        <v>273375000</v>
      </c>
      <c r="P107" s="340"/>
      <c r="S107" s="347"/>
      <c r="T107" s="347"/>
      <c r="U107" s="342"/>
    </row>
    <row r="108" spans="1:21" s="339" customFormat="1" ht="18" customHeight="1" x14ac:dyDescent="0.25">
      <c r="A108" s="334"/>
      <c r="B108" s="335"/>
      <c r="C108" s="335"/>
      <c r="D108" s="365" t="s">
        <v>252</v>
      </c>
      <c r="E108" s="335" t="s">
        <v>253</v>
      </c>
      <c r="F108" s="337">
        <v>1215000</v>
      </c>
      <c r="G108" s="344"/>
      <c r="H108" s="344"/>
      <c r="I108" s="344">
        <f t="shared" si="39"/>
        <v>0</v>
      </c>
      <c r="J108" s="344"/>
      <c r="K108" s="344"/>
      <c r="L108" s="344">
        <f t="shared" si="22"/>
        <v>0</v>
      </c>
      <c r="M108" s="344">
        <f t="shared" si="40"/>
        <v>0</v>
      </c>
      <c r="N108" s="337">
        <f t="shared" si="41"/>
        <v>1215000</v>
      </c>
      <c r="P108" s="340"/>
      <c r="S108" s="347"/>
      <c r="T108" s="347"/>
      <c r="U108" s="342"/>
    </row>
    <row r="109" spans="1:21" s="339" customFormat="1" ht="18" customHeight="1" x14ac:dyDescent="0.25">
      <c r="A109" s="334"/>
      <c r="B109" s="335"/>
      <c r="C109" s="335"/>
      <c r="D109" s="365" t="s">
        <v>254</v>
      </c>
      <c r="E109" s="335" t="s">
        <v>255</v>
      </c>
      <c r="F109" s="337">
        <v>11137500</v>
      </c>
      <c r="G109" s="344"/>
      <c r="H109" s="344"/>
      <c r="I109" s="344">
        <f t="shared" si="39"/>
        <v>0</v>
      </c>
      <c r="J109" s="344"/>
      <c r="K109" s="344"/>
      <c r="L109" s="344">
        <f t="shared" si="22"/>
        <v>0</v>
      </c>
      <c r="M109" s="344">
        <f t="shared" si="40"/>
        <v>0</v>
      </c>
      <c r="N109" s="337">
        <f>+F109-M109</f>
        <v>11137500</v>
      </c>
      <c r="P109" s="340"/>
      <c r="S109" s="347"/>
      <c r="T109" s="347"/>
      <c r="U109" s="342"/>
    </row>
    <row r="110" spans="1:21" s="339" customFormat="1" ht="32.25" customHeight="1" x14ac:dyDescent="0.25">
      <c r="A110" s="366"/>
      <c r="B110" s="367"/>
      <c r="C110" s="367"/>
      <c r="D110" s="368" t="s">
        <v>256</v>
      </c>
      <c r="E110" s="369" t="s">
        <v>257</v>
      </c>
      <c r="F110" s="370">
        <v>202500</v>
      </c>
      <c r="G110" s="371"/>
      <c r="H110" s="371"/>
      <c r="I110" s="371">
        <f t="shared" si="39"/>
        <v>0</v>
      </c>
      <c r="J110" s="371"/>
      <c r="K110" s="371"/>
      <c r="L110" s="371">
        <f t="shared" si="22"/>
        <v>0</v>
      </c>
      <c r="M110" s="371">
        <f t="shared" si="40"/>
        <v>0</v>
      </c>
      <c r="N110" s="370">
        <f>+F110-M110</f>
        <v>202500</v>
      </c>
      <c r="P110" s="340"/>
      <c r="S110" s="347"/>
      <c r="T110" s="347"/>
      <c r="U110" s="342"/>
    </row>
    <row r="111" spans="1:21" s="339" customFormat="1" ht="31.5" x14ac:dyDescent="0.25">
      <c r="A111" s="366"/>
      <c r="B111" s="367"/>
      <c r="C111" s="367"/>
      <c r="D111" s="368" t="s">
        <v>258</v>
      </c>
      <c r="E111" s="369" t="s">
        <v>259</v>
      </c>
      <c r="F111" s="370">
        <v>101958750</v>
      </c>
      <c r="G111" s="371"/>
      <c r="H111" s="371"/>
      <c r="I111" s="371">
        <f>+G111+H111</f>
        <v>0</v>
      </c>
      <c r="J111" s="371"/>
      <c r="K111" s="371"/>
      <c r="L111" s="371">
        <f t="shared" si="22"/>
        <v>0</v>
      </c>
      <c r="M111" s="371">
        <f t="shared" si="40"/>
        <v>0</v>
      </c>
      <c r="N111" s="370">
        <f>+F111-M111</f>
        <v>101958750</v>
      </c>
      <c r="P111" s="340"/>
      <c r="S111" s="347"/>
      <c r="T111" s="347"/>
      <c r="U111" s="342"/>
    </row>
    <row r="112" spans="1:21" s="153" customFormat="1" ht="31.5" x14ac:dyDescent="0.25">
      <c r="A112" s="372"/>
      <c r="B112" s="373"/>
      <c r="C112" s="373"/>
      <c r="D112" s="374" t="s">
        <v>260</v>
      </c>
      <c r="E112" s="375" t="s">
        <v>261</v>
      </c>
      <c r="F112" s="376">
        <v>275400000</v>
      </c>
      <c r="G112" s="377"/>
      <c r="H112" s="377"/>
      <c r="I112" s="377">
        <f t="shared" ref="I112" si="42">+G112+H112</f>
        <v>0</v>
      </c>
      <c r="J112" s="377"/>
      <c r="K112" s="377"/>
      <c r="L112" s="377">
        <f t="shared" si="22"/>
        <v>0</v>
      </c>
      <c r="M112" s="377">
        <f t="shared" si="40"/>
        <v>0</v>
      </c>
      <c r="N112" s="376">
        <f>+F112-M112</f>
        <v>275400000</v>
      </c>
      <c r="P112" s="200"/>
      <c r="S112" s="221"/>
      <c r="T112" s="221"/>
      <c r="U112" s="254"/>
    </row>
    <row r="113" spans="1:21" s="319" customFormat="1" ht="18" customHeight="1" x14ac:dyDescent="0.25">
      <c r="A113" s="276">
        <v>4</v>
      </c>
      <c r="B113" s="305"/>
      <c r="C113" s="305" t="s">
        <v>84</v>
      </c>
      <c r="D113" s="363"/>
      <c r="E113" s="364" t="s">
        <v>85</v>
      </c>
      <c r="F113" s="307">
        <f>+F114</f>
        <v>31153000</v>
      </c>
      <c r="G113" s="308">
        <f t="shared" ref="F113:H114" si="43">+G114</f>
        <v>0</v>
      </c>
      <c r="H113" s="308">
        <f t="shared" si="43"/>
        <v>0</v>
      </c>
      <c r="I113" s="308">
        <f>+G113+H113</f>
        <v>0</v>
      </c>
      <c r="J113" s="308">
        <f>+J114</f>
        <v>2990625</v>
      </c>
      <c r="K113" s="308">
        <f>+K114</f>
        <v>0</v>
      </c>
      <c r="L113" s="308">
        <f>+J113+K113</f>
        <v>2990625</v>
      </c>
      <c r="M113" s="308">
        <f>+I113+L113</f>
        <v>2990625</v>
      </c>
      <c r="N113" s="307">
        <f>+F113-M113</f>
        <v>28162375</v>
      </c>
      <c r="P113" s="320"/>
      <c r="R113" s="321"/>
      <c r="S113" s="349"/>
      <c r="T113" s="349"/>
      <c r="U113" s="350"/>
    </row>
    <row r="114" spans="1:21" s="329" customFormat="1" ht="18" customHeight="1" x14ac:dyDescent="0.25">
      <c r="A114" s="323"/>
      <c r="B114" s="324"/>
      <c r="C114" s="324"/>
      <c r="D114" s="325" t="s">
        <v>207</v>
      </c>
      <c r="E114" s="326" t="s">
        <v>262</v>
      </c>
      <c r="F114" s="327">
        <f t="shared" si="43"/>
        <v>31153000</v>
      </c>
      <c r="G114" s="328">
        <f t="shared" si="43"/>
        <v>0</v>
      </c>
      <c r="H114" s="328">
        <f t="shared" si="43"/>
        <v>0</v>
      </c>
      <c r="I114" s="328">
        <f>+G114+H114</f>
        <v>0</v>
      </c>
      <c r="J114" s="328">
        <f t="shared" ref="J114:K116" si="44">+J115</f>
        <v>2990625</v>
      </c>
      <c r="K114" s="328">
        <f t="shared" si="44"/>
        <v>0</v>
      </c>
      <c r="L114" s="328">
        <f>+J114+K114</f>
        <v>2990625</v>
      </c>
      <c r="M114" s="328">
        <f t="shared" ref="M114:M120" si="45">+I114+L114</f>
        <v>2990625</v>
      </c>
      <c r="N114" s="327">
        <f t="shared" ref="N114:N117" si="46">+F114-M114</f>
        <v>28162375</v>
      </c>
      <c r="P114" s="330"/>
      <c r="R114" s="331"/>
      <c r="S114" s="351"/>
      <c r="T114" s="351"/>
      <c r="U114" s="333"/>
    </row>
    <row r="115" spans="1:21" s="339" customFormat="1" ht="18" customHeight="1" x14ac:dyDescent="0.25">
      <c r="A115" s="334"/>
      <c r="B115" s="378"/>
      <c r="C115" s="378"/>
      <c r="D115" s="335" t="s">
        <v>63</v>
      </c>
      <c r="E115" s="335" t="s">
        <v>30</v>
      </c>
      <c r="F115" s="337">
        <f>F116</f>
        <v>31153000</v>
      </c>
      <c r="G115" s="344">
        <f>+G116</f>
        <v>0</v>
      </c>
      <c r="H115" s="344">
        <f>+H116</f>
        <v>0</v>
      </c>
      <c r="I115" s="344">
        <f>+G115+H115</f>
        <v>0</v>
      </c>
      <c r="J115" s="344">
        <f>+J116</f>
        <v>2990625</v>
      </c>
      <c r="K115" s="344">
        <f t="shared" si="44"/>
        <v>0</v>
      </c>
      <c r="L115" s="344">
        <f>+J115+K115</f>
        <v>2990625</v>
      </c>
      <c r="M115" s="344">
        <f t="shared" si="45"/>
        <v>2990625</v>
      </c>
      <c r="N115" s="337">
        <f t="shared" si="46"/>
        <v>28162375</v>
      </c>
      <c r="P115" s="340"/>
      <c r="S115" s="347"/>
      <c r="T115" s="347"/>
      <c r="U115" s="342"/>
    </row>
    <row r="116" spans="1:21" s="339" customFormat="1" ht="18" customHeight="1" x14ac:dyDescent="0.25">
      <c r="A116" s="334"/>
      <c r="B116" s="335"/>
      <c r="C116" s="335"/>
      <c r="D116" s="335" t="s">
        <v>263</v>
      </c>
      <c r="E116" s="336" t="s">
        <v>264</v>
      </c>
      <c r="F116" s="337">
        <f>+F117</f>
        <v>31153000</v>
      </c>
      <c r="G116" s="338">
        <f>+G117</f>
        <v>0</v>
      </c>
      <c r="H116" s="338">
        <f>+H117</f>
        <v>0</v>
      </c>
      <c r="I116" s="338">
        <f>+G116+H116</f>
        <v>0</v>
      </c>
      <c r="J116" s="338">
        <f t="shared" si="44"/>
        <v>2990625</v>
      </c>
      <c r="K116" s="338">
        <f t="shared" si="44"/>
        <v>0</v>
      </c>
      <c r="L116" s="338">
        <f>+J116+K116</f>
        <v>2990625</v>
      </c>
      <c r="M116" s="338">
        <f t="shared" si="45"/>
        <v>2990625</v>
      </c>
      <c r="N116" s="337">
        <f t="shared" si="46"/>
        <v>28162375</v>
      </c>
      <c r="P116" s="340"/>
      <c r="S116" s="347"/>
      <c r="T116" s="347"/>
      <c r="U116" s="342"/>
    </row>
    <row r="117" spans="1:21" s="339" customFormat="1" ht="18" customHeight="1" x14ac:dyDescent="0.25">
      <c r="A117" s="334"/>
      <c r="B117" s="378"/>
      <c r="C117" s="378"/>
      <c r="D117" s="335" t="s">
        <v>64</v>
      </c>
      <c r="E117" s="335" t="s">
        <v>65</v>
      </c>
      <c r="F117" s="337">
        <f>F118+F119+F120</f>
        <v>31153000</v>
      </c>
      <c r="G117" s="344">
        <f>SUM(G118:G120)</f>
        <v>0</v>
      </c>
      <c r="H117" s="344">
        <f>SUM(H118:H120)</f>
        <v>0</v>
      </c>
      <c r="I117" s="344">
        <f>+G117+H117</f>
        <v>0</v>
      </c>
      <c r="J117" s="344">
        <f>SUM(J118:J120)</f>
        <v>2990625</v>
      </c>
      <c r="K117" s="344">
        <f>SUM(K118:K120)</f>
        <v>0</v>
      </c>
      <c r="L117" s="344">
        <f>+J117+K117</f>
        <v>2990625</v>
      </c>
      <c r="M117" s="344">
        <f t="shared" si="45"/>
        <v>2990625</v>
      </c>
      <c r="N117" s="337">
        <f t="shared" si="46"/>
        <v>28162375</v>
      </c>
      <c r="P117" s="340"/>
      <c r="S117" s="347"/>
      <c r="T117" s="347"/>
      <c r="U117" s="342"/>
    </row>
    <row r="118" spans="1:21" s="339" customFormat="1" ht="18" customHeight="1" x14ac:dyDescent="0.25">
      <c r="A118" s="334"/>
      <c r="B118" s="378"/>
      <c r="C118" s="378"/>
      <c r="D118" s="335" t="s">
        <v>66</v>
      </c>
      <c r="E118" s="335" t="s">
        <v>67</v>
      </c>
      <c r="F118" s="337">
        <v>1447000</v>
      </c>
      <c r="G118" s="344"/>
      <c r="H118" s="344"/>
      <c r="I118" s="344">
        <f t="shared" ref="I118:I120" si="47">+G118+H118</f>
        <v>0</v>
      </c>
      <c r="J118" s="344"/>
      <c r="K118" s="344"/>
      <c r="L118" s="344">
        <f t="shared" ref="L118:L120" si="48">+J118+K118</f>
        <v>0</v>
      </c>
      <c r="M118" s="344">
        <f t="shared" si="45"/>
        <v>0</v>
      </c>
      <c r="N118" s="337">
        <f>+F118-M118</f>
        <v>1447000</v>
      </c>
      <c r="P118" s="340"/>
      <c r="S118" s="347"/>
      <c r="T118" s="347"/>
      <c r="U118" s="342"/>
    </row>
    <row r="119" spans="1:21" s="339" customFormat="1" ht="18" customHeight="1" x14ac:dyDescent="0.25">
      <c r="A119" s="334"/>
      <c r="B119" s="378"/>
      <c r="C119" s="378"/>
      <c r="D119" s="335" t="s">
        <v>337</v>
      </c>
      <c r="E119" s="335" t="s">
        <v>338</v>
      </c>
      <c r="F119" s="337">
        <v>3792000</v>
      </c>
      <c r="G119" s="344"/>
      <c r="H119" s="344"/>
      <c r="I119" s="344">
        <f t="shared" si="47"/>
        <v>0</v>
      </c>
      <c r="J119" s="344"/>
      <c r="K119" s="344"/>
      <c r="L119" s="344">
        <f t="shared" si="48"/>
        <v>0</v>
      </c>
      <c r="M119" s="344">
        <f t="shared" si="45"/>
        <v>0</v>
      </c>
      <c r="N119" s="337">
        <f t="shared" ref="N119:N120" si="49">+F119-M119</f>
        <v>3792000</v>
      </c>
      <c r="P119" s="340"/>
      <c r="S119" s="347"/>
      <c r="T119" s="347"/>
      <c r="U119" s="342"/>
    </row>
    <row r="120" spans="1:21" s="339" customFormat="1" ht="18" customHeight="1" x14ac:dyDescent="0.25">
      <c r="A120" s="334"/>
      <c r="B120" s="378"/>
      <c r="C120" s="378"/>
      <c r="D120" s="335" t="s">
        <v>68</v>
      </c>
      <c r="E120" s="335" t="s">
        <v>69</v>
      </c>
      <c r="F120" s="337">
        <v>25914000</v>
      </c>
      <c r="G120" s="344"/>
      <c r="H120" s="344"/>
      <c r="I120" s="344">
        <f t="shared" si="47"/>
        <v>0</v>
      </c>
      <c r="J120" s="344">
        <v>2990625</v>
      </c>
      <c r="K120" s="344"/>
      <c r="L120" s="344">
        <f t="shared" si="48"/>
        <v>2990625</v>
      </c>
      <c r="M120" s="344">
        <f t="shared" si="45"/>
        <v>2990625</v>
      </c>
      <c r="N120" s="337">
        <f t="shared" si="49"/>
        <v>22923375</v>
      </c>
      <c r="P120" s="340"/>
      <c r="S120" s="347"/>
      <c r="T120" s="347"/>
      <c r="U120" s="342"/>
    </row>
    <row r="121" spans="1:21" s="153" customFormat="1" ht="18" customHeight="1" x14ac:dyDescent="0.25">
      <c r="A121" s="353"/>
      <c r="B121" s="354"/>
      <c r="C121" s="354"/>
      <c r="D121" s="355"/>
      <c r="E121" s="355"/>
      <c r="F121" s="356"/>
      <c r="G121" s="357"/>
      <c r="H121" s="357"/>
      <c r="I121" s="357"/>
      <c r="J121" s="357"/>
      <c r="K121" s="357"/>
      <c r="L121" s="357"/>
      <c r="M121" s="357"/>
      <c r="N121" s="356"/>
      <c r="P121" s="200"/>
      <c r="S121" s="221"/>
      <c r="T121" s="221"/>
      <c r="U121" s="254"/>
    </row>
    <row r="122" spans="1:21" s="319" customFormat="1" ht="18" customHeight="1" x14ac:dyDescent="0.25">
      <c r="A122" s="276"/>
      <c r="B122" s="305" t="s">
        <v>405</v>
      </c>
      <c r="C122" s="305"/>
      <c r="D122" s="305"/>
      <c r="E122" s="305" t="s">
        <v>406</v>
      </c>
      <c r="F122" s="359">
        <f t="shared" ref="F122:G124" si="50">+F123</f>
        <v>654671250</v>
      </c>
      <c r="G122" s="360">
        <f t="shared" si="50"/>
        <v>0</v>
      </c>
      <c r="H122" s="360">
        <f>+H123</f>
        <v>0</v>
      </c>
      <c r="I122" s="360">
        <f t="shared" ref="I122:I136" si="51">+G122+H122</f>
        <v>0</v>
      </c>
      <c r="J122" s="360">
        <f>+J124</f>
        <v>150000</v>
      </c>
      <c r="K122" s="360">
        <f>+K123</f>
        <v>0</v>
      </c>
      <c r="L122" s="360">
        <f>+J122+K122</f>
        <v>150000</v>
      </c>
      <c r="M122" s="360">
        <f t="shared" ref="M122" si="52">+I122+L122</f>
        <v>150000</v>
      </c>
      <c r="N122" s="359">
        <f t="shared" ref="N122:N130" si="53">+F122-M122</f>
        <v>654521250</v>
      </c>
      <c r="P122" s="361"/>
      <c r="R122" s="321"/>
      <c r="S122" s="362"/>
      <c r="T122" s="362"/>
      <c r="U122" s="350"/>
    </row>
    <row r="123" spans="1:21" s="319" customFormat="1" ht="18" customHeight="1" x14ac:dyDescent="0.25">
      <c r="A123" s="277">
        <v>5</v>
      </c>
      <c r="B123" s="305"/>
      <c r="C123" s="305" t="s">
        <v>86</v>
      </c>
      <c r="D123" s="363"/>
      <c r="E123" s="364" t="s">
        <v>87</v>
      </c>
      <c r="F123" s="307">
        <f t="shared" si="50"/>
        <v>654671250</v>
      </c>
      <c r="G123" s="308">
        <f t="shared" si="50"/>
        <v>0</v>
      </c>
      <c r="H123" s="308">
        <f>+H124</f>
        <v>0</v>
      </c>
      <c r="I123" s="308">
        <f t="shared" si="51"/>
        <v>0</v>
      </c>
      <c r="J123" s="308">
        <f>+J124</f>
        <v>150000</v>
      </c>
      <c r="K123" s="308">
        <f>+K124</f>
        <v>0</v>
      </c>
      <c r="L123" s="308">
        <f>+J123+K123</f>
        <v>150000</v>
      </c>
      <c r="M123" s="308">
        <f>+I123+L123</f>
        <v>150000</v>
      </c>
      <c r="N123" s="307">
        <f t="shared" si="53"/>
        <v>654521250</v>
      </c>
      <c r="P123" s="320"/>
      <c r="R123" s="321"/>
      <c r="S123" s="349"/>
      <c r="T123" s="349"/>
      <c r="U123" s="350"/>
    </row>
    <row r="124" spans="1:21" s="329" customFormat="1" ht="18" customHeight="1" x14ac:dyDescent="0.25">
      <c r="A124" s="323"/>
      <c r="B124" s="324"/>
      <c r="C124" s="324"/>
      <c r="D124" s="325" t="s">
        <v>207</v>
      </c>
      <c r="E124" s="326" t="s">
        <v>262</v>
      </c>
      <c r="F124" s="327">
        <f t="shared" si="50"/>
        <v>654671250</v>
      </c>
      <c r="G124" s="328">
        <f t="shared" si="50"/>
        <v>0</v>
      </c>
      <c r="H124" s="328">
        <f>+H125</f>
        <v>0</v>
      </c>
      <c r="I124" s="328">
        <f t="shared" si="51"/>
        <v>0</v>
      </c>
      <c r="J124" s="328">
        <f>+J125</f>
        <v>150000</v>
      </c>
      <c r="K124" s="328">
        <f>+K125</f>
        <v>0</v>
      </c>
      <c r="L124" s="328">
        <f t="shared" ref="L124:L136" si="54">+J124+K124</f>
        <v>150000</v>
      </c>
      <c r="M124" s="328">
        <f t="shared" ref="M124:M127" si="55">+I124+L124</f>
        <v>150000</v>
      </c>
      <c r="N124" s="327">
        <f t="shared" si="53"/>
        <v>654521250</v>
      </c>
      <c r="P124" s="330"/>
      <c r="R124" s="331"/>
      <c r="S124" s="351"/>
      <c r="T124" s="351"/>
      <c r="U124" s="333"/>
    </row>
    <row r="125" spans="1:21" s="339" customFormat="1" ht="18" customHeight="1" x14ac:dyDescent="0.25">
      <c r="A125" s="334"/>
      <c r="B125" s="335"/>
      <c r="C125" s="335"/>
      <c r="D125" s="365" t="s">
        <v>63</v>
      </c>
      <c r="E125" s="335" t="s">
        <v>30</v>
      </c>
      <c r="F125" s="337">
        <f>F131+F126</f>
        <v>654671250</v>
      </c>
      <c r="G125" s="344">
        <f>+G126+G131</f>
        <v>0</v>
      </c>
      <c r="H125" s="344">
        <f>+H126+H131</f>
        <v>0</v>
      </c>
      <c r="I125" s="344">
        <f t="shared" si="51"/>
        <v>0</v>
      </c>
      <c r="J125" s="344">
        <f>+J126+J131</f>
        <v>150000</v>
      </c>
      <c r="K125" s="344">
        <f>+K131+K126</f>
        <v>0</v>
      </c>
      <c r="L125" s="344">
        <f t="shared" si="54"/>
        <v>150000</v>
      </c>
      <c r="M125" s="344">
        <f t="shared" si="55"/>
        <v>150000</v>
      </c>
      <c r="N125" s="337">
        <f t="shared" si="53"/>
        <v>654521250</v>
      </c>
      <c r="P125" s="340"/>
      <c r="S125" s="347"/>
      <c r="T125" s="347"/>
      <c r="U125" s="342"/>
    </row>
    <row r="126" spans="1:21" s="339" customFormat="1" ht="18" customHeight="1" x14ac:dyDescent="0.25">
      <c r="A126" s="334"/>
      <c r="B126" s="335"/>
      <c r="C126" s="335"/>
      <c r="D126" s="365" t="s">
        <v>263</v>
      </c>
      <c r="E126" s="336" t="s">
        <v>264</v>
      </c>
      <c r="F126" s="337">
        <f>+F127</f>
        <v>137486250</v>
      </c>
      <c r="G126" s="344">
        <f>+G127</f>
        <v>0</v>
      </c>
      <c r="H126" s="344">
        <f>+H127</f>
        <v>0</v>
      </c>
      <c r="I126" s="344">
        <f t="shared" si="51"/>
        <v>0</v>
      </c>
      <c r="J126" s="344">
        <f>+J127</f>
        <v>150000</v>
      </c>
      <c r="K126" s="344">
        <f>+K127</f>
        <v>0</v>
      </c>
      <c r="L126" s="344">
        <f t="shared" si="54"/>
        <v>150000</v>
      </c>
      <c r="M126" s="344">
        <f t="shared" si="55"/>
        <v>150000</v>
      </c>
      <c r="N126" s="337">
        <f t="shared" si="53"/>
        <v>137336250</v>
      </c>
      <c r="P126" s="340"/>
      <c r="S126" s="347"/>
      <c r="T126" s="347"/>
      <c r="U126" s="342"/>
    </row>
    <row r="127" spans="1:21" s="339" customFormat="1" ht="18" customHeight="1" x14ac:dyDescent="0.25">
      <c r="A127" s="334"/>
      <c r="B127" s="335"/>
      <c r="C127" s="335"/>
      <c r="D127" s="365" t="s">
        <v>64</v>
      </c>
      <c r="E127" s="335" t="s">
        <v>65</v>
      </c>
      <c r="F127" s="337">
        <f>+F128+F129+F130</f>
        <v>137486250</v>
      </c>
      <c r="G127" s="344">
        <f>SUM(G128:G129)</f>
        <v>0</v>
      </c>
      <c r="H127" s="344">
        <f>SUM(H128:H129)</f>
        <v>0</v>
      </c>
      <c r="I127" s="344">
        <f t="shared" si="51"/>
        <v>0</v>
      </c>
      <c r="J127" s="344">
        <f>SUM(J128:J130)</f>
        <v>150000</v>
      </c>
      <c r="K127" s="344">
        <f>SUM(K128:K130)</f>
        <v>0</v>
      </c>
      <c r="L127" s="344">
        <f t="shared" si="54"/>
        <v>150000</v>
      </c>
      <c r="M127" s="344">
        <f t="shared" si="55"/>
        <v>150000</v>
      </c>
      <c r="N127" s="337">
        <f t="shared" si="53"/>
        <v>137336250</v>
      </c>
      <c r="P127" s="340"/>
      <c r="S127" s="347"/>
      <c r="T127" s="347"/>
      <c r="U127" s="342"/>
    </row>
    <row r="128" spans="1:21" s="339" customFormat="1" ht="18" customHeight="1" x14ac:dyDescent="0.25">
      <c r="A128" s="334"/>
      <c r="B128" s="335"/>
      <c r="C128" s="335"/>
      <c r="D128" s="365" t="s">
        <v>66</v>
      </c>
      <c r="E128" s="335" t="s">
        <v>67</v>
      </c>
      <c r="F128" s="337">
        <v>2756250</v>
      </c>
      <c r="G128" s="344"/>
      <c r="H128" s="344"/>
      <c r="I128" s="344">
        <f t="shared" si="51"/>
        <v>0</v>
      </c>
      <c r="J128" s="344">
        <v>150000</v>
      </c>
      <c r="K128" s="344"/>
      <c r="L128" s="344">
        <f t="shared" si="54"/>
        <v>150000</v>
      </c>
      <c r="M128" s="344">
        <f>+I128+L128</f>
        <v>150000</v>
      </c>
      <c r="N128" s="337">
        <f t="shared" si="53"/>
        <v>2606250</v>
      </c>
      <c r="P128" s="340"/>
      <c r="S128" s="347"/>
      <c r="T128" s="347"/>
      <c r="U128" s="342"/>
    </row>
    <row r="129" spans="1:21" s="339" customFormat="1" ht="18" customHeight="1" x14ac:dyDescent="0.25">
      <c r="A129" s="334"/>
      <c r="B129" s="335"/>
      <c r="C129" s="335"/>
      <c r="D129" s="365" t="s">
        <v>369</v>
      </c>
      <c r="E129" s="335" t="s">
        <v>370</v>
      </c>
      <c r="F129" s="337">
        <v>7230000</v>
      </c>
      <c r="G129" s="344"/>
      <c r="H129" s="344"/>
      <c r="I129" s="344">
        <f t="shared" si="51"/>
        <v>0</v>
      </c>
      <c r="J129" s="344"/>
      <c r="K129" s="344"/>
      <c r="L129" s="344">
        <f t="shared" si="54"/>
        <v>0</v>
      </c>
      <c r="M129" s="344">
        <f>+I129+L129</f>
        <v>0</v>
      </c>
      <c r="N129" s="337">
        <f t="shared" si="53"/>
        <v>7230000</v>
      </c>
      <c r="P129" s="340"/>
      <c r="S129" s="347"/>
      <c r="T129" s="347"/>
      <c r="U129" s="342"/>
    </row>
    <row r="130" spans="1:21" s="339" customFormat="1" ht="18" customHeight="1" x14ac:dyDescent="0.25">
      <c r="A130" s="334"/>
      <c r="B130" s="335"/>
      <c r="C130" s="335"/>
      <c r="D130" s="365" t="s">
        <v>447</v>
      </c>
      <c r="E130" s="335" t="s">
        <v>448</v>
      </c>
      <c r="F130" s="337">
        <v>127500000</v>
      </c>
      <c r="G130" s="344"/>
      <c r="H130" s="344"/>
      <c r="I130" s="344">
        <f t="shared" si="51"/>
        <v>0</v>
      </c>
      <c r="J130" s="344"/>
      <c r="K130" s="344"/>
      <c r="L130" s="344">
        <f t="shared" si="54"/>
        <v>0</v>
      </c>
      <c r="M130" s="344">
        <f>+I130+L130</f>
        <v>0</v>
      </c>
      <c r="N130" s="337">
        <f t="shared" si="53"/>
        <v>127500000</v>
      </c>
      <c r="P130" s="340"/>
      <c r="S130" s="347"/>
      <c r="T130" s="347"/>
      <c r="U130" s="342"/>
    </row>
    <row r="131" spans="1:21" s="339" customFormat="1" ht="18" customHeight="1" x14ac:dyDescent="0.25">
      <c r="A131" s="334"/>
      <c r="B131" s="335"/>
      <c r="C131" s="335"/>
      <c r="D131" s="365" t="s">
        <v>265</v>
      </c>
      <c r="E131" s="335" t="s">
        <v>266</v>
      </c>
      <c r="F131" s="337">
        <f>+F132</f>
        <v>517185000</v>
      </c>
      <c r="G131" s="344">
        <f>+G132</f>
        <v>0</v>
      </c>
      <c r="H131" s="344">
        <f>+H132</f>
        <v>0</v>
      </c>
      <c r="I131" s="344">
        <f t="shared" si="51"/>
        <v>0</v>
      </c>
      <c r="J131" s="344">
        <f>+J132</f>
        <v>0</v>
      </c>
      <c r="K131" s="344">
        <f>+K132</f>
        <v>0</v>
      </c>
      <c r="L131" s="344">
        <f t="shared" si="54"/>
        <v>0</v>
      </c>
      <c r="M131" s="344">
        <f t="shared" ref="M131:M132" si="56">+I131+L131</f>
        <v>0</v>
      </c>
      <c r="N131" s="337">
        <f>+F131-M131</f>
        <v>517185000</v>
      </c>
      <c r="P131" s="340"/>
      <c r="S131" s="347"/>
      <c r="T131" s="347"/>
      <c r="U131" s="342"/>
    </row>
    <row r="132" spans="1:21" s="339" customFormat="1" ht="18" customHeight="1" x14ac:dyDescent="0.25">
      <c r="A132" s="334"/>
      <c r="B132" s="335"/>
      <c r="C132" s="335"/>
      <c r="D132" s="365" t="s">
        <v>71</v>
      </c>
      <c r="E132" s="335" t="s">
        <v>72</v>
      </c>
      <c r="F132" s="337">
        <f>SUM(F133:F136)</f>
        <v>517185000</v>
      </c>
      <c r="G132" s="344">
        <f>SUM(G133:G134)</f>
        <v>0</v>
      </c>
      <c r="H132" s="344">
        <f>SUM(H133:H134)</f>
        <v>0</v>
      </c>
      <c r="I132" s="344">
        <f t="shared" si="51"/>
        <v>0</v>
      </c>
      <c r="J132" s="344">
        <f>SUM(J133:J136)</f>
        <v>0</v>
      </c>
      <c r="K132" s="344">
        <f>SUM(K133:K136)</f>
        <v>0</v>
      </c>
      <c r="L132" s="344">
        <f>+J132+K132</f>
        <v>0</v>
      </c>
      <c r="M132" s="344">
        <f t="shared" si="56"/>
        <v>0</v>
      </c>
      <c r="N132" s="337">
        <f>+F132-M132</f>
        <v>517185000</v>
      </c>
      <c r="P132" s="340"/>
      <c r="S132" s="347"/>
      <c r="T132" s="347"/>
      <c r="U132" s="342"/>
    </row>
    <row r="133" spans="1:21" s="339" customFormat="1" ht="18" customHeight="1" x14ac:dyDescent="0.25">
      <c r="A133" s="334"/>
      <c r="B133" s="335"/>
      <c r="C133" s="335"/>
      <c r="D133" s="365" t="s">
        <v>73</v>
      </c>
      <c r="E133" s="335" t="s">
        <v>74</v>
      </c>
      <c r="F133" s="337">
        <v>128100000</v>
      </c>
      <c r="G133" s="344"/>
      <c r="H133" s="344"/>
      <c r="I133" s="344">
        <f t="shared" si="51"/>
        <v>0</v>
      </c>
      <c r="J133" s="344"/>
      <c r="K133" s="344"/>
      <c r="L133" s="344">
        <f t="shared" si="54"/>
        <v>0</v>
      </c>
      <c r="M133" s="344">
        <f>+I133+L133</f>
        <v>0</v>
      </c>
      <c r="N133" s="337">
        <f t="shared" ref="N133:N136" si="57">+F133-M133</f>
        <v>128100000</v>
      </c>
      <c r="P133" s="340"/>
      <c r="S133" s="347"/>
      <c r="T133" s="347"/>
      <c r="U133" s="342"/>
    </row>
    <row r="134" spans="1:21" s="339" customFormat="1" ht="18" customHeight="1" x14ac:dyDescent="0.25">
      <c r="A134" s="334"/>
      <c r="B134" s="335"/>
      <c r="C134" s="335"/>
      <c r="D134" s="365" t="s">
        <v>88</v>
      </c>
      <c r="E134" s="335" t="s">
        <v>89</v>
      </c>
      <c r="F134" s="337">
        <v>79635000</v>
      </c>
      <c r="G134" s="344"/>
      <c r="H134" s="344"/>
      <c r="I134" s="344">
        <f t="shared" si="51"/>
        <v>0</v>
      </c>
      <c r="J134" s="344"/>
      <c r="K134" s="344"/>
      <c r="L134" s="344">
        <f t="shared" si="54"/>
        <v>0</v>
      </c>
      <c r="M134" s="344">
        <f t="shared" ref="M134" si="58">+I134+L134</f>
        <v>0</v>
      </c>
      <c r="N134" s="337">
        <f t="shared" si="57"/>
        <v>79635000</v>
      </c>
      <c r="P134" s="340"/>
      <c r="S134" s="347"/>
      <c r="T134" s="347"/>
      <c r="U134" s="342"/>
    </row>
    <row r="135" spans="1:21" s="339" customFormat="1" ht="18" customHeight="1" x14ac:dyDescent="0.25">
      <c r="A135" s="334"/>
      <c r="B135" s="335"/>
      <c r="C135" s="335"/>
      <c r="D135" s="365" t="s">
        <v>445</v>
      </c>
      <c r="E135" s="335" t="s">
        <v>446</v>
      </c>
      <c r="F135" s="337">
        <v>241950000</v>
      </c>
      <c r="G135" s="344"/>
      <c r="H135" s="344"/>
      <c r="I135" s="344">
        <f t="shared" si="51"/>
        <v>0</v>
      </c>
      <c r="J135" s="344"/>
      <c r="K135" s="344"/>
      <c r="L135" s="344">
        <f t="shared" si="54"/>
        <v>0</v>
      </c>
      <c r="M135" s="344">
        <f>+I135+L135</f>
        <v>0</v>
      </c>
      <c r="N135" s="337">
        <f t="shared" si="57"/>
        <v>241950000</v>
      </c>
      <c r="P135" s="340"/>
      <c r="S135" s="347"/>
      <c r="T135" s="347"/>
      <c r="U135" s="342"/>
    </row>
    <row r="136" spans="1:21" s="339" customFormat="1" ht="18" customHeight="1" x14ac:dyDescent="0.25">
      <c r="A136" s="334"/>
      <c r="B136" s="335"/>
      <c r="C136" s="335"/>
      <c r="D136" s="365" t="s">
        <v>107</v>
      </c>
      <c r="E136" s="335" t="s">
        <v>108</v>
      </c>
      <c r="F136" s="337">
        <v>67500000</v>
      </c>
      <c r="G136" s="344"/>
      <c r="H136" s="344"/>
      <c r="I136" s="344">
        <f t="shared" si="51"/>
        <v>0</v>
      </c>
      <c r="J136" s="344"/>
      <c r="K136" s="344"/>
      <c r="L136" s="344">
        <f t="shared" si="54"/>
        <v>0</v>
      </c>
      <c r="M136" s="344">
        <f>+I136+L136</f>
        <v>0</v>
      </c>
      <c r="N136" s="337">
        <f t="shared" si="57"/>
        <v>67500000</v>
      </c>
      <c r="P136" s="340"/>
      <c r="S136" s="347"/>
      <c r="T136" s="347"/>
      <c r="U136" s="342"/>
    </row>
    <row r="137" spans="1:21" s="153" customFormat="1" ht="18" customHeight="1" x14ac:dyDescent="0.25">
      <c r="A137" s="353"/>
      <c r="B137" s="355"/>
      <c r="C137" s="355"/>
      <c r="D137" s="355"/>
      <c r="E137" s="355"/>
      <c r="F137" s="356"/>
      <c r="G137" s="357"/>
      <c r="H137" s="357"/>
      <c r="I137" s="357"/>
      <c r="J137" s="357"/>
      <c r="K137" s="357"/>
      <c r="L137" s="357"/>
      <c r="M137" s="357"/>
      <c r="N137" s="356"/>
      <c r="P137" s="200"/>
      <c r="S137" s="221"/>
      <c r="T137" s="221"/>
      <c r="U137" s="254"/>
    </row>
    <row r="138" spans="1:21" s="319" customFormat="1" ht="18" customHeight="1" x14ac:dyDescent="0.25">
      <c r="A138" s="276"/>
      <c r="B138" s="305" t="s">
        <v>380</v>
      </c>
      <c r="C138" s="305"/>
      <c r="D138" s="305"/>
      <c r="E138" s="305" t="s">
        <v>381</v>
      </c>
      <c r="F138" s="359">
        <f>+F139+F165+F173+F184+F206</f>
        <v>4317651500</v>
      </c>
      <c r="G138" s="360">
        <f>+G139+G165+G173+G184+G206</f>
        <v>142125000</v>
      </c>
      <c r="H138" s="360">
        <f>+H139+H165+H173+H184+H206</f>
        <v>154050000</v>
      </c>
      <c r="I138" s="360">
        <f t="shared" ref="I138:I164" si="59">+G138+H138</f>
        <v>296175000</v>
      </c>
      <c r="J138" s="360">
        <f>+J139+J165+J173+J184+J206</f>
        <v>117730600</v>
      </c>
      <c r="K138" s="360">
        <f>+K139+K165+K173+K184+K206</f>
        <v>57884000</v>
      </c>
      <c r="L138" s="360">
        <f t="shared" ref="L138:L146" si="60">+J138+K138</f>
        <v>175614600</v>
      </c>
      <c r="M138" s="360">
        <f t="shared" ref="M138" si="61">+I138+L138</f>
        <v>471789600</v>
      </c>
      <c r="N138" s="359">
        <f t="shared" ref="N138:N146" si="62">+F138-M138</f>
        <v>3845861900</v>
      </c>
      <c r="P138" s="361"/>
      <c r="R138" s="321"/>
      <c r="S138" s="362"/>
      <c r="T138" s="362"/>
      <c r="U138" s="350"/>
    </row>
    <row r="139" spans="1:21" s="319" customFormat="1" ht="18" customHeight="1" x14ac:dyDescent="0.25">
      <c r="A139" s="276">
        <v>6</v>
      </c>
      <c r="B139" s="305"/>
      <c r="C139" s="305" t="s">
        <v>90</v>
      </c>
      <c r="D139" s="363"/>
      <c r="E139" s="364" t="s">
        <v>91</v>
      </c>
      <c r="F139" s="307">
        <f>+F140+F147</f>
        <v>1165936000</v>
      </c>
      <c r="G139" s="308">
        <f>+G140+G147</f>
        <v>0</v>
      </c>
      <c r="H139" s="308">
        <f>+H140+H147</f>
        <v>0</v>
      </c>
      <c r="I139" s="308">
        <f t="shared" si="59"/>
        <v>0</v>
      </c>
      <c r="J139" s="308">
        <f>+J140+J147</f>
        <v>0</v>
      </c>
      <c r="K139" s="308">
        <f>+K140+K147</f>
        <v>0</v>
      </c>
      <c r="L139" s="308">
        <f t="shared" si="60"/>
        <v>0</v>
      </c>
      <c r="M139" s="308">
        <f>+I139+L139</f>
        <v>0</v>
      </c>
      <c r="N139" s="307">
        <f t="shared" si="62"/>
        <v>1165936000</v>
      </c>
      <c r="P139" s="320"/>
      <c r="R139" s="321"/>
      <c r="S139" s="349"/>
      <c r="T139" s="349"/>
      <c r="U139" s="350"/>
    </row>
    <row r="140" spans="1:21" s="329" customFormat="1" ht="18" customHeight="1" x14ac:dyDescent="0.25">
      <c r="A140" s="323"/>
      <c r="B140" s="324"/>
      <c r="C140" s="379"/>
      <c r="D140" s="325" t="s">
        <v>207</v>
      </c>
      <c r="E140" s="326" t="s">
        <v>262</v>
      </c>
      <c r="F140" s="327">
        <f>+F141</f>
        <v>39736000</v>
      </c>
      <c r="G140" s="328">
        <f>+G141</f>
        <v>0</v>
      </c>
      <c r="H140" s="328">
        <f>+H141</f>
        <v>0</v>
      </c>
      <c r="I140" s="328">
        <f t="shared" si="59"/>
        <v>0</v>
      </c>
      <c r="J140" s="328">
        <f t="shared" ref="J140:K142" si="63">+J141</f>
        <v>0</v>
      </c>
      <c r="K140" s="328">
        <f t="shared" si="63"/>
        <v>0</v>
      </c>
      <c r="L140" s="328">
        <f t="shared" si="60"/>
        <v>0</v>
      </c>
      <c r="M140" s="328">
        <f t="shared" ref="M140:M164" si="64">+I140+L140</f>
        <v>0</v>
      </c>
      <c r="N140" s="327">
        <f t="shared" si="62"/>
        <v>39736000</v>
      </c>
      <c r="P140" s="330"/>
      <c r="R140" s="331"/>
      <c r="S140" s="351"/>
      <c r="T140" s="351"/>
      <c r="U140" s="333"/>
    </row>
    <row r="141" spans="1:21" s="381" customFormat="1" ht="18" customHeight="1" x14ac:dyDescent="0.25">
      <c r="A141" s="380"/>
      <c r="B141" s="352"/>
      <c r="C141" s="334"/>
      <c r="D141" s="335" t="s">
        <v>63</v>
      </c>
      <c r="E141" s="335" t="s">
        <v>30</v>
      </c>
      <c r="F141" s="337">
        <f>+F142</f>
        <v>39736000</v>
      </c>
      <c r="G141" s="344">
        <f t="shared" ref="G141:H142" si="65">+G142</f>
        <v>0</v>
      </c>
      <c r="H141" s="344">
        <f t="shared" si="65"/>
        <v>0</v>
      </c>
      <c r="I141" s="344">
        <f t="shared" si="59"/>
        <v>0</v>
      </c>
      <c r="J141" s="344">
        <f t="shared" si="63"/>
        <v>0</v>
      </c>
      <c r="K141" s="344">
        <f t="shared" si="63"/>
        <v>0</v>
      </c>
      <c r="L141" s="344">
        <f t="shared" si="60"/>
        <v>0</v>
      </c>
      <c r="M141" s="344">
        <f t="shared" si="64"/>
        <v>0</v>
      </c>
      <c r="N141" s="337">
        <f t="shared" si="62"/>
        <v>39736000</v>
      </c>
      <c r="P141" s="340"/>
      <c r="S141" s="347"/>
      <c r="T141" s="347"/>
      <c r="U141" s="382"/>
    </row>
    <row r="142" spans="1:21" s="339" customFormat="1" ht="18" customHeight="1" x14ac:dyDescent="0.25">
      <c r="A142" s="334"/>
      <c r="B142" s="335"/>
      <c r="C142" s="334"/>
      <c r="D142" s="365" t="s">
        <v>263</v>
      </c>
      <c r="E142" s="335" t="s">
        <v>264</v>
      </c>
      <c r="F142" s="337">
        <f>+F143</f>
        <v>39736000</v>
      </c>
      <c r="G142" s="344">
        <f t="shared" si="65"/>
        <v>0</v>
      </c>
      <c r="H142" s="344">
        <f t="shared" si="65"/>
        <v>0</v>
      </c>
      <c r="I142" s="344">
        <f t="shared" si="59"/>
        <v>0</v>
      </c>
      <c r="J142" s="344">
        <f t="shared" si="63"/>
        <v>0</v>
      </c>
      <c r="K142" s="344">
        <f t="shared" si="63"/>
        <v>0</v>
      </c>
      <c r="L142" s="344">
        <f t="shared" si="60"/>
        <v>0</v>
      </c>
      <c r="M142" s="344">
        <f t="shared" si="64"/>
        <v>0</v>
      </c>
      <c r="N142" s="337">
        <f t="shared" si="62"/>
        <v>39736000</v>
      </c>
      <c r="P142" s="340"/>
      <c r="S142" s="347"/>
      <c r="T142" s="347"/>
      <c r="U142" s="342"/>
    </row>
    <row r="143" spans="1:21" s="381" customFormat="1" ht="18" customHeight="1" x14ac:dyDescent="0.25">
      <c r="A143" s="380"/>
      <c r="B143" s="352"/>
      <c r="C143" s="334"/>
      <c r="D143" s="335" t="s">
        <v>64</v>
      </c>
      <c r="E143" s="335" t="s">
        <v>65</v>
      </c>
      <c r="F143" s="337">
        <f>F145+F144+F146</f>
        <v>39736000</v>
      </c>
      <c r="G143" s="344">
        <f>+G145</f>
        <v>0</v>
      </c>
      <c r="H143" s="344">
        <f>+H145</f>
        <v>0</v>
      </c>
      <c r="I143" s="344">
        <f t="shared" si="59"/>
        <v>0</v>
      </c>
      <c r="J143" s="344">
        <f>+J145</f>
        <v>0</v>
      </c>
      <c r="K143" s="344">
        <f>+K145</f>
        <v>0</v>
      </c>
      <c r="L143" s="344">
        <f t="shared" si="60"/>
        <v>0</v>
      </c>
      <c r="M143" s="344">
        <f t="shared" si="64"/>
        <v>0</v>
      </c>
      <c r="N143" s="337">
        <f t="shared" si="62"/>
        <v>39736000</v>
      </c>
      <c r="P143" s="340"/>
      <c r="S143" s="347"/>
      <c r="T143" s="347"/>
      <c r="U143" s="382"/>
    </row>
    <row r="144" spans="1:21" s="381" customFormat="1" ht="18" customHeight="1" x14ac:dyDescent="0.25">
      <c r="A144" s="380"/>
      <c r="B144" s="352"/>
      <c r="C144" s="334"/>
      <c r="D144" s="335" t="s">
        <v>66</v>
      </c>
      <c r="E144" s="335" t="s">
        <v>67</v>
      </c>
      <c r="F144" s="337">
        <v>13500</v>
      </c>
      <c r="G144" s="344"/>
      <c r="H144" s="344"/>
      <c r="I144" s="344">
        <f t="shared" si="59"/>
        <v>0</v>
      </c>
      <c r="J144" s="344"/>
      <c r="K144" s="344"/>
      <c r="L144" s="344">
        <f t="shared" si="60"/>
        <v>0</v>
      </c>
      <c r="M144" s="344">
        <f t="shared" si="64"/>
        <v>0</v>
      </c>
      <c r="N144" s="337">
        <f t="shared" si="62"/>
        <v>13500</v>
      </c>
      <c r="P144" s="340"/>
      <c r="S144" s="347"/>
      <c r="T144" s="347"/>
      <c r="U144" s="382"/>
    </row>
    <row r="145" spans="1:21" s="381" customFormat="1" ht="18" customHeight="1" x14ac:dyDescent="0.25">
      <c r="A145" s="380"/>
      <c r="B145" s="352"/>
      <c r="C145" s="334"/>
      <c r="D145" s="335" t="s">
        <v>339</v>
      </c>
      <c r="E145" s="335" t="s">
        <v>340</v>
      </c>
      <c r="F145" s="337">
        <v>29175000</v>
      </c>
      <c r="G145" s="344"/>
      <c r="H145" s="344"/>
      <c r="I145" s="344">
        <f t="shared" si="59"/>
        <v>0</v>
      </c>
      <c r="J145" s="344"/>
      <c r="K145" s="344"/>
      <c r="L145" s="344">
        <f t="shared" si="60"/>
        <v>0</v>
      </c>
      <c r="M145" s="344">
        <f t="shared" si="64"/>
        <v>0</v>
      </c>
      <c r="N145" s="337">
        <f t="shared" si="62"/>
        <v>29175000</v>
      </c>
      <c r="P145" s="340"/>
      <c r="S145" s="347"/>
      <c r="T145" s="347"/>
      <c r="U145" s="382"/>
    </row>
    <row r="146" spans="1:21" s="381" customFormat="1" ht="18" customHeight="1" x14ac:dyDescent="0.25">
      <c r="A146" s="380"/>
      <c r="B146" s="352"/>
      <c r="C146" s="334"/>
      <c r="D146" s="335" t="s">
        <v>371</v>
      </c>
      <c r="E146" s="335" t="s">
        <v>372</v>
      </c>
      <c r="F146" s="337">
        <v>10547500</v>
      </c>
      <c r="G146" s="344"/>
      <c r="H146" s="344"/>
      <c r="I146" s="344">
        <f t="shared" si="59"/>
        <v>0</v>
      </c>
      <c r="J146" s="344"/>
      <c r="K146" s="344"/>
      <c r="L146" s="344">
        <f t="shared" si="60"/>
        <v>0</v>
      </c>
      <c r="M146" s="344">
        <f t="shared" si="64"/>
        <v>0</v>
      </c>
      <c r="N146" s="337">
        <f t="shared" si="62"/>
        <v>10547500</v>
      </c>
      <c r="P146" s="340"/>
      <c r="S146" s="347"/>
      <c r="T146" s="347"/>
      <c r="U146" s="382"/>
    </row>
    <row r="147" spans="1:21" s="381" customFormat="1" ht="18" customHeight="1" x14ac:dyDescent="0.25">
      <c r="A147" s="380"/>
      <c r="B147" s="383"/>
      <c r="C147" s="384"/>
      <c r="D147" s="365" t="s">
        <v>267</v>
      </c>
      <c r="E147" s="335" t="s">
        <v>268</v>
      </c>
      <c r="F147" s="337">
        <f>+F148</f>
        <v>1126200000</v>
      </c>
      <c r="G147" s="344">
        <f>+G148</f>
        <v>0</v>
      </c>
      <c r="H147" s="344">
        <f>+H148</f>
        <v>0</v>
      </c>
      <c r="I147" s="344">
        <f>+G147+H147</f>
        <v>0</v>
      </c>
      <c r="J147" s="344">
        <f>+J148</f>
        <v>0</v>
      </c>
      <c r="K147" s="344">
        <f>+K148</f>
        <v>0</v>
      </c>
      <c r="L147" s="344">
        <f>+J147+K147</f>
        <v>0</v>
      </c>
      <c r="M147" s="344">
        <f t="shared" si="64"/>
        <v>0</v>
      </c>
      <c r="N147" s="337">
        <f>+F147-M147</f>
        <v>1126200000</v>
      </c>
      <c r="P147" s="340"/>
      <c r="R147" s="385"/>
      <c r="S147" s="347"/>
      <c r="T147" s="347"/>
      <c r="U147" s="382"/>
    </row>
    <row r="148" spans="1:21" s="381" customFormat="1" ht="18" customHeight="1" x14ac:dyDescent="0.25">
      <c r="A148" s="380"/>
      <c r="B148" s="352"/>
      <c r="C148" s="334"/>
      <c r="D148" s="335" t="s">
        <v>78</v>
      </c>
      <c r="E148" s="335" t="s">
        <v>75</v>
      </c>
      <c r="F148" s="337">
        <f>+F149+F159+F156</f>
        <v>1126200000</v>
      </c>
      <c r="G148" s="344">
        <f>+G149+G159</f>
        <v>0</v>
      </c>
      <c r="H148" s="344">
        <f>+H149+H159</f>
        <v>0</v>
      </c>
      <c r="I148" s="344">
        <f>+G148+H148</f>
        <v>0</v>
      </c>
      <c r="J148" s="344">
        <f>+J149+J159</f>
        <v>0</v>
      </c>
      <c r="K148" s="344">
        <f>+K149+K159</f>
        <v>0</v>
      </c>
      <c r="L148" s="344">
        <f>+J148+K148</f>
        <v>0</v>
      </c>
      <c r="M148" s="344">
        <f t="shared" si="64"/>
        <v>0</v>
      </c>
      <c r="N148" s="337">
        <f>+F148-M148</f>
        <v>1126200000</v>
      </c>
      <c r="P148" s="340"/>
      <c r="S148" s="347"/>
      <c r="T148" s="347"/>
      <c r="U148" s="382"/>
    </row>
    <row r="149" spans="1:21" s="339" customFormat="1" ht="18" customHeight="1" x14ac:dyDescent="0.25">
      <c r="A149" s="334"/>
      <c r="B149" s="335"/>
      <c r="C149" s="334"/>
      <c r="D149" s="365" t="s">
        <v>269</v>
      </c>
      <c r="E149" s="335" t="s">
        <v>270</v>
      </c>
      <c r="F149" s="337">
        <f>+F153+F150</f>
        <v>385400000</v>
      </c>
      <c r="G149" s="344">
        <f>+G153</f>
        <v>0</v>
      </c>
      <c r="H149" s="344">
        <f>+H153</f>
        <v>0</v>
      </c>
      <c r="I149" s="344">
        <f>+G149+H149</f>
        <v>0</v>
      </c>
      <c r="J149" s="344">
        <f>+J153</f>
        <v>0</v>
      </c>
      <c r="K149" s="344">
        <f>+K153+K150</f>
        <v>0</v>
      </c>
      <c r="L149" s="344">
        <f>+J149+K149</f>
        <v>0</v>
      </c>
      <c r="M149" s="344">
        <f t="shared" si="64"/>
        <v>0</v>
      </c>
      <c r="N149" s="337">
        <f>+F149-M149</f>
        <v>385400000</v>
      </c>
      <c r="P149" s="340"/>
      <c r="S149" s="347"/>
      <c r="T149" s="347"/>
      <c r="U149" s="342"/>
    </row>
    <row r="150" spans="1:21" s="381" customFormat="1" ht="18" customHeight="1" x14ac:dyDescent="0.25">
      <c r="A150" s="380"/>
      <c r="B150" s="352"/>
      <c r="C150" s="334"/>
      <c r="D150" s="335" t="s">
        <v>76</v>
      </c>
      <c r="E150" s="335" t="s">
        <v>484</v>
      </c>
      <c r="F150" s="337">
        <f>F151+F152</f>
        <v>180100000</v>
      </c>
      <c r="G150" s="344">
        <f>G151</f>
        <v>0</v>
      </c>
      <c r="H150" s="344">
        <f>+H151</f>
        <v>0</v>
      </c>
      <c r="I150" s="344">
        <f>+G150+H150</f>
        <v>0</v>
      </c>
      <c r="J150" s="344">
        <f>J151</f>
        <v>0</v>
      </c>
      <c r="K150" s="344">
        <f>+K151</f>
        <v>0</v>
      </c>
      <c r="L150" s="344">
        <f>+J150+K150</f>
        <v>0</v>
      </c>
      <c r="M150" s="344">
        <f t="shared" si="64"/>
        <v>0</v>
      </c>
      <c r="N150" s="337">
        <f>+F150-M150</f>
        <v>180100000</v>
      </c>
      <c r="P150" s="340"/>
      <c r="S150" s="347"/>
      <c r="T150" s="347"/>
      <c r="U150" s="382"/>
    </row>
    <row r="151" spans="1:21" s="381" customFormat="1" ht="18" customHeight="1" x14ac:dyDescent="0.25">
      <c r="A151" s="380"/>
      <c r="B151" s="352"/>
      <c r="C151" s="334"/>
      <c r="D151" s="335" t="s">
        <v>393</v>
      </c>
      <c r="E151" s="335" t="s">
        <v>394</v>
      </c>
      <c r="F151" s="337">
        <v>99600000</v>
      </c>
      <c r="G151" s="344"/>
      <c r="H151" s="344"/>
      <c r="I151" s="344">
        <f t="shared" ref="I151:I152" si="66">+G151+H151</f>
        <v>0</v>
      </c>
      <c r="J151" s="344"/>
      <c r="K151" s="344"/>
      <c r="L151" s="344">
        <f t="shared" ref="L151:L152" si="67">+J151+K151</f>
        <v>0</v>
      </c>
      <c r="M151" s="344">
        <f t="shared" si="64"/>
        <v>0</v>
      </c>
      <c r="N151" s="337">
        <f t="shared" ref="N151:N152" si="68">+F151-M151</f>
        <v>99600000</v>
      </c>
      <c r="P151" s="340"/>
      <c r="S151" s="347"/>
      <c r="T151" s="347"/>
      <c r="U151" s="382"/>
    </row>
    <row r="152" spans="1:21" s="381" customFormat="1" ht="18" customHeight="1" x14ac:dyDescent="0.25">
      <c r="A152" s="380"/>
      <c r="B152" s="352"/>
      <c r="C152" s="334"/>
      <c r="D152" s="335" t="s">
        <v>117</v>
      </c>
      <c r="E152" s="335" t="s">
        <v>118</v>
      </c>
      <c r="F152" s="337">
        <v>80500000</v>
      </c>
      <c r="G152" s="344"/>
      <c r="H152" s="344"/>
      <c r="I152" s="344">
        <f t="shared" si="66"/>
        <v>0</v>
      </c>
      <c r="J152" s="344"/>
      <c r="K152" s="344"/>
      <c r="L152" s="344">
        <f t="shared" si="67"/>
        <v>0</v>
      </c>
      <c r="M152" s="344">
        <f t="shared" si="64"/>
        <v>0</v>
      </c>
      <c r="N152" s="337">
        <f t="shared" si="68"/>
        <v>80500000</v>
      </c>
      <c r="P152" s="340"/>
      <c r="S152" s="347"/>
      <c r="T152" s="347"/>
      <c r="U152" s="382"/>
    </row>
    <row r="153" spans="1:21" s="381" customFormat="1" ht="18" customHeight="1" x14ac:dyDescent="0.25">
      <c r="A153" s="380"/>
      <c r="B153" s="352"/>
      <c r="C153" s="334"/>
      <c r="D153" s="335" t="s">
        <v>92</v>
      </c>
      <c r="E153" s="335" t="s">
        <v>94</v>
      </c>
      <c r="F153" s="337">
        <f>F154+F155</f>
        <v>205300000</v>
      </c>
      <c r="G153" s="344">
        <f>+G154+G155</f>
        <v>0</v>
      </c>
      <c r="H153" s="344">
        <f>+H154+H155</f>
        <v>0</v>
      </c>
      <c r="I153" s="344">
        <f>+G153+H153</f>
        <v>0</v>
      </c>
      <c r="J153" s="344">
        <f>J154+J155</f>
        <v>0</v>
      </c>
      <c r="K153" s="344">
        <f>+K154+K155</f>
        <v>0</v>
      </c>
      <c r="L153" s="344">
        <f>+J153+K153</f>
        <v>0</v>
      </c>
      <c r="M153" s="344">
        <f t="shared" si="64"/>
        <v>0</v>
      </c>
      <c r="N153" s="337">
        <f>+F153-M153</f>
        <v>205300000</v>
      </c>
      <c r="P153" s="340"/>
      <c r="S153" s="347"/>
      <c r="T153" s="347"/>
      <c r="U153" s="382"/>
    </row>
    <row r="154" spans="1:21" s="381" customFormat="1" ht="18" customHeight="1" x14ac:dyDescent="0.25">
      <c r="A154" s="380"/>
      <c r="B154" s="352"/>
      <c r="C154" s="334"/>
      <c r="D154" s="335" t="s">
        <v>93</v>
      </c>
      <c r="E154" s="335" t="s">
        <v>95</v>
      </c>
      <c r="F154" s="337">
        <v>180000000</v>
      </c>
      <c r="G154" s="344"/>
      <c r="H154" s="344"/>
      <c r="I154" s="344">
        <f t="shared" ref="I154:I155" si="69">+G154+H154</f>
        <v>0</v>
      </c>
      <c r="J154" s="344"/>
      <c r="K154" s="344"/>
      <c r="L154" s="344">
        <f t="shared" ref="L154:L164" si="70">+J154+K154</f>
        <v>0</v>
      </c>
      <c r="M154" s="344">
        <f t="shared" si="64"/>
        <v>0</v>
      </c>
      <c r="N154" s="337">
        <f t="shared" ref="N154:N155" si="71">+F154-M154</f>
        <v>180000000</v>
      </c>
      <c r="P154" s="340"/>
      <c r="S154" s="347"/>
      <c r="T154" s="347"/>
      <c r="U154" s="382"/>
    </row>
    <row r="155" spans="1:21" s="381" customFormat="1" ht="18" customHeight="1" x14ac:dyDescent="0.25">
      <c r="A155" s="380"/>
      <c r="B155" s="352"/>
      <c r="C155" s="334"/>
      <c r="D155" s="335" t="s">
        <v>397</v>
      </c>
      <c r="E155" s="335" t="s">
        <v>398</v>
      </c>
      <c r="F155" s="337">
        <v>25300000</v>
      </c>
      <c r="G155" s="344"/>
      <c r="H155" s="344"/>
      <c r="I155" s="344">
        <f t="shared" si="69"/>
        <v>0</v>
      </c>
      <c r="J155" s="344"/>
      <c r="K155" s="344"/>
      <c r="L155" s="344">
        <f t="shared" si="70"/>
        <v>0</v>
      </c>
      <c r="M155" s="344">
        <f t="shared" si="64"/>
        <v>0</v>
      </c>
      <c r="N155" s="337">
        <f t="shared" si="71"/>
        <v>25300000</v>
      </c>
      <c r="P155" s="340"/>
      <c r="S155" s="347"/>
      <c r="T155" s="347"/>
      <c r="U155" s="382"/>
    </row>
    <row r="156" spans="1:21" s="339" customFormat="1" ht="18" customHeight="1" x14ac:dyDescent="0.25">
      <c r="A156" s="334"/>
      <c r="B156" s="335"/>
      <c r="C156" s="334"/>
      <c r="D156" s="365" t="s">
        <v>399</v>
      </c>
      <c r="E156" s="335" t="s">
        <v>400</v>
      </c>
      <c r="F156" s="337">
        <f>+F157</f>
        <v>200000000</v>
      </c>
      <c r="G156" s="344">
        <f>+G160</f>
        <v>0</v>
      </c>
      <c r="H156" s="344">
        <f>+H160</f>
        <v>0</v>
      </c>
      <c r="I156" s="344">
        <f>+G156+H156</f>
        <v>0</v>
      </c>
      <c r="J156" s="344">
        <f>+J160</f>
        <v>0</v>
      </c>
      <c r="K156" s="344">
        <f>+K160+K157</f>
        <v>0</v>
      </c>
      <c r="L156" s="344">
        <f>+J156+K156</f>
        <v>0</v>
      </c>
      <c r="M156" s="344">
        <f t="shared" si="64"/>
        <v>0</v>
      </c>
      <c r="N156" s="337">
        <f>+F156-M156</f>
        <v>200000000</v>
      </c>
      <c r="P156" s="340"/>
      <c r="S156" s="347"/>
      <c r="T156" s="347"/>
      <c r="U156" s="342"/>
    </row>
    <row r="157" spans="1:21" s="381" customFormat="1" ht="18" customHeight="1" x14ac:dyDescent="0.25">
      <c r="A157" s="380"/>
      <c r="B157" s="352"/>
      <c r="C157" s="334"/>
      <c r="D157" s="335" t="s">
        <v>401</v>
      </c>
      <c r="E157" s="335" t="s">
        <v>402</v>
      </c>
      <c r="F157" s="337">
        <f>+F158</f>
        <v>200000000</v>
      </c>
      <c r="G157" s="344">
        <f>G158</f>
        <v>0</v>
      </c>
      <c r="H157" s="344">
        <f>+H158</f>
        <v>0</v>
      </c>
      <c r="I157" s="344">
        <f>+G157+H157</f>
        <v>0</v>
      </c>
      <c r="J157" s="344">
        <f>J158</f>
        <v>0</v>
      </c>
      <c r="K157" s="344">
        <f>+K158</f>
        <v>0</v>
      </c>
      <c r="L157" s="344">
        <f>+J157+K157</f>
        <v>0</v>
      </c>
      <c r="M157" s="344">
        <f t="shared" si="64"/>
        <v>0</v>
      </c>
      <c r="N157" s="337">
        <f>+F157-M157</f>
        <v>200000000</v>
      </c>
      <c r="P157" s="340"/>
      <c r="S157" s="347"/>
      <c r="T157" s="347"/>
      <c r="U157" s="382"/>
    </row>
    <row r="158" spans="1:21" s="381" customFormat="1" ht="18" customHeight="1" x14ac:dyDescent="0.25">
      <c r="A158" s="380"/>
      <c r="B158" s="352"/>
      <c r="C158" s="334"/>
      <c r="D158" s="335" t="s">
        <v>459</v>
      </c>
      <c r="E158" s="335" t="s">
        <v>460</v>
      </c>
      <c r="F158" s="337">
        <v>200000000</v>
      </c>
      <c r="G158" s="344"/>
      <c r="H158" s="344"/>
      <c r="I158" s="344">
        <f t="shared" ref="I158" si="72">+G158+H158</f>
        <v>0</v>
      </c>
      <c r="J158" s="344"/>
      <c r="K158" s="344"/>
      <c r="L158" s="344">
        <f t="shared" ref="L158" si="73">+J158+K158</f>
        <v>0</v>
      </c>
      <c r="M158" s="344">
        <f t="shared" si="64"/>
        <v>0</v>
      </c>
      <c r="N158" s="337">
        <f t="shared" ref="N158" si="74">+F158-M158</f>
        <v>200000000</v>
      </c>
      <c r="P158" s="340"/>
      <c r="S158" s="347"/>
      <c r="T158" s="347"/>
      <c r="U158" s="382"/>
    </row>
    <row r="159" spans="1:21" s="339" customFormat="1" ht="18" customHeight="1" x14ac:dyDescent="0.25">
      <c r="A159" s="334"/>
      <c r="B159" s="335"/>
      <c r="C159" s="334"/>
      <c r="D159" s="365" t="s">
        <v>273</v>
      </c>
      <c r="E159" s="335" t="s">
        <v>274</v>
      </c>
      <c r="F159" s="337">
        <f>+F160+F162</f>
        <v>540800000</v>
      </c>
      <c r="G159" s="344">
        <f>+G160+G162</f>
        <v>0</v>
      </c>
      <c r="H159" s="344">
        <f>+H160+H162</f>
        <v>0</v>
      </c>
      <c r="I159" s="344">
        <f>+G159+H159</f>
        <v>0</v>
      </c>
      <c r="J159" s="344">
        <f t="shared" ref="J159:K160" si="75">+J160</f>
        <v>0</v>
      </c>
      <c r="K159" s="344">
        <f t="shared" si="75"/>
        <v>0</v>
      </c>
      <c r="L159" s="344">
        <f t="shared" si="70"/>
        <v>0</v>
      </c>
      <c r="M159" s="344">
        <f t="shared" si="64"/>
        <v>0</v>
      </c>
      <c r="N159" s="337">
        <f>+F159-M159</f>
        <v>540800000</v>
      </c>
      <c r="P159" s="340"/>
      <c r="S159" s="347"/>
      <c r="T159" s="347"/>
      <c r="U159" s="342"/>
    </row>
    <row r="160" spans="1:21" s="381" customFormat="1" ht="18" customHeight="1" x14ac:dyDescent="0.25">
      <c r="A160" s="380"/>
      <c r="B160" s="352"/>
      <c r="C160" s="334"/>
      <c r="D160" s="335" t="s">
        <v>96</v>
      </c>
      <c r="E160" s="335" t="s">
        <v>98</v>
      </c>
      <c r="F160" s="337">
        <f>F161</f>
        <v>335000000</v>
      </c>
      <c r="G160" s="344">
        <f>+G161</f>
        <v>0</v>
      </c>
      <c r="H160" s="344">
        <f>+H161</f>
        <v>0</v>
      </c>
      <c r="I160" s="344">
        <f>+G160+H160</f>
        <v>0</v>
      </c>
      <c r="J160" s="344">
        <f>+J161</f>
        <v>0</v>
      </c>
      <c r="K160" s="344">
        <f t="shared" si="75"/>
        <v>0</v>
      </c>
      <c r="L160" s="344">
        <f t="shared" si="70"/>
        <v>0</v>
      </c>
      <c r="M160" s="344">
        <f t="shared" si="64"/>
        <v>0</v>
      </c>
      <c r="N160" s="337">
        <f>+F160-M160</f>
        <v>335000000</v>
      </c>
      <c r="P160" s="340"/>
      <c r="S160" s="347"/>
      <c r="T160" s="347"/>
      <c r="U160" s="382"/>
    </row>
    <row r="161" spans="1:21" s="381" customFormat="1" ht="18" customHeight="1" x14ac:dyDescent="0.25">
      <c r="A161" s="380"/>
      <c r="B161" s="352"/>
      <c r="C161" s="334"/>
      <c r="D161" s="335" t="s">
        <v>97</v>
      </c>
      <c r="E161" s="335" t="s">
        <v>99</v>
      </c>
      <c r="F161" s="337">
        <v>335000000</v>
      </c>
      <c r="G161" s="344"/>
      <c r="H161" s="344"/>
      <c r="I161" s="344">
        <f t="shared" si="59"/>
        <v>0</v>
      </c>
      <c r="J161" s="344"/>
      <c r="K161" s="344"/>
      <c r="L161" s="344">
        <f t="shared" si="70"/>
        <v>0</v>
      </c>
      <c r="M161" s="344">
        <f t="shared" si="64"/>
        <v>0</v>
      </c>
      <c r="N161" s="337">
        <f t="shared" ref="N161" si="76">+F161-M161</f>
        <v>335000000</v>
      </c>
      <c r="P161" s="340"/>
      <c r="S161" s="347"/>
      <c r="T161" s="347"/>
      <c r="U161" s="382"/>
    </row>
    <row r="162" spans="1:21" s="381" customFormat="1" ht="18" customHeight="1" x14ac:dyDescent="0.25">
      <c r="A162" s="380"/>
      <c r="B162" s="352"/>
      <c r="C162" s="334"/>
      <c r="D162" s="335" t="s">
        <v>382</v>
      </c>
      <c r="E162" s="335" t="s">
        <v>383</v>
      </c>
      <c r="F162" s="337">
        <f>SUM(F163:F164)</f>
        <v>205800000</v>
      </c>
      <c r="G162" s="344">
        <f>SUM(G163:G164)</f>
        <v>0</v>
      </c>
      <c r="H162" s="344">
        <f>SUM(H163:H164)</f>
        <v>0</v>
      </c>
      <c r="I162" s="344">
        <f>+G162+H162</f>
        <v>0</v>
      </c>
      <c r="J162" s="344">
        <f>SUM(J163:J164)</f>
        <v>0</v>
      </c>
      <c r="K162" s="344">
        <f>SUM(K163:K164)</f>
        <v>0</v>
      </c>
      <c r="L162" s="344">
        <f>+J162+K162</f>
        <v>0</v>
      </c>
      <c r="M162" s="344">
        <f t="shared" si="64"/>
        <v>0</v>
      </c>
      <c r="N162" s="337">
        <f>+F162-M162</f>
        <v>205800000</v>
      </c>
      <c r="P162" s="340"/>
      <c r="S162" s="347"/>
      <c r="T162" s="347"/>
      <c r="U162" s="382"/>
    </row>
    <row r="163" spans="1:21" s="381" customFormat="1" ht="18" customHeight="1" x14ac:dyDescent="0.25">
      <c r="A163" s="380"/>
      <c r="B163" s="352"/>
      <c r="C163" s="334"/>
      <c r="D163" s="335" t="s">
        <v>384</v>
      </c>
      <c r="E163" s="335" t="s">
        <v>385</v>
      </c>
      <c r="F163" s="337">
        <v>170400000</v>
      </c>
      <c r="G163" s="344"/>
      <c r="H163" s="344"/>
      <c r="I163" s="344">
        <f t="shared" si="59"/>
        <v>0</v>
      </c>
      <c r="J163" s="344"/>
      <c r="K163" s="344"/>
      <c r="L163" s="344">
        <f t="shared" si="70"/>
        <v>0</v>
      </c>
      <c r="M163" s="344">
        <f t="shared" si="64"/>
        <v>0</v>
      </c>
      <c r="N163" s="337">
        <f t="shared" ref="N163:N164" si="77">+F163-M163</f>
        <v>170400000</v>
      </c>
      <c r="P163" s="340"/>
      <c r="S163" s="347"/>
      <c r="T163" s="347"/>
      <c r="U163" s="382"/>
    </row>
    <row r="164" spans="1:21" s="388" customFormat="1" ht="18" customHeight="1" x14ac:dyDescent="0.25">
      <c r="A164" s="386"/>
      <c r="B164" s="387"/>
      <c r="C164" s="353"/>
      <c r="D164" s="355" t="s">
        <v>386</v>
      </c>
      <c r="E164" s="355" t="s">
        <v>387</v>
      </c>
      <c r="F164" s="356">
        <v>35400000</v>
      </c>
      <c r="G164" s="357"/>
      <c r="H164" s="357"/>
      <c r="I164" s="357">
        <f t="shared" si="59"/>
        <v>0</v>
      </c>
      <c r="J164" s="357"/>
      <c r="K164" s="357"/>
      <c r="L164" s="357">
        <f t="shared" si="70"/>
        <v>0</v>
      </c>
      <c r="M164" s="357">
        <f t="shared" si="64"/>
        <v>0</v>
      </c>
      <c r="N164" s="356">
        <f t="shared" si="77"/>
        <v>35400000</v>
      </c>
      <c r="P164" s="200"/>
      <c r="S164" s="221"/>
      <c r="T164" s="221"/>
      <c r="U164" s="389"/>
    </row>
    <row r="165" spans="1:21" s="319" customFormat="1" ht="18" customHeight="1" x14ac:dyDescent="0.25">
      <c r="A165" s="276">
        <v>7</v>
      </c>
      <c r="B165" s="305"/>
      <c r="C165" s="390" t="s">
        <v>102</v>
      </c>
      <c r="D165" s="363"/>
      <c r="E165" s="364" t="s">
        <v>103</v>
      </c>
      <c r="F165" s="307">
        <f t="shared" ref="F165:H168" si="78">+F166</f>
        <v>540210000</v>
      </c>
      <c r="G165" s="308">
        <f t="shared" si="78"/>
        <v>0</v>
      </c>
      <c r="H165" s="308">
        <f t="shared" si="78"/>
        <v>0</v>
      </c>
      <c r="I165" s="308">
        <f>+G165+H165</f>
        <v>0</v>
      </c>
      <c r="J165" s="308">
        <f>+J166</f>
        <v>45950000</v>
      </c>
      <c r="K165" s="308">
        <f t="shared" ref="J165:K168" si="79">+K166</f>
        <v>37800000</v>
      </c>
      <c r="L165" s="308">
        <f>+J165+K165</f>
        <v>83750000</v>
      </c>
      <c r="M165" s="308">
        <f>+I165+L165</f>
        <v>83750000</v>
      </c>
      <c r="N165" s="307">
        <f>+F165-M165</f>
        <v>456460000</v>
      </c>
      <c r="P165" s="320"/>
      <c r="R165" s="321"/>
      <c r="S165" s="349"/>
      <c r="T165" s="349"/>
      <c r="U165" s="350"/>
    </row>
    <row r="166" spans="1:21" s="329" customFormat="1" ht="18" customHeight="1" x14ac:dyDescent="0.25">
      <c r="A166" s="323"/>
      <c r="B166" s="324"/>
      <c r="C166" s="379"/>
      <c r="D166" s="325" t="s">
        <v>207</v>
      </c>
      <c r="E166" s="326" t="s">
        <v>262</v>
      </c>
      <c r="F166" s="327">
        <f t="shared" si="78"/>
        <v>540210000</v>
      </c>
      <c r="G166" s="328">
        <f t="shared" si="78"/>
        <v>0</v>
      </c>
      <c r="H166" s="328">
        <f t="shared" si="78"/>
        <v>0</v>
      </c>
      <c r="I166" s="328">
        <f>+G166+H166</f>
        <v>0</v>
      </c>
      <c r="J166" s="328">
        <f t="shared" si="79"/>
        <v>45950000</v>
      </c>
      <c r="K166" s="328">
        <f t="shared" si="79"/>
        <v>37800000</v>
      </c>
      <c r="L166" s="328">
        <f>+J166+K166</f>
        <v>83750000</v>
      </c>
      <c r="M166" s="328">
        <f t="shared" ref="M166:M169" si="80">+I166+L166</f>
        <v>83750000</v>
      </c>
      <c r="N166" s="327">
        <f>+F166-M166</f>
        <v>456460000</v>
      </c>
      <c r="P166" s="330"/>
      <c r="R166" s="331"/>
      <c r="S166" s="351"/>
      <c r="T166" s="351"/>
      <c r="U166" s="333"/>
    </row>
    <row r="167" spans="1:21" s="381" customFormat="1" ht="18" customHeight="1" x14ac:dyDescent="0.25">
      <c r="A167" s="380"/>
      <c r="B167" s="352"/>
      <c r="C167" s="334"/>
      <c r="D167" s="335" t="s">
        <v>63</v>
      </c>
      <c r="E167" s="335" t="s">
        <v>30</v>
      </c>
      <c r="F167" s="337">
        <f t="shared" si="78"/>
        <v>540210000</v>
      </c>
      <c r="G167" s="344">
        <f t="shared" si="78"/>
        <v>0</v>
      </c>
      <c r="H167" s="344">
        <f t="shared" si="78"/>
        <v>0</v>
      </c>
      <c r="I167" s="344">
        <f>+G167+H167</f>
        <v>0</v>
      </c>
      <c r="J167" s="344">
        <f t="shared" si="79"/>
        <v>45950000</v>
      </c>
      <c r="K167" s="344">
        <f t="shared" si="79"/>
        <v>37800000</v>
      </c>
      <c r="L167" s="344">
        <f>+J167+K167</f>
        <v>83750000</v>
      </c>
      <c r="M167" s="344">
        <f t="shared" si="80"/>
        <v>83750000</v>
      </c>
      <c r="N167" s="337">
        <f>+F167-M167</f>
        <v>456460000</v>
      </c>
      <c r="P167" s="340"/>
      <c r="S167" s="347"/>
      <c r="T167" s="347"/>
      <c r="U167" s="382"/>
    </row>
    <row r="168" spans="1:21" s="339" customFormat="1" ht="18" customHeight="1" x14ac:dyDescent="0.25">
      <c r="A168" s="334"/>
      <c r="B168" s="335"/>
      <c r="C168" s="334"/>
      <c r="D168" s="365" t="s">
        <v>263</v>
      </c>
      <c r="E168" s="335" t="s">
        <v>264</v>
      </c>
      <c r="F168" s="337">
        <f t="shared" si="78"/>
        <v>540210000</v>
      </c>
      <c r="G168" s="344">
        <f>+G169</f>
        <v>0</v>
      </c>
      <c r="H168" s="344">
        <f>+H169</f>
        <v>0</v>
      </c>
      <c r="I168" s="344">
        <f>+G168+H168</f>
        <v>0</v>
      </c>
      <c r="J168" s="344">
        <f t="shared" si="79"/>
        <v>45950000</v>
      </c>
      <c r="K168" s="344">
        <f t="shared" si="79"/>
        <v>37800000</v>
      </c>
      <c r="L168" s="344">
        <f>+J168+K168</f>
        <v>83750000</v>
      </c>
      <c r="M168" s="344">
        <f t="shared" si="80"/>
        <v>83750000</v>
      </c>
      <c r="N168" s="337">
        <f>+F168-M168</f>
        <v>456460000</v>
      </c>
      <c r="P168" s="340"/>
      <c r="S168" s="347"/>
      <c r="T168" s="347"/>
      <c r="U168" s="342"/>
    </row>
    <row r="169" spans="1:21" s="381" customFormat="1" ht="18" customHeight="1" x14ac:dyDescent="0.25">
      <c r="A169" s="380"/>
      <c r="B169" s="352"/>
      <c r="C169" s="334"/>
      <c r="D169" s="335" t="s">
        <v>64</v>
      </c>
      <c r="E169" s="335" t="s">
        <v>65</v>
      </c>
      <c r="F169" s="337">
        <f>SUM(F170:F172)</f>
        <v>540210000</v>
      </c>
      <c r="G169" s="344">
        <f>SUM(G170:G172)</f>
        <v>0</v>
      </c>
      <c r="H169" s="344">
        <f>SUM(H170:H172)</f>
        <v>0</v>
      </c>
      <c r="I169" s="344">
        <f>+G169+H169</f>
        <v>0</v>
      </c>
      <c r="J169" s="344">
        <f>SUM(J170:J172)</f>
        <v>45950000</v>
      </c>
      <c r="K169" s="344">
        <f>SUM(K170:K172)</f>
        <v>37800000</v>
      </c>
      <c r="L169" s="344">
        <f>+J169+K169</f>
        <v>83750000</v>
      </c>
      <c r="M169" s="344">
        <f t="shared" si="80"/>
        <v>83750000</v>
      </c>
      <c r="N169" s="337">
        <f>+F169-M169</f>
        <v>456460000</v>
      </c>
      <c r="P169" s="340"/>
      <c r="S169" s="347"/>
      <c r="T169" s="347"/>
      <c r="U169" s="382"/>
    </row>
    <row r="170" spans="1:21" s="381" customFormat="1" ht="18" customHeight="1" x14ac:dyDescent="0.25">
      <c r="A170" s="380"/>
      <c r="B170" s="352"/>
      <c r="C170" s="334"/>
      <c r="D170" s="335" t="s">
        <v>388</v>
      </c>
      <c r="E170" s="335" t="s">
        <v>389</v>
      </c>
      <c r="F170" s="337">
        <v>57760000</v>
      </c>
      <c r="G170" s="344"/>
      <c r="H170" s="344"/>
      <c r="I170" s="344">
        <f t="shared" ref="I170" si="81">+G170+H170</f>
        <v>0</v>
      </c>
      <c r="J170" s="344">
        <v>4000000</v>
      </c>
      <c r="K170" s="344">
        <v>4000000</v>
      </c>
      <c r="L170" s="344">
        <f t="shared" ref="L170:L172" si="82">+J170+K170</f>
        <v>8000000</v>
      </c>
      <c r="M170" s="344">
        <f>+I170+L170</f>
        <v>8000000</v>
      </c>
      <c r="N170" s="337">
        <f t="shared" ref="N170:N172" si="83">+F170-M170</f>
        <v>49760000</v>
      </c>
      <c r="P170" s="340"/>
      <c r="S170" s="346">
        <v>4000000</v>
      </c>
      <c r="T170" s="347"/>
      <c r="U170" s="382"/>
    </row>
    <row r="171" spans="1:21" s="381" customFormat="1" ht="18" customHeight="1" x14ac:dyDescent="0.25">
      <c r="A171" s="380"/>
      <c r="B171" s="352"/>
      <c r="C171" s="334"/>
      <c r="D171" s="335" t="s">
        <v>70</v>
      </c>
      <c r="E171" s="335" t="s">
        <v>33</v>
      </c>
      <c r="F171" s="337">
        <v>382450000</v>
      </c>
      <c r="G171" s="344"/>
      <c r="H171" s="344"/>
      <c r="I171" s="344">
        <f>+G171+H171</f>
        <v>0</v>
      </c>
      <c r="J171" s="344">
        <v>41950000</v>
      </c>
      <c r="K171" s="344">
        <f>15900000+2000000+15900000</f>
        <v>33800000</v>
      </c>
      <c r="L171" s="344">
        <f t="shared" si="82"/>
        <v>75750000</v>
      </c>
      <c r="M171" s="344">
        <f t="shared" ref="M171:M172" si="84">+I171+L171</f>
        <v>75750000</v>
      </c>
      <c r="N171" s="337">
        <f t="shared" si="83"/>
        <v>306700000</v>
      </c>
      <c r="P171" s="340"/>
      <c r="S171" s="346">
        <f>2000000+15900000+15900000</f>
        <v>33800000</v>
      </c>
      <c r="T171" s="347"/>
      <c r="U171" s="382"/>
    </row>
    <row r="172" spans="1:21" s="388" customFormat="1" ht="18" customHeight="1" x14ac:dyDescent="0.25">
      <c r="A172" s="386"/>
      <c r="B172" s="387"/>
      <c r="C172" s="353"/>
      <c r="D172" s="355" t="s">
        <v>104</v>
      </c>
      <c r="E172" s="355" t="s">
        <v>390</v>
      </c>
      <c r="F172" s="356">
        <v>100000000</v>
      </c>
      <c r="G172" s="357"/>
      <c r="H172" s="357"/>
      <c r="I172" s="357"/>
      <c r="J172" s="357">
        <v>0</v>
      </c>
      <c r="K172" s="357"/>
      <c r="L172" s="357">
        <f t="shared" si="82"/>
        <v>0</v>
      </c>
      <c r="M172" s="357">
        <f t="shared" si="84"/>
        <v>0</v>
      </c>
      <c r="N172" s="356">
        <f t="shared" si="83"/>
        <v>100000000</v>
      </c>
      <c r="P172" s="200"/>
      <c r="S172" s="221"/>
      <c r="T172" s="221"/>
      <c r="U172" s="389"/>
    </row>
    <row r="173" spans="1:21" s="319" customFormat="1" ht="18" customHeight="1" x14ac:dyDescent="0.25">
      <c r="A173" s="276">
        <v>8</v>
      </c>
      <c r="B173" s="305"/>
      <c r="C173" s="390" t="s">
        <v>105</v>
      </c>
      <c r="D173" s="363"/>
      <c r="E173" s="364" t="s">
        <v>106</v>
      </c>
      <c r="F173" s="307">
        <f t="shared" ref="F173:H180" si="85">+F174</f>
        <v>1600450000</v>
      </c>
      <c r="G173" s="308">
        <f t="shared" si="85"/>
        <v>142125000</v>
      </c>
      <c r="H173" s="308">
        <f>+H174</f>
        <v>154050000</v>
      </c>
      <c r="I173" s="308">
        <f>+G173+H173</f>
        <v>296175000</v>
      </c>
      <c r="J173" s="308">
        <f t="shared" ref="J173:K180" si="86">+J174</f>
        <v>56100600</v>
      </c>
      <c r="K173" s="308">
        <f t="shared" si="86"/>
        <v>8509000</v>
      </c>
      <c r="L173" s="308">
        <f>+J173+K173</f>
        <v>64609600</v>
      </c>
      <c r="M173" s="308">
        <f>+I173+L173</f>
        <v>360784600</v>
      </c>
      <c r="N173" s="307">
        <f>+F173-M173</f>
        <v>1239665400</v>
      </c>
      <c r="P173" s="320"/>
      <c r="R173" s="321"/>
      <c r="S173" s="349"/>
      <c r="T173" s="349"/>
      <c r="U173" s="350"/>
    </row>
    <row r="174" spans="1:21" s="329" customFormat="1" ht="18" customHeight="1" x14ac:dyDescent="0.25">
      <c r="A174" s="323"/>
      <c r="B174" s="324"/>
      <c r="C174" s="379"/>
      <c r="D174" s="325" t="s">
        <v>207</v>
      </c>
      <c r="E174" s="326" t="s">
        <v>262</v>
      </c>
      <c r="F174" s="327">
        <f>+F175</f>
        <v>1600450000</v>
      </c>
      <c r="G174" s="328">
        <f t="shared" si="85"/>
        <v>142125000</v>
      </c>
      <c r="H174" s="328">
        <f t="shared" si="85"/>
        <v>154050000</v>
      </c>
      <c r="I174" s="328">
        <f>+G174+H174</f>
        <v>296175000</v>
      </c>
      <c r="J174" s="328">
        <f t="shared" si="86"/>
        <v>56100600</v>
      </c>
      <c r="K174" s="328">
        <f t="shared" si="86"/>
        <v>8509000</v>
      </c>
      <c r="L174" s="328">
        <f>+J174+K174</f>
        <v>64609600</v>
      </c>
      <c r="M174" s="328">
        <f t="shared" ref="M174:M182" si="87">+I174+L174</f>
        <v>360784600</v>
      </c>
      <c r="N174" s="327">
        <f>+F174-M174</f>
        <v>1239665400</v>
      </c>
      <c r="P174" s="330"/>
      <c r="R174" s="331"/>
      <c r="S174" s="351"/>
      <c r="T174" s="351"/>
      <c r="U174" s="333"/>
    </row>
    <row r="175" spans="1:21" s="381" customFormat="1" ht="18" customHeight="1" x14ac:dyDescent="0.25">
      <c r="A175" s="380"/>
      <c r="B175" s="352"/>
      <c r="C175" s="334"/>
      <c r="D175" s="335" t="s">
        <v>63</v>
      </c>
      <c r="E175" s="335" t="s">
        <v>30</v>
      </c>
      <c r="F175" s="337">
        <f>+F180+F176</f>
        <v>1600450000</v>
      </c>
      <c r="G175" s="344">
        <f>+G180</f>
        <v>142125000</v>
      </c>
      <c r="H175" s="344">
        <f>+H180+H176</f>
        <v>154050000</v>
      </c>
      <c r="I175" s="344">
        <f>+G175+H175</f>
        <v>296175000</v>
      </c>
      <c r="J175" s="344">
        <f>+J180+J176</f>
        <v>56100600</v>
      </c>
      <c r="K175" s="344">
        <f>+K180+K176</f>
        <v>8509000</v>
      </c>
      <c r="L175" s="344">
        <f>+J175+K175</f>
        <v>64609600</v>
      </c>
      <c r="M175" s="344">
        <f t="shared" si="87"/>
        <v>360784600</v>
      </c>
      <c r="N175" s="337">
        <f>+F175-M175</f>
        <v>1239665400</v>
      </c>
      <c r="P175" s="340"/>
      <c r="S175" s="347"/>
      <c r="T175" s="347"/>
      <c r="U175" s="382"/>
    </row>
    <row r="176" spans="1:21" s="339" customFormat="1" ht="18" customHeight="1" x14ac:dyDescent="0.25">
      <c r="A176" s="334"/>
      <c r="B176" s="335"/>
      <c r="C176" s="334"/>
      <c r="D176" s="365" t="s">
        <v>263</v>
      </c>
      <c r="E176" s="335" t="s">
        <v>264</v>
      </c>
      <c r="F176" s="337">
        <f>+F177</f>
        <v>32500000</v>
      </c>
      <c r="G176" s="344">
        <f>+G177</f>
        <v>0</v>
      </c>
      <c r="H176" s="344">
        <f>+H177</f>
        <v>0</v>
      </c>
      <c r="I176" s="344">
        <f>+G176+H176</f>
        <v>0</v>
      </c>
      <c r="J176" s="344">
        <f t="shared" si="86"/>
        <v>0</v>
      </c>
      <c r="K176" s="344">
        <f t="shared" si="86"/>
        <v>0</v>
      </c>
      <c r="L176" s="344">
        <f>+J176+K176</f>
        <v>0</v>
      </c>
      <c r="M176" s="344">
        <f t="shared" si="87"/>
        <v>0</v>
      </c>
      <c r="N176" s="337">
        <f>+F176-M176</f>
        <v>32500000</v>
      </c>
      <c r="P176" s="340"/>
      <c r="S176" s="347"/>
      <c r="T176" s="347"/>
      <c r="U176" s="342"/>
    </row>
    <row r="177" spans="1:21" s="381" customFormat="1" ht="18" customHeight="1" x14ac:dyDescent="0.25">
      <c r="A177" s="380"/>
      <c r="B177" s="352"/>
      <c r="C177" s="334"/>
      <c r="D177" s="335" t="s">
        <v>64</v>
      </c>
      <c r="E177" s="335" t="s">
        <v>65</v>
      </c>
      <c r="F177" s="337">
        <f>+F179+F178</f>
        <v>32500000</v>
      </c>
      <c r="G177" s="344">
        <f>+G179</f>
        <v>0</v>
      </c>
      <c r="H177" s="344">
        <f>SUM(H179)</f>
        <v>0</v>
      </c>
      <c r="I177" s="344">
        <f>+G177+H177</f>
        <v>0</v>
      </c>
      <c r="J177" s="344">
        <f>+J179</f>
        <v>0</v>
      </c>
      <c r="K177" s="344">
        <f>+K179</f>
        <v>0</v>
      </c>
      <c r="L177" s="344">
        <f>+J177+K177</f>
        <v>0</v>
      </c>
      <c r="M177" s="344">
        <f t="shared" si="87"/>
        <v>0</v>
      </c>
      <c r="N177" s="337">
        <f>+F177-M177</f>
        <v>32500000</v>
      </c>
      <c r="P177" s="340"/>
      <c r="S177" s="347"/>
      <c r="T177" s="347"/>
      <c r="U177" s="382"/>
    </row>
    <row r="178" spans="1:21" s="381" customFormat="1" ht="18" customHeight="1" x14ac:dyDescent="0.25">
      <c r="A178" s="380"/>
      <c r="B178" s="352"/>
      <c r="C178" s="334"/>
      <c r="D178" s="335" t="s">
        <v>443</v>
      </c>
      <c r="E178" s="335" t="s">
        <v>444</v>
      </c>
      <c r="F178" s="337">
        <v>17500000</v>
      </c>
      <c r="G178" s="344"/>
      <c r="H178" s="344"/>
      <c r="I178" s="344">
        <f t="shared" ref="I178:I179" si="88">+G178+H178</f>
        <v>0</v>
      </c>
      <c r="J178" s="344"/>
      <c r="K178" s="344"/>
      <c r="L178" s="344">
        <f t="shared" ref="L178:L179" si="89">+J178+K178</f>
        <v>0</v>
      </c>
      <c r="M178" s="344">
        <f t="shared" si="87"/>
        <v>0</v>
      </c>
      <c r="N178" s="337">
        <f t="shared" ref="N178:N179" si="90">+F178-M178</f>
        <v>17500000</v>
      </c>
      <c r="P178" s="340"/>
      <c r="S178" s="347"/>
      <c r="T178" s="347"/>
      <c r="U178" s="382"/>
    </row>
    <row r="179" spans="1:21" s="381" customFormat="1" ht="18" customHeight="1" x14ac:dyDescent="0.25">
      <c r="A179" s="380"/>
      <c r="B179" s="352"/>
      <c r="C179" s="334"/>
      <c r="D179" s="335" t="s">
        <v>447</v>
      </c>
      <c r="E179" s="335" t="s">
        <v>448</v>
      </c>
      <c r="F179" s="337">
        <v>15000000</v>
      </c>
      <c r="G179" s="344"/>
      <c r="H179" s="344"/>
      <c r="I179" s="344">
        <f t="shared" si="88"/>
        <v>0</v>
      </c>
      <c r="J179" s="344"/>
      <c r="K179" s="344"/>
      <c r="L179" s="344">
        <f t="shared" si="89"/>
        <v>0</v>
      </c>
      <c r="M179" s="344">
        <f t="shared" si="87"/>
        <v>0</v>
      </c>
      <c r="N179" s="337">
        <f t="shared" si="90"/>
        <v>15000000</v>
      </c>
      <c r="P179" s="340"/>
      <c r="S179" s="347"/>
      <c r="T179" s="347"/>
      <c r="U179" s="382"/>
    </row>
    <row r="180" spans="1:21" s="339" customFormat="1" ht="18" customHeight="1" x14ac:dyDescent="0.25">
      <c r="A180" s="334"/>
      <c r="B180" s="335"/>
      <c r="C180" s="334"/>
      <c r="D180" s="365" t="s">
        <v>265</v>
      </c>
      <c r="E180" s="335" t="s">
        <v>266</v>
      </c>
      <c r="F180" s="337">
        <f t="shared" si="85"/>
        <v>1567950000</v>
      </c>
      <c r="G180" s="344">
        <f>+G181</f>
        <v>142125000</v>
      </c>
      <c r="H180" s="344">
        <f>+H181</f>
        <v>154050000</v>
      </c>
      <c r="I180" s="344">
        <f>+G180+H180</f>
        <v>296175000</v>
      </c>
      <c r="J180" s="344">
        <f t="shared" si="86"/>
        <v>56100600</v>
      </c>
      <c r="K180" s="344">
        <f t="shared" si="86"/>
        <v>8509000</v>
      </c>
      <c r="L180" s="344">
        <f>+J180+K180</f>
        <v>64609600</v>
      </c>
      <c r="M180" s="344">
        <f t="shared" si="87"/>
        <v>360784600</v>
      </c>
      <c r="N180" s="337">
        <f>+F180-M180</f>
        <v>1207165400</v>
      </c>
      <c r="P180" s="340"/>
      <c r="S180" s="347"/>
      <c r="T180" s="347"/>
      <c r="U180" s="342"/>
    </row>
    <row r="181" spans="1:21" s="381" customFormat="1" ht="18" customHeight="1" x14ac:dyDescent="0.25">
      <c r="A181" s="380"/>
      <c r="B181" s="352"/>
      <c r="C181" s="334"/>
      <c r="D181" s="335" t="s">
        <v>71</v>
      </c>
      <c r="E181" s="335" t="s">
        <v>72</v>
      </c>
      <c r="F181" s="337">
        <f>SUM(F182:F183)</f>
        <v>1567950000</v>
      </c>
      <c r="G181" s="344">
        <f>SUM(G182:G183)</f>
        <v>142125000</v>
      </c>
      <c r="H181" s="344">
        <f>SUM(H182:H183)</f>
        <v>154050000</v>
      </c>
      <c r="I181" s="344">
        <f>+G181+H181</f>
        <v>296175000</v>
      </c>
      <c r="J181" s="344">
        <f>SUM(J182:J183)</f>
        <v>56100600</v>
      </c>
      <c r="K181" s="344">
        <f>SUM(K182:K183)</f>
        <v>8509000</v>
      </c>
      <c r="L181" s="344">
        <f>+J181+K181</f>
        <v>64609600</v>
      </c>
      <c r="M181" s="344">
        <f t="shared" si="87"/>
        <v>360784600</v>
      </c>
      <c r="N181" s="337">
        <f>+F181-M181</f>
        <v>1207165400</v>
      </c>
      <c r="P181" s="340"/>
      <c r="S181" s="347"/>
      <c r="T181" s="347"/>
      <c r="U181" s="382"/>
    </row>
    <row r="182" spans="1:21" s="381" customFormat="1" ht="18" customHeight="1" x14ac:dyDescent="0.25">
      <c r="A182" s="380"/>
      <c r="B182" s="352"/>
      <c r="C182" s="334"/>
      <c r="D182" s="335" t="s">
        <v>73</v>
      </c>
      <c r="E182" s="335" t="s">
        <v>74</v>
      </c>
      <c r="F182" s="337">
        <v>1501270000</v>
      </c>
      <c r="G182" s="344">
        <v>142125000</v>
      </c>
      <c r="H182" s="344">
        <v>154050000</v>
      </c>
      <c r="I182" s="344">
        <f t="shared" ref="I182" si="91">+G182+H182</f>
        <v>296175000</v>
      </c>
      <c r="J182" s="344">
        <v>48915000</v>
      </c>
      <c r="K182" s="344">
        <v>6894700</v>
      </c>
      <c r="L182" s="344">
        <f t="shared" ref="L182:L193" si="92">+J182+K182</f>
        <v>55809700</v>
      </c>
      <c r="M182" s="344">
        <f t="shared" si="87"/>
        <v>351984700</v>
      </c>
      <c r="N182" s="337">
        <f t="shared" ref="N182:N183" si="93">+F182-M182</f>
        <v>1149285300</v>
      </c>
      <c r="P182" s="340"/>
      <c r="S182" s="346">
        <f>1113500+908000+1263000+671100+763100+1240000+936000</f>
        <v>6894700</v>
      </c>
      <c r="T182" s="346">
        <v>154050000</v>
      </c>
      <c r="U182" s="382"/>
    </row>
    <row r="183" spans="1:21" s="388" customFormat="1" ht="18" customHeight="1" x14ac:dyDescent="0.25">
      <c r="A183" s="386"/>
      <c r="B183" s="387"/>
      <c r="C183" s="353"/>
      <c r="D183" s="355" t="s">
        <v>88</v>
      </c>
      <c r="E183" s="355" t="s">
        <v>89</v>
      </c>
      <c r="F183" s="356">
        <v>66680000</v>
      </c>
      <c r="G183" s="357"/>
      <c r="H183" s="357"/>
      <c r="I183" s="357"/>
      <c r="J183" s="357">
        <v>7185600</v>
      </c>
      <c r="K183" s="357">
        <f>665600+665600+283100</f>
        <v>1614300</v>
      </c>
      <c r="L183" s="357">
        <f t="shared" si="92"/>
        <v>8799900</v>
      </c>
      <c r="M183" s="357">
        <f>+I183+L183</f>
        <v>8799900</v>
      </c>
      <c r="N183" s="356">
        <f t="shared" si="93"/>
        <v>57880100</v>
      </c>
      <c r="P183" s="200"/>
      <c r="S183" s="358">
        <f>665600+665600+283100</f>
        <v>1614300</v>
      </c>
      <c r="T183" s="221"/>
      <c r="U183" s="389"/>
    </row>
    <row r="184" spans="1:21" s="319" customFormat="1" ht="18" customHeight="1" x14ac:dyDescent="0.25">
      <c r="A184" s="276">
        <v>9</v>
      </c>
      <c r="B184" s="305"/>
      <c r="C184" s="390" t="s">
        <v>109</v>
      </c>
      <c r="D184" s="363"/>
      <c r="E184" s="364" t="s">
        <v>110</v>
      </c>
      <c r="F184" s="307">
        <f>+F185+F201</f>
        <v>200844000</v>
      </c>
      <c r="G184" s="308">
        <f>+G185+G201</f>
        <v>0</v>
      </c>
      <c r="H184" s="308">
        <f>+H185+H201</f>
        <v>0</v>
      </c>
      <c r="I184" s="308">
        <f>+G184+H184</f>
        <v>0</v>
      </c>
      <c r="J184" s="308">
        <f>+J185+J201</f>
        <v>12480000</v>
      </c>
      <c r="K184" s="308">
        <f>+K185+K201</f>
        <v>6400000</v>
      </c>
      <c r="L184" s="308">
        <f t="shared" si="92"/>
        <v>18880000</v>
      </c>
      <c r="M184" s="308">
        <f>+I184+L184</f>
        <v>18880000</v>
      </c>
      <c r="N184" s="307">
        <f>+F184-M184</f>
        <v>181964000</v>
      </c>
      <c r="P184" s="320"/>
      <c r="R184" s="321"/>
      <c r="S184" s="349"/>
      <c r="T184" s="349"/>
      <c r="U184" s="350"/>
    </row>
    <row r="185" spans="1:21" s="329" customFormat="1" ht="18" customHeight="1" x14ac:dyDescent="0.25">
      <c r="A185" s="323"/>
      <c r="B185" s="324"/>
      <c r="C185" s="379"/>
      <c r="D185" s="325" t="s">
        <v>207</v>
      </c>
      <c r="E185" s="326" t="s">
        <v>262</v>
      </c>
      <c r="F185" s="327">
        <f>+F186</f>
        <v>174844000</v>
      </c>
      <c r="G185" s="328">
        <f>+G186</f>
        <v>0</v>
      </c>
      <c r="H185" s="328">
        <f>+H186</f>
        <v>0</v>
      </c>
      <c r="I185" s="328">
        <f>+G185+H185</f>
        <v>0</v>
      </c>
      <c r="J185" s="328">
        <f>+J186</f>
        <v>12480000</v>
      </c>
      <c r="K185" s="328">
        <f>+K186</f>
        <v>6400000</v>
      </c>
      <c r="L185" s="328">
        <f t="shared" si="92"/>
        <v>18880000</v>
      </c>
      <c r="M185" s="328">
        <f>+I185+L185</f>
        <v>18880000</v>
      </c>
      <c r="N185" s="327">
        <f>+F185-M185</f>
        <v>155964000</v>
      </c>
      <c r="P185" s="330"/>
      <c r="R185" s="331"/>
      <c r="S185" s="351"/>
      <c r="T185" s="351"/>
      <c r="U185" s="333"/>
    </row>
    <row r="186" spans="1:21" s="381" customFormat="1" ht="18" customHeight="1" x14ac:dyDescent="0.25">
      <c r="A186" s="380"/>
      <c r="B186" s="352"/>
      <c r="C186" s="334"/>
      <c r="D186" s="335" t="s">
        <v>63</v>
      </c>
      <c r="E186" s="335" t="s">
        <v>30</v>
      </c>
      <c r="F186" s="337">
        <f>+F187+F194+F198</f>
        <v>174844000</v>
      </c>
      <c r="G186" s="344">
        <f>+G187+G194</f>
        <v>0</v>
      </c>
      <c r="H186" s="344">
        <f>+H187+H194</f>
        <v>0</v>
      </c>
      <c r="I186" s="344">
        <f>+G186+H186</f>
        <v>0</v>
      </c>
      <c r="J186" s="344">
        <f>+J187+J194</f>
        <v>12480000</v>
      </c>
      <c r="K186" s="344">
        <f>+K187+K194</f>
        <v>6400000</v>
      </c>
      <c r="L186" s="344">
        <f t="shared" si="92"/>
        <v>18880000</v>
      </c>
      <c r="M186" s="344">
        <f t="shared" ref="M186:M196" si="94">+I186+L186</f>
        <v>18880000</v>
      </c>
      <c r="N186" s="337">
        <f>+F186-M186</f>
        <v>155964000</v>
      </c>
      <c r="P186" s="340"/>
      <c r="S186" s="347"/>
      <c r="T186" s="347"/>
      <c r="U186" s="382"/>
    </row>
    <row r="187" spans="1:21" s="339" customFormat="1" ht="18" customHeight="1" x14ac:dyDescent="0.25">
      <c r="A187" s="334"/>
      <c r="B187" s="335"/>
      <c r="C187" s="334"/>
      <c r="D187" s="365" t="s">
        <v>263</v>
      </c>
      <c r="E187" s="335" t="s">
        <v>264</v>
      </c>
      <c r="F187" s="337">
        <f t="shared" ref="F187" si="95">+F188</f>
        <v>44044000</v>
      </c>
      <c r="G187" s="344">
        <f>+G188</f>
        <v>0</v>
      </c>
      <c r="H187" s="344">
        <f>+H188</f>
        <v>0</v>
      </c>
      <c r="I187" s="344">
        <f>+G187+H187</f>
        <v>0</v>
      </c>
      <c r="J187" s="344">
        <f>+J188</f>
        <v>0</v>
      </c>
      <c r="K187" s="344">
        <f>+K188</f>
        <v>0</v>
      </c>
      <c r="L187" s="344">
        <f t="shared" si="92"/>
        <v>0</v>
      </c>
      <c r="M187" s="344">
        <f t="shared" si="94"/>
        <v>0</v>
      </c>
      <c r="N187" s="337">
        <f>+F187-M187</f>
        <v>44044000</v>
      </c>
      <c r="P187" s="340"/>
      <c r="S187" s="347"/>
      <c r="T187" s="347"/>
      <c r="U187" s="342"/>
    </row>
    <row r="188" spans="1:21" s="381" customFormat="1" ht="18" customHeight="1" x14ac:dyDescent="0.25">
      <c r="A188" s="380"/>
      <c r="B188" s="352"/>
      <c r="C188" s="334"/>
      <c r="D188" s="335" t="s">
        <v>64</v>
      </c>
      <c r="E188" s="335" t="s">
        <v>65</v>
      </c>
      <c r="F188" s="337">
        <f>SUM(F189:F193)</f>
        <v>44044000</v>
      </c>
      <c r="G188" s="344">
        <f>SUM(G189:G193)</f>
        <v>0</v>
      </c>
      <c r="H188" s="344">
        <f>SUM(H189:H193)</f>
        <v>0</v>
      </c>
      <c r="I188" s="344">
        <f>+G188+H188</f>
        <v>0</v>
      </c>
      <c r="J188" s="344">
        <f>SUM(J189:J193)</f>
        <v>0</v>
      </c>
      <c r="K188" s="344">
        <f>SUM(K189:K193)</f>
        <v>0</v>
      </c>
      <c r="L188" s="344">
        <f t="shared" si="92"/>
        <v>0</v>
      </c>
      <c r="M188" s="344">
        <f t="shared" si="94"/>
        <v>0</v>
      </c>
      <c r="N188" s="337">
        <f>+F188-M188</f>
        <v>44044000</v>
      </c>
      <c r="P188" s="340"/>
      <c r="S188" s="347"/>
      <c r="T188" s="347"/>
      <c r="U188" s="382"/>
    </row>
    <row r="189" spans="1:21" s="381" customFormat="1" ht="18" customHeight="1" x14ac:dyDescent="0.25">
      <c r="A189" s="380"/>
      <c r="B189" s="352"/>
      <c r="C189" s="334"/>
      <c r="D189" s="335" t="s">
        <v>66</v>
      </c>
      <c r="E189" s="335" t="s">
        <v>67</v>
      </c>
      <c r="F189" s="337">
        <v>24037500</v>
      </c>
      <c r="G189" s="344"/>
      <c r="H189" s="344"/>
      <c r="I189" s="344">
        <f t="shared" ref="I189" si="96">+G189+H189</f>
        <v>0</v>
      </c>
      <c r="J189" s="344"/>
      <c r="K189" s="344"/>
      <c r="L189" s="344">
        <f t="shared" si="92"/>
        <v>0</v>
      </c>
      <c r="M189" s="357">
        <f t="shared" si="94"/>
        <v>0</v>
      </c>
      <c r="N189" s="337">
        <f t="shared" ref="N189:N193" si="97">+F189-M189</f>
        <v>24037500</v>
      </c>
      <c r="P189" s="340"/>
      <c r="S189" s="347"/>
      <c r="T189" s="347"/>
      <c r="U189" s="382"/>
    </row>
    <row r="190" spans="1:21" s="381" customFormat="1" ht="18" customHeight="1" x14ac:dyDescent="0.25">
      <c r="A190" s="380"/>
      <c r="B190" s="352"/>
      <c r="C190" s="334"/>
      <c r="D190" s="335" t="s">
        <v>337</v>
      </c>
      <c r="E190" s="335" t="s">
        <v>338</v>
      </c>
      <c r="F190" s="337">
        <v>12104000</v>
      </c>
      <c r="G190" s="344"/>
      <c r="H190" s="344"/>
      <c r="I190" s="344"/>
      <c r="J190" s="344"/>
      <c r="K190" s="344"/>
      <c r="L190" s="344">
        <f t="shared" si="92"/>
        <v>0</v>
      </c>
      <c r="M190" s="357">
        <f t="shared" si="94"/>
        <v>0</v>
      </c>
      <c r="N190" s="337">
        <f t="shared" si="97"/>
        <v>12104000</v>
      </c>
      <c r="P190" s="340"/>
      <c r="S190" s="347"/>
      <c r="T190" s="347"/>
      <c r="U190" s="382"/>
    </row>
    <row r="191" spans="1:21" s="381" customFormat="1" ht="18" customHeight="1" x14ac:dyDescent="0.25">
      <c r="A191" s="380"/>
      <c r="B191" s="352"/>
      <c r="C191" s="334"/>
      <c r="D191" s="335" t="s">
        <v>367</v>
      </c>
      <c r="E191" s="335" t="s">
        <v>368</v>
      </c>
      <c r="F191" s="337">
        <v>3142500</v>
      </c>
      <c r="G191" s="344"/>
      <c r="H191" s="344"/>
      <c r="I191" s="344"/>
      <c r="J191" s="344"/>
      <c r="K191" s="344"/>
      <c r="L191" s="344">
        <f t="shared" si="92"/>
        <v>0</v>
      </c>
      <c r="M191" s="357">
        <f t="shared" si="94"/>
        <v>0</v>
      </c>
      <c r="N191" s="337">
        <f t="shared" si="97"/>
        <v>3142500</v>
      </c>
      <c r="P191" s="340"/>
      <c r="S191" s="347"/>
      <c r="T191" s="347"/>
      <c r="U191" s="382"/>
    </row>
    <row r="192" spans="1:21" s="381" customFormat="1" ht="18" customHeight="1" x14ac:dyDescent="0.25">
      <c r="A192" s="380"/>
      <c r="B192" s="352"/>
      <c r="C192" s="334"/>
      <c r="D192" s="335" t="s">
        <v>373</v>
      </c>
      <c r="E192" s="335" t="s">
        <v>392</v>
      </c>
      <c r="F192" s="337">
        <v>560000</v>
      </c>
      <c r="G192" s="344"/>
      <c r="H192" s="344"/>
      <c r="I192" s="344"/>
      <c r="J192" s="344"/>
      <c r="K192" s="344"/>
      <c r="L192" s="344">
        <f t="shared" si="92"/>
        <v>0</v>
      </c>
      <c r="M192" s="357">
        <f t="shared" si="94"/>
        <v>0</v>
      </c>
      <c r="N192" s="337">
        <f t="shared" si="97"/>
        <v>560000</v>
      </c>
      <c r="P192" s="340"/>
      <c r="S192" s="347"/>
      <c r="T192" s="347"/>
      <c r="U192" s="382"/>
    </row>
    <row r="193" spans="1:21" s="381" customFormat="1" ht="18" customHeight="1" x14ac:dyDescent="0.25">
      <c r="A193" s="380"/>
      <c r="B193" s="352"/>
      <c r="C193" s="334"/>
      <c r="D193" s="335" t="s">
        <v>70</v>
      </c>
      <c r="E193" s="335" t="s">
        <v>33</v>
      </c>
      <c r="F193" s="337">
        <v>4200000</v>
      </c>
      <c r="G193" s="344"/>
      <c r="H193" s="344"/>
      <c r="I193" s="344"/>
      <c r="J193" s="344"/>
      <c r="K193" s="344"/>
      <c r="L193" s="344">
        <f t="shared" si="92"/>
        <v>0</v>
      </c>
      <c r="M193" s="357">
        <f t="shared" si="94"/>
        <v>0</v>
      </c>
      <c r="N193" s="337">
        <f t="shared" si="97"/>
        <v>4200000</v>
      </c>
      <c r="P193" s="340"/>
      <c r="S193" s="347"/>
      <c r="T193" s="347"/>
      <c r="U193" s="382"/>
    </row>
    <row r="194" spans="1:21" s="339" customFormat="1" ht="18" customHeight="1" x14ac:dyDescent="0.25">
      <c r="A194" s="334"/>
      <c r="B194" s="335"/>
      <c r="C194" s="334"/>
      <c r="D194" s="365" t="s">
        <v>271</v>
      </c>
      <c r="E194" s="335" t="s">
        <v>272</v>
      </c>
      <c r="F194" s="337">
        <f t="shared" ref="F194" si="98">+F195</f>
        <v>78300000</v>
      </c>
      <c r="G194" s="344">
        <f>+G195</f>
        <v>0</v>
      </c>
      <c r="H194" s="344">
        <f>+H195</f>
        <v>0</v>
      </c>
      <c r="I194" s="344">
        <f>+G194+H194</f>
        <v>0</v>
      </c>
      <c r="J194" s="344">
        <f>+J195</f>
        <v>12480000</v>
      </c>
      <c r="K194" s="344">
        <f>+K195</f>
        <v>6400000</v>
      </c>
      <c r="L194" s="344">
        <f>+J194+K194</f>
        <v>18880000</v>
      </c>
      <c r="M194" s="344">
        <f t="shared" si="94"/>
        <v>18880000</v>
      </c>
      <c r="N194" s="337">
        <f>+F194-M194</f>
        <v>59420000</v>
      </c>
      <c r="P194" s="340"/>
      <c r="S194" s="347"/>
      <c r="T194" s="347"/>
      <c r="U194" s="342"/>
    </row>
    <row r="195" spans="1:21" s="381" customFormat="1" ht="18" customHeight="1" x14ac:dyDescent="0.25">
      <c r="A195" s="380"/>
      <c r="B195" s="352"/>
      <c r="C195" s="334"/>
      <c r="D195" s="335" t="s">
        <v>81</v>
      </c>
      <c r="E195" s="335" t="s">
        <v>31</v>
      </c>
      <c r="F195" s="337">
        <f>SUM(F196:F197)</f>
        <v>78300000</v>
      </c>
      <c r="G195" s="344">
        <f>SUM(G197:G197)</f>
        <v>0</v>
      </c>
      <c r="H195" s="344">
        <f>+H197</f>
        <v>0</v>
      </c>
      <c r="I195" s="344">
        <f>+G195+H195</f>
        <v>0</v>
      </c>
      <c r="J195" s="344">
        <f>SUM(J197:J197)</f>
        <v>12480000</v>
      </c>
      <c r="K195" s="344">
        <f>+K197</f>
        <v>6400000</v>
      </c>
      <c r="L195" s="344">
        <f>+J195+K195</f>
        <v>18880000</v>
      </c>
      <c r="M195" s="344">
        <f t="shared" si="94"/>
        <v>18880000</v>
      </c>
      <c r="N195" s="337">
        <f>+F195-M195</f>
        <v>59420000</v>
      </c>
      <c r="P195" s="340"/>
      <c r="S195" s="347"/>
      <c r="T195" s="347"/>
      <c r="U195" s="382"/>
    </row>
    <row r="196" spans="1:21" s="381" customFormat="1" ht="18" customHeight="1" x14ac:dyDescent="0.25">
      <c r="A196" s="380"/>
      <c r="B196" s="352"/>
      <c r="C196" s="334"/>
      <c r="D196" s="335" t="s">
        <v>451</v>
      </c>
      <c r="E196" s="335" t="s">
        <v>452</v>
      </c>
      <c r="F196" s="337">
        <v>1500000</v>
      </c>
      <c r="G196" s="344"/>
      <c r="H196" s="344"/>
      <c r="I196" s="344">
        <f t="shared" ref="I196" si="99">+G196+H196</f>
        <v>0</v>
      </c>
      <c r="J196" s="344"/>
      <c r="K196" s="344"/>
      <c r="L196" s="344">
        <f t="shared" ref="L196" si="100">+J196+K196</f>
        <v>0</v>
      </c>
      <c r="M196" s="344">
        <f t="shared" si="94"/>
        <v>0</v>
      </c>
      <c r="N196" s="337">
        <f t="shared" ref="N196:N197" si="101">+F196-M196</f>
        <v>1500000</v>
      </c>
      <c r="P196" s="340"/>
      <c r="S196" s="347"/>
      <c r="T196" s="347"/>
      <c r="U196" s="382"/>
    </row>
    <row r="197" spans="1:21" s="381" customFormat="1" ht="18" customHeight="1" x14ac:dyDescent="0.25">
      <c r="A197" s="380"/>
      <c r="B197" s="352"/>
      <c r="C197" s="334"/>
      <c r="D197" s="335" t="s">
        <v>82</v>
      </c>
      <c r="E197" s="335" t="s">
        <v>83</v>
      </c>
      <c r="F197" s="337">
        <v>76800000</v>
      </c>
      <c r="G197" s="344"/>
      <c r="H197" s="344"/>
      <c r="I197" s="344">
        <f>+G197+H197</f>
        <v>0</v>
      </c>
      <c r="J197" s="344">
        <v>12480000</v>
      </c>
      <c r="K197" s="344">
        <v>6400000</v>
      </c>
      <c r="L197" s="344">
        <f>+J197+K197</f>
        <v>18880000</v>
      </c>
      <c r="M197" s="344">
        <f>+I197+L197</f>
        <v>18880000</v>
      </c>
      <c r="N197" s="337">
        <f t="shared" si="101"/>
        <v>57920000</v>
      </c>
      <c r="P197" s="340"/>
      <c r="S197" s="346">
        <v>6400000</v>
      </c>
      <c r="T197" s="347"/>
      <c r="U197" s="382"/>
    </row>
    <row r="198" spans="1:21" s="339" customFormat="1" ht="18" customHeight="1" x14ac:dyDescent="0.25">
      <c r="A198" s="334"/>
      <c r="B198" s="335"/>
      <c r="C198" s="334"/>
      <c r="D198" s="365" t="s">
        <v>275</v>
      </c>
      <c r="E198" s="335" t="s">
        <v>276</v>
      </c>
      <c r="F198" s="337">
        <f>+F199</f>
        <v>52500000</v>
      </c>
      <c r="G198" s="344">
        <f>+G199</f>
        <v>0</v>
      </c>
      <c r="H198" s="344">
        <f>+H199</f>
        <v>0</v>
      </c>
      <c r="I198" s="344">
        <f>+G198+H198</f>
        <v>0</v>
      </c>
      <c r="J198" s="344">
        <f>+J199</f>
        <v>0</v>
      </c>
      <c r="K198" s="344">
        <f>+K199</f>
        <v>0</v>
      </c>
      <c r="L198" s="344">
        <f>+J198+K198</f>
        <v>0</v>
      </c>
      <c r="M198" s="344">
        <f t="shared" ref="M198:M205" si="102">+I198+L198</f>
        <v>0</v>
      </c>
      <c r="N198" s="337">
        <f>+F198-M198</f>
        <v>52500000</v>
      </c>
      <c r="P198" s="340"/>
      <c r="S198" s="347"/>
      <c r="T198" s="347"/>
      <c r="U198" s="342"/>
    </row>
    <row r="199" spans="1:21" s="381" customFormat="1" ht="18" customHeight="1" x14ac:dyDescent="0.25">
      <c r="A199" s="380"/>
      <c r="B199" s="352"/>
      <c r="C199" s="334"/>
      <c r="D199" s="335" t="s">
        <v>150</v>
      </c>
      <c r="E199" s="335" t="s">
        <v>32</v>
      </c>
      <c r="F199" s="337">
        <f>+F200</f>
        <v>52500000</v>
      </c>
      <c r="G199" s="344">
        <f>SUM(G201:G201)</f>
        <v>0</v>
      </c>
      <c r="H199" s="344">
        <f>+H201</f>
        <v>0</v>
      </c>
      <c r="I199" s="344">
        <f>+G199+H199</f>
        <v>0</v>
      </c>
      <c r="J199" s="344">
        <f>SUM(J201:J201)</f>
        <v>0</v>
      </c>
      <c r="K199" s="344">
        <f>+K201</f>
        <v>0</v>
      </c>
      <c r="L199" s="344">
        <f>+J199+K199</f>
        <v>0</v>
      </c>
      <c r="M199" s="344">
        <f t="shared" si="102"/>
        <v>0</v>
      </c>
      <c r="N199" s="337">
        <f>+F199-M199</f>
        <v>52500000</v>
      </c>
      <c r="P199" s="340"/>
      <c r="S199" s="347"/>
      <c r="T199" s="347"/>
      <c r="U199" s="382"/>
    </row>
    <row r="200" spans="1:21" s="381" customFormat="1" ht="36" customHeight="1" x14ac:dyDescent="0.25">
      <c r="A200" s="380"/>
      <c r="B200" s="352"/>
      <c r="C200" s="334"/>
      <c r="D200" s="335" t="s">
        <v>462</v>
      </c>
      <c r="E200" s="391" t="s">
        <v>463</v>
      </c>
      <c r="F200" s="337">
        <v>52500000</v>
      </c>
      <c r="G200" s="344"/>
      <c r="H200" s="344"/>
      <c r="I200" s="344">
        <f t="shared" ref="I200" si="103">+G200+H200</f>
        <v>0</v>
      </c>
      <c r="J200" s="344"/>
      <c r="K200" s="344"/>
      <c r="L200" s="344">
        <f t="shared" ref="L200" si="104">+J200+K200</f>
        <v>0</v>
      </c>
      <c r="M200" s="344">
        <f t="shared" si="102"/>
        <v>0</v>
      </c>
      <c r="N200" s="337">
        <f t="shared" ref="N200" si="105">+F200-M200</f>
        <v>52500000</v>
      </c>
      <c r="P200" s="340"/>
      <c r="S200" s="347"/>
      <c r="T200" s="347"/>
      <c r="U200" s="382"/>
    </row>
    <row r="201" spans="1:21" s="381" customFormat="1" ht="18" customHeight="1" x14ac:dyDescent="0.25">
      <c r="A201" s="380"/>
      <c r="B201" s="383"/>
      <c r="C201" s="384"/>
      <c r="D201" s="365" t="s">
        <v>267</v>
      </c>
      <c r="E201" s="335" t="s">
        <v>268</v>
      </c>
      <c r="F201" s="337">
        <f t="shared" ref="F201:H203" si="106">+F202</f>
        <v>26000000</v>
      </c>
      <c r="G201" s="344">
        <f t="shared" si="106"/>
        <v>0</v>
      </c>
      <c r="H201" s="344">
        <f t="shared" si="106"/>
        <v>0</v>
      </c>
      <c r="I201" s="344">
        <f>+G201+H201</f>
        <v>0</v>
      </c>
      <c r="J201" s="344">
        <f t="shared" ref="J201:K204" si="107">+J202</f>
        <v>0</v>
      </c>
      <c r="K201" s="344">
        <f t="shared" si="107"/>
        <v>0</v>
      </c>
      <c r="L201" s="344">
        <f>+J201+K201</f>
        <v>0</v>
      </c>
      <c r="M201" s="344">
        <f t="shared" si="102"/>
        <v>0</v>
      </c>
      <c r="N201" s="337">
        <f>+F201-M201</f>
        <v>26000000</v>
      </c>
      <c r="P201" s="340"/>
      <c r="R201" s="385"/>
      <c r="S201" s="347"/>
      <c r="T201" s="347"/>
      <c r="U201" s="382"/>
    </row>
    <row r="202" spans="1:21" s="381" customFormat="1" ht="18" customHeight="1" x14ac:dyDescent="0.25">
      <c r="A202" s="380"/>
      <c r="B202" s="352"/>
      <c r="C202" s="334"/>
      <c r="D202" s="335" t="s">
        <v>78</v>
      </c>
      <c r="E202" s="335" t="s">
        <v>75</v>
      </c>
      <c r="F202" s="337">
        <f t="shared" si="106"/>
        <v>26000000</v>
      </c>
      <c r="G202" s="344">
        <f t="shared" si="106"/>
        <v>0</v>
      </c>
      <c r="H202" s="344">
        <f t="shared" si="106"/>
        <v>0</v>
      </c>
      <c r="I202" s="344">
        <f t="shared" ref="I202:I205" si="108">+G202+H202</f>
        <v>0</v>
      </c>
      <c r="J202" s="344">
        <f t="shared" si="107"/>
        <v>0</v>
      </c>
      <c r="K202" s="344">
        <f t="shared" si="107"/>
        <v>0</v>
      </c>
      <c r="L202" s="344">
        <f t="shared" ref="L202:L203" si="109">+J202+K202</f>
        <v>0</v>
      </c>
      <c r="M202" s="344">
        <f t="shared" si="102"/>
        <v>0</v>
      </c>
      <c r="N202" s="337">
        <f>+F202-M202</f>
        <v>26000000</v>
      </c>
      <c r="P202" s="340"/>
      <c r="S202" s="347"/>
      <c r="T202" s="347"/>
      <c r="U202" s="382"/>
    </row>
    <row r="203" spans="1:21" s="339" customFormat="1" ht="18" customHeight="1" x14ac:dyDescent="0.25">
      <c r="A203" s="334"/>
      <c r="B203" s="335"/>
      <c r="C203" s="334"/>
      <c r="D203" s="365" t="s">
        <v>269</v>
      </c>
      <c r="E203" s="335" t="s">
        <v>270</v>
      </c>
      <c r="F203" s="337">
        <f t="shared" si="106"/>
        <v>26000000</v>
      </c>
      <c r="G203" s="344">
        <f>+G204</f>
        <v>0</v>
      </c>
      <c r="H203" s="344">
        <f>+H204</f>
        <v>0</v>
      </c>
      <c r="I203" s="344">
        <f t="shared" si="108"/>
        <v>0</v>
      </c>
      <c r="J203" s="344">
        <f t="shared" si="107"/>
        <v>0</v>
      </c>
      <c r="K203" s="344">
        <f t="shared" si="107"/>
        <v>0</v>
      </c>
      <c r="L203" s="344">
        <f t="shared" si="109"/>
        <v>0</v>
      </c>
      <c r="M203" s="344">
        <f t="shared" si="102"/>
        <v>0</v>
      </c>
      <c r="N203" s="337">
        <f>+F203-M203</f>
        <v>26000000</v>
      </c>
      <c r="P203" s="340"/>
      <c r="S203" s="347"/>
      <c r="T203" s="347"/>
      <c r="U203" s="342"/>
    </row>
    <row r="204" spans="1:21" s="381" customFormat="1" ht="18" customHeight="1" x14ac:dyDescent="0.25">
      <c r="A204" s="380"/>
      <c r="B204" s="352"/>
      <c r="C204" s="334"/>
      <c r="D204" s="335" t="s">
        <v>76</v>
      </c>
      <c r="E204" s="335" t="s">
        <v>77</v>
      </c>
      <c r="F204" s="337">
        <f>SUM(F205)</f>
        <v>26000000</v>
      </c>
      <c r="G204" s="344">
        <f>+G205</f>
        <v>0</v>
      </c>
      <c r="H204" s="344">
        <f>+H205</f>
        <v>0</v>
      </c>
      <c r="I204" s="344">
        <f>+G204+H204</f>
        <v>0</v>
      </c>
      <c r="J204" s="344">
        <f t="shared" si="107"/>
        <v>0</v>
      </c>
      <c r="K204" s="344">
        <f t="shared" si="107"/>
        <v>0</v>
      </c>
      <c r="L204" s="344">
        <f>+J204+K204</f>
        <v>0</v>
      </c>
      <c r="M204" s="344">
        <f t="shared" si="102"/>
        <v>0</v>
      </c>
      <c r="N204" s="337">
        <f>+F204-M204</f>
        <v>26000000</v>
      </c>
      <c r="P204" s="340"/>
      <c r="S204" s="347"/>
      <c r="T204" s="347"/>
      <c r="U204" s="382"/>
    </row>
    <row r="205" spans="1:21" s="388" customFormat="1" ht="18" customHeight="1" x14ac:dyDescent="0.25">
      <c r="A205" s="386"/>
      <c r="B205" s="387"/>
      <c r="C205" s="353"/>
      <c r="D205" s="355" t="s">
        <v>393</v>
      </c>
      <c r="E205" s="355" t="s">
        <v>394</v>
      </c>
      <c r="F205" s="356">
        <v>26000000</v>
      </c>
      <c r="G205" s="357"/>
      <c r="H205" s="357"/>
      <c r="I205" s="357">
        <f t="shared" si="108"/>
        <v>0</v>
      </c>
      <c r="J205" s="357"/>
      <c r="K205" s="357"/>
      <c r="L205" s="357">
        <f t="shared" ref="L205" si="110">+J205+K205</f>
        <v>0</v>
      </c>
      <c r="M205" s="357">
        <f t="shared" si="102"/>
        <v>0</v>
      </c>
      <c r="N205" s="356">
        <f t="shared" ref="N205" si="111">+F205-M205</f>
        <v>26000000</v>
      </c>
      <c r="P205" s="200"/>
      <c r="S205" s="221"/>
      <c r="T205" s="221"/>
      <c r="U205" s="389"/>
    </row>
    <row r="206" spans="1:21" s="319" customFormat="1" ht="18" customHeight="1" x14ac:dyDescent="0.25">
      <c r="A206" s="276">
        <v>10</v>
      </c>
      <c r="B206" s="305"/>
      <c r="C206" s="390" t="s">
        <v>112</v>
      </c>
      <c r="D206" s="363"/>
      <c r="E206" s="364" t="s">
        <v>113</v>
      </c>
      <c r="F206" s="307">
        <f>+F207+F221</f>
        <v>810211500</v>
      </c>
      <c r="G206" s="308">
        <f>G207+G221</f>
        <v>0</v>
      </c>
      <c r="H206" s="308">
        <f>H207+H221</f>
        <v>0</v>
      </c>
      <c r="I206" s="308">
        <f>+G206+H206</f>
        <v>0</v>
      </c>
      <c r="J206" s="308">
        <f>J207+J221</f>
        <v>3200000</v>
      </c>
      <c r="K206" s="308">
        <f>K207+K221</f>
        <v>5175000</v>
      </c>
      <c r="L206" s="308">
        <f>+J206+K206</f>
        <v>8375000</v>
      </c>
      <c r="M206" s="308">
        <f>+I206+L206</f>
        <v>8375000</v>
      </c>
      <c r="N206" s="307">
        <f>+F206-M206</f>
        <v>801836500</v>
      </c>
      <c r="P206" s="320"/>
      <c r="R206" s="321"/>
      <c r="S206" s="349"/>
      <c r="T206" s="349"/>
      <c r="U206" s="350"/>
    </row>
    <row r="207" spans="1:21" s="329" customFormat="1" ht="18" customHeight="1" x14ac:dyDescent="0.25">
      <c r="A207" s="323"/>
      <c r="B207" s="324"/>
      <c r="C207" s="379"/>
      <c r="D207" s="325" t="s">
        <v>207</v>
      </c>
      <c r="E207" s="326" t="s">
        <v>262</v>
      </c>
      <c r="F207" s="327">
        <f>+F208</f>
        <v>441471500</v>
      </c>
      <c r="G207" s="328">
        <f>+G208</f>
        <v>0</v>
      </c>
      <c r="H207" s="328">
        <f>+H208</f>
        <v>0</v>
      </c>
      <c r="I207" s="328">
        <f>+G207+H207</f>
        <v>0</v>
      </c>
      <c r="J207" s="328">
        <f>+J208</f>
        <v>3200000</v>
      </c>
      <c r="K207" s="328">
        <f>+K208</f>
        <v>5175000</v>
      </c>
      <c r="L207" s="328">
        <f>+J207+K207</f>
        <v>8375000</v>
      </c>
      <c r="M207" s="328">
        <f t="shared" ref="M207:M220" si="112">+I207+L207</f>
        <v>8375000</v>
      </c>
      <c r="N207" s="327">
        <f>+F207-M207</f>
        <v>433096500</v>
      </c>
      <c r="P207" s="330"/>
      <c r="R207" s="331"/>
      <c r="S207" s="351"/>
      <c r="T207" s="351"/>
      <c r="U207" s="333"/>
    </row>
    <row r="208" spans="1:21" s="381" customFormat="1" ht="18" customHeight="1" x14ac:dyDescent="0.25">
      <c r="A208" s="380"/>
      <c r="B208" s="352"/>
      <c r="C208" s="334"/>
      <c r="D208" s="335" t="s">
        <v>63</v>
      </c>
      <c r="E208" s="335" t="s">
        <v>30</v>
      </c>
      <c r="F208" s="337">
        <f>+F209+F212+F216</f>
        <v>441471500</v>
      </c>
      <c r="G208" s="344">
        <f>+G209+G212+G216</f>
        <v>0</v>
      </c>
      <c r="H208" s="344">
        <f>+H209+H212+H216</f>
        <v>0</v>
      </c>
      <c r="I208" s="344">
        <f t="shared" ref="I208:I218" si="113">+G208+H208</f>
        <v>0</v>
      </c>
      <c r="J208" s="344">
        <f>+J209+J212+J216</f>
        <v>3200000</v>
      </c>
      <c r="K208" s="344">
        <f>+K209+K212+K216</f>
        <v>5175000</v>
      </c>
      <c r="L208" s="344">
        <f t="shared" ref="L208:L209" si="114">+J208+K208</f>
        <v>8375000</v>
      </c>
      <c r="M208" s="344">
        <f t="shared" si="112"/>
        <v>8375000</v>
      </c>
      <c r="N208" s="337">
        <f>+F208-M208</f>
        <v>433096500</v>
      </c>
      <c r="P208" s="340"/>
      <c r="S208" s="347"/>
      <c r="T208" s="347"/>
      <c r="U208" s="382"/>
    </row>
    <row r="209" spans="1:21" s="339" customFormat="1" ht="18" customHeight="1" x14ac:dyDescent="0.25">
      <c r="A209" s="334"/>
      <c r="B209" s="335"/>
      <c r="C209" s="334"/>
      <c r="D209" s="365" t="s">
        <v>263</v>
      </c>
      <c r="E209" s="335" t="s">
        <v>264</v>
      </c>
      <c r="F209" s="337">
        <f t="shared" ref="F209:H209" si="115">+F210</f>
        <v>4031500</v>
      </c>
      <c r="G209" s="344">
        <f>+G210</f>
        <v>0</v>
      </c>
      <c r="H209" s="344">
        <f t="shared" si="115"/>
        <v>0</v>
      </c>
      <c r="I209" s="344">
        <f t="shared" si="113"/>
        <v>0</v>
      </c>
      <c r="J209" s="344">
        <f>+J210</f>
        <v>0</v>
      </c>
      <c r="K209" s="344">
        <f t="shared" ref="K209" si="116">+K210</f>
        <v>0</v>
      </c>
      <c r="L209" s="344">
        <f t="shared" si="114"/>
        <v>0</v>
      </c>
      <c r="M209" s="344">
        <f t="shared" si="112"/>
        <v>0</v>
      </c>
      <c r="N209" s="337">
        <f>+F209-M209</f>
        <v>4031500</v>
      </c>
      <c r="P209" s="340"/>
      <c r="S209" s="347"/>
      <c r="T209" s="347"/>
      <c r="U209" s="342"/>
    </row>
    <row r="210" spans="1:21" s="381" customFormat="1" ht="18" customHeight="1" x14ac:dyDescent="0.25">
      <c r="A210" s="380"/>
      <c r="B210" s="352"/>
      <c r="C210" s="334"/>
      <c r="D210" s="335" t="s">
        <v>64</v>
      </c>
      <c r="E210" s="335" t="s">
        <v>65</v>
      </c>
      <c r="F210" s="337">
        <f>F211</f>
        <v>4031500</v>
      </c>
      <c r="G210" s="344">
        <f>SUM(G211:G211)</f>
        <v>0</v>
      </c>
      <c r="H210" s="344">
        <f>SUM(H211:H211)</f>
        <v>0</v>
      </c>
      <c r="I210" s="344">
        <f>+G210+H210</f>
        <v>0</v>
      </c>
      <c r="J210" s="344">
        <f>SUM(J211:J211)</f>
        <v>0</v>
      </c>
      <c r="K210" s="344">
        <f>SUM(K211:K211)</f>
        <v>0</v>
      </c>
      <c r="L210" s="344">
        <f>+J210+K210</f>
        <v>0</v>
      </c>
      <c r="M210" s="344">
        <f t="shared" si="112"/>
        <v>0</v>
      </c>
      <c r="N210" s="337">
        <f>+F210-M210</f>
        <v>4031500</v>
      </c>
      <c r="P210" s="340"/>
      <c r="S210" s="347"/>
      <c r="T210" s="347"/>
      <c r="U210" s="382"/>
    </row>
    <row r="211" spans="1:21" s="381" customFormat="1" ht="18" customHeight="1" x14ac:dyDescent="0.25">
      <c r="A211" s="380"/>
      <c r="B211" s="352"/>
      <c r="C211" s="334"/>
      <c r="D211" s="335" t="s">
        <v>339</v>
      </c>
      <c r="E211" s="335" t="s">
        <v>340</v>
      </c>
      <c r="F211" s="337">
        <v>4031500</v>
      </c>
      <c r="G211" s="344"/>
      <c r="H211" s="344"/>
      <c r="I211" s="344">
        <f t="shared" si="113"/>
        <v>0</v>
      </c>
      <c r="J211" s="344"/>
      <c r="K211" s="344"/>
      <c r="L211" s="344">
        <f t="shared" ref="L211" si="117">+J211+K211</f>
        <v>0</v>
      </c>
      <c r="M211" s="344">
        <f t="shared" si="112"/>
        <v>0</v>
      </c>
      <c r="N211" s="337">
        <f t="shared" ref="N211" si="118">+F211-M211</f>
        <v>4031500</v>
      </c>
      <c r="P211" s="340"/>
      <c r="S211" s="347"/>
      <c r="T211" s="347"/>
      <c r="U211" s="382"/>
    </row>
    <row r="212" spans="1:21" s="339" customFormat="1" ht="18" customHeight="1" x14ac:dyDescent="0.25">
      <c r="A212" s="334"/>
      <c r="B212" s="335"/>
      <c r="C212" s="334"/>
      <c r="D212" s="365" t="s">
        <v>271</v>
      </c>
      <c r="E212" s="335" t="s">
        <v>272</v>
      </c>
      <c r="F212" s="337">
        <f t="shared" ref="F212:H212" si="119">+F213</f>
        <v>98700000</v>
      </c>
      <c r="G212" s="344">
        <f>+G213</f>
        <v>0</v>
      </c>
      <c r="H212" s="344">
        <f t="shared" si="119"/>
        <v>0</v>
      </c>
      <c r="I212" s="344">
        <f t="shared" si="113"/>
        <v>0</v>
      </c>
      <c r="J212" s="344">
        <f>+J213</f>
        <v>3200000</v>
      </c>
      <c r="K212" s="344">
        <f t="shared" ref="K212" si="120">+K213</f>
        <v>1600000</v>
      </c>
      <c r="L212" s="344">
        <f>+J212+K212</f>
        <v>4800000</v>
      </c>
      <c r="M212" s="344">
        <f t="shared" si="112"/>
        <v>4800000</v>
      </c>
      <c r="N212" s="337">
        <f>+F212-M212</f>
        <v>93900000</v>
      </c>
      <c r="P212" s="340"/>
      <c r="S212" s="347"/>
      <c r="T212" s="347"/>
      <c r="U212" s="342"/>
    </row>
    <row r="213" spans="1:21" s="381" customFormat="1" ht="18" customHeight="1" x14ac:dyDescent="0.25">
      <c r="A213" s="380"/>
      <c r="B213" s="352"/>
      <c r="C213" s="334"/>
      <c r="D213" s="335" t="s">
        <v>81</v>
      </c>
      <c r="E213" s="335" t="s">
        <v>31</v>
      </c>
      <c r="F213" s="337">
        <f>SUM(F214:F215)</f>
        <v>98700000</v>
      </c>
      <c r="G213" s="344">
        <f>SUM(G214:G215)</f>
        <v>0</v>
      </c>
      <c r="H213" s="344">
        <f>SUM(H214:H215)</f>
        <v>0</v>
      </c>
      <c r="I213" s="344">
        <f t="shared" si="113"/>
        <v>0</v>
      </c>
      <c r="J213" s="344">
        <f>SUM(J214:J215)</f>
        <v>3200000</v>
      </c>
      <c r="K213" s="344">
        <f>SUM(K214:K215)</f>
        <v>1600000</v>
      </c>
      <c r="L213" s="344">
        <f>+J213+K213</f>
        <v>4800000</v>
      </c>
      <c r="M213" s="344">
        <f t="shared" si="112"/>
        <v>4800000</v>
      </c>
      <c r="N213" s="337">
        <f>+F213-M213</f>
        <v>93900000</v>
      </c>
      <c r="P213" s="340"/>
      <c r="S213" s="347"/>
      <c r="T213" s="347"/>
      <c r="U213" s="382"/>
    </row>
    <row r="214" spans="1:21" s="381" customFormat="1" ht="18" customHeight="1" x14ac:dyDescent="0.25">
      <c r="A214" s="392"/>
      <c r="B214" s="339"/>
      <c r="C214" s="366"/>
      <c r="D214" s="367" t="s">
        <v>82</v>
      </c>
      <c r="E214" s="367" t="s">
        <v>83</v>
      </c>
      <c r="F214" s="370">
        <v>38400000</v>
      </c>
      <c r="G214" s="371"/>
      <c r="H214" s="371"/>
      <c r="I214" s="371">
        <f t="shared" si="113"/>
        <v>0</v>
      </c>
      <c r="J214" s="371">
        <v>3200000</v>
      </c>
      <c r="K214" s="371">
        <v>1600000</v>
      </c>
      <c r="L214" s="371">
        <f>+J214+K214</f>
        <v>4800000</v>
      </c>
      <c r="M214" s="371">
        <f>+I214+L214</f>
        <v>4800000</v>
      </c>
      <c r="N214" s="370">
        <f>+F214-M214</f>
        <v>33600000</v>
      </c>
      <c r="P214" s="340"/>
      <c r="S214" s="346">
        <v>1600000</v>
      </c>
      <c r="T214" s="347"/>
      <c r="U214" s="382"/>
    </row>
    <row r="215" spans="1:21" s="381" customFormat="1" ht="18" customHeight="1" x14ac:dyDescent="0.25">
      <c r="A215" s="392"/>
      <c r="B215" s="339"/>
      <c r="C215" s="366"/>
      <c r="D215" s="367" t="s">
        <v>111</v>
      </c>
      <c r="E215" s="367" t="s">
        <v>44</v>
      </c>
      <c r="F215" s="370">
        <v>60300000</v>
      </c>
      <c r="G215" s="371"/>
      <c r="H215" s="371"/>
      <c r="I215" s="371">
        <f t="shared" si="113"/>
        <v>0</v>
      </c>
      <c r="J215" s="371"/>
      <c r="K215" s="371"/>
      <c r="L215" s="371">
        <f t="shared" ref="L215" si="121">+J215+K215</f>
        <v>0</v>
      </c>
      <c r="M215" s="371">
        <f t="shared" si="112"/>
        <v>0</v>
      </c>
      <c r="N215" s="370">
        <f t="shared" ref="N215" si="122">+F215-M215</f>
        <v>60300000</v>
      </c>
      <c r="P215" s="340"/>
      <c r="S215" s="347"/>
      <c r="T215" s="347"/>
      <c r="U215" s="382"/>
    </row>
    <row r="216" spans="1:21" s="339" customFormat="1" ht="18" customHeight="1" x14ac:dyDescent="0.25">
      <c r="A216" s="334"/>
      <c r="B216" s="335"/>
      <c r="C216" s="334"/>
      <c r="D216" s="365" t="s">
        <v>275</v>
      </c>
      <c r="E216" s="335" t="s">
        <v>276</v>
      </c>
      <c r="F216" s="337">
        <f t="shared" ref="F216:H216" si="123">+F217</f>
        <v>338740000</v>
      </c>
      <c r="G216" s="344">
        <f>+G217</f>
        <v>0</v>
      </c>
      <c r="H216" s="344">
        <f t="shared" si="123"/>
        <v>0</v>
      </c>
      <c r="I216" s="344">
        <f t="shared" si="113"/>
        <v>0</v>
      </c>
      <c r="J216" s="344">
        <f>+J217</f>
        <v>0</v>
      </c>
      <c r="K216" s="344">
        <f t="shared" ref="K216" si="124">+K217</f>
        <v>3575000</v>
      </c>
      <c r="L216" s="344">
        <f>+J216+K216</f>
        <v>3575000</v>
      </c>
      <c r="M216" s="344">
        <f t="shared" si="112"/>
        <v>3575000</v>
      </c>
      <c r="N216" s="337">
        <f>+F216-M216</f>
        <v>335165000</v>
      </c>
      <c r="P216" s="340"/>
      <c r="S216" s="347"/>
      <c r="T216" s="347"/>
      <c r="U216" s="342"/>
    </row>
    <row r="217" spans="1:21" s="381" customFormat="1" ht="18" customHeight="1" x14ac:dyDescent="0.25">
      <c r="A217" s="380"/>
      <c r="B217" s="352"/>
      <c r="C217" s="334"/>
      <c r="D217" s="335" t="s">
        <v>114</v>
      </c>
      <c r="E217" s="335" t="s">
        <v>43</v>
      </c>
      <c r="F217" s="337">
        <f>SUM(F218:F220)</f>
        <v>338740000</v>
      </c>
      <c r="G217" s="344">
        <f>SUM(G218:G220)</f>
        <v>0</v>
      </c>
      <c r="H217" s="344">
        <f>SUM(H218:H220)</f>
        <v>0</v>
      </c>
      <c r="I217" s="344">
        <f t="shared" si="113"/>
        <v>0</v>
      </c>
      <c r="J217" s="344">
        <f>SUM(J218:J220)</f>
        <v>0</v>
      </c>
      <c r="K217" s="344">
        <f>SUM(K218:K220)</f>
        <v>3575000</v>
      </c>
      <c r="L217" s="344">
        <f>+J217+K217</f>
        <v>3575000</v>
      </c>
      <c r="M217" s="344">
        <f t="shared" si="112"/>
        <v>3575000</v>
      </c>
      <c r="N217" s="337">
        <f>+F217-M217</f>
        <v>335165000</v>
      </c>
      <c r="P217" s="340"/>
      <c r="S217" s="347"/>
      <c r="T217" s="347"/>
      <c r="U217" s="382"/>
    </row>
    <row r="218" spans="1:21" s="381" customFormat="1" ht="21" customHeight="1" x14ac:dyDescent="0.25">
      <c r="A218" s="392"/>
      <c r="B218" s="339"/>
      <c r="C218" s="366"/>
      <c r="D218" s="367" t="s">
        <v>349</v>
      </c>
      <c r="E218" s="369" t="s">
        <v>350</v>
      </c>
      <c r="F218" s="370">
        <v>21240000</v>
      </c>
      <c r="G218" s="371"/>
      <c r="H218" s="371"/>
      <c r="I218" s="371">
        <f t="shared" si="113"/>
        <v>0</v>
      </c>
      <c r="J218" s="371"/>
      <c r="K218" s="371">
        <v>3575000</v>
      </c>
      <c r="L218" s="371">
        <f t="shared" ref="L218" si="125">+J218+K218</f>
        <v>3575000</v>
      </c>
      <c r="M218" s="371">
        <f t="shared" si="112"/>
        <v>3575000</v>
      </c>
      <c r="N218" s="370">
        <f>+F218-M218</f>
        <v>17665000</v>
      </c>
      <c r="P218" s="340"/>
      <c r="S218" s="346">
        <v>3575000</v>
      </c>
      <c r="T218" s="347"/>
      <c r="U218" s="382"/>
    </row>
    <row r="219" spans="1:21" s="381" customFormat="1" ht="30.75" customHeight="1" x14ac:dyDescent="0.25">
      <c r="A219" s="392"/>
      <c r="B219" s="339"/>
      <c r="C219" s="366"/>
      <c r="D219" s="367" t="s">
        <v>395</v>
      </c>
      <c r="E219" s="369" t="s">
        <v>396</v>
      </c>
      <c r="F219" s="370">
        <v>2500000</v>
      </c>
      <c r="G219" s="371"/>
      <c r="H219" s="371"/>
      <c r="I219" s="371"/>
      <c r="J219" s="371"/>
      <c r="K219" s="371"/>
      <c r="L219" s="371">
        <f>+J219+K219</f>
        <v>0</v>
      </c>
      <c r="M219" s="371">
        <f t="shared" si="112"/>
        <v>0</v>
      </c>
      <c r="N219" s="370">
        <f>+F219-M219</f>
        <v>2500000</v>
      </c>
      <c r="P219" s="340"/>
      <c r="S219" s="347"/>
      <c r="T219" s="347"/>
      <c r="U219" s="382"/>
    </row>
    <row r="220" spans="1:21" s="381" customFormat="1" ht="18" customHeight="1" x14ac:dyDescent="0.25">
      <c r="A220" s="392"/>
      <c r="B220" s="339"/>
      <c r="C220" s="366"/>
      <c r="D220" s="367" t="s">
        <v>354</v>
      </c>
      <c r="E220" s="369" t="s">
        <v>355</v>
      </c>
      <c r="F220" s="370">
        <v>315000000</v>
      </c>
      <c r="G220" s="371"/>
      <c r="H220" s="371"/>
      <c r="I220" s="371">
        <f>+G220+H220</f>
        <v>0</v>
      </c>
      <c r="J220" s="371"/>
      <c r="K220" s="371"/>
      <c r="L220" s="371"/>
      <c r="M220" s="371">
        <f t="shared" si="112"/>
        <v>0</v>
      </c>
      <c r="N220" s="370">
        <f t="shared" ref="N220" si="126">+F220-M220</f>
        <v>315000000</v>
      </c>
      <c r="P220" s="340"/>
      <c r="S220" s="347"/>
      <c r="T220" s="347"/>
      <c r="U220" s="382"/>
    </row>
    <row r="221" spans="1:21" s="381" customFormat="1" ht="18" customHeight="1" x14ac:dyDescent="0.25">
      <c r="A221" s="380"/>
      <c r="B221" s="383"/>
      <c r="C221" s="384"/>
      <c r="D221" s="365" t="s">
        <v>267</v>
      </c>
      <c r="E221" s="335" t="s">
        <v>268</v>
      </c>
      <c r="F221" s="337">
        <f>+F222+F234</f>
        <v>368740000</v>
      </c>
      <c r="G221" s="344">
        <f>+G222+G234</f>
        <v>0</v>
      </c>
      <c r="H221" s="344">
        <f>+H222+H234</f>
        <v>0</v>
      </c>
      <c r="I221" s="344">
        <f>+G221+H221</f>
        <v>0</v>
      </c>
      <c r="J221" s="344">
        <f>+J222</f>
        <v>0</v>
      </c>
      <c r="K221" s="344">
        <f>+K222</f>
        <v>0</v>
      </c>
      <c r="L221" s="344">
        <f>+J221+K221</f>
        <v>0</v>
      </c>
      <c r="M221" s="344">
        <f>+I221+L221</f>
        <v>0</v>
      </c>
      <c r="N221" s="337">
        <f>+F221-M221</f>
        <v>368740000</v>
      </c>
      <c r="P221" s="340"/>
      <c r="R221" s="385"/>
      <c r="S221" s="347"/>
      <c r="T221" s="347"/>
      <c r="U221" s="382"/>
    </row>
    <row r="222" spans="1:21" s="381" customFormat="1" ht="18" customHeight="1" x14ac:dyDescent="0.25">
      <c r="A222" s="380"/>
      <c r="B222" s="352"/>
      <c r="C222" s="334"/>
      <c r="D222" s="335" t="s">
        <v>78</v>
      </c>
      <c r="E222" s="335" t="s">
        <v>75</v>
      </c>
      <c r="F222" s="337">
        <f>+F223+F226+F231</f>
        <v>268740000</v>
      </c>
      <c r="G222" s="344">
        <f>+G223+G226</f>
        <v>0</v>
      </c>
      <c r="H222" s="344">
        <f>+H223+H226</f>
        <v>0</v>
      </c>
      <c r="I222" s="344">
        <f t="shared" ref="I222:I235" si="127">+G222+H222</f>
        <v>0</v>
      </c>
      <c r="J222" s="344">
        <f>+J223+J226</f>
        <v>0</v>
      </c>
      <c r="K222" s="344">
        <f t="shared" ref="K222:K223" si="128">+K223</f>
        <v>0</v>
      </c>
      <c r="L222" s="344">
        <f t="shared" ref="L222:L223" si="129">+J222+K222</f>
        <v>0</v>
      </c>
      <c r="M222" s="344">
        <f t="shared" ref="M222:M226" si="130">+I222+L222</f>
        <v>0</v>
      </c>
      <c r="N222" s="337">
        <f>+F222-M222</f>
        <v>268740000</v>
      </c>
      <c r="P222" s="340"/>
      <c r="S222" s="347"/>
      <c r="T222" s="347"/>
      <c r="U222" s="382"/>
    </row>
    <row r="223" spans="1:21" s="339" customFormat="1" ht="18" customHeight="1" x14ac:dyDescent="0.25">
      <c r="A223" s="334"/>
      <c r="B223" s="335"/>
      <c r="C223" s="334"/>
      <c r="D223" s="365" t="s">
        <v>269</v>
      </c>
      <c r="E223" s="335" t="s">
        <v>270</v>
      </c>
      <c r="F223" s="337">
        <f t="shared" ref="F223:H223" si="131">+F224</f>
        <v>32340000</v>
      </c>
      <c r="G223" s="344">
        <f>+G224</f>
        <v>0</v>
      </c>
      <c r="H223" s="344">
        <f t="shared" si="131"/>
        <v>0</v>
      </c>
      <c r="I223" s="344">
        <f t="shared" si="127"/>
        <v>0</v>
      </c>
      <c r="J223" s="344">
        <f>+J224</f>
        <v>0</v>
      </c>
      <c r="K223" s="344">
        <f t="shared" si="128"/>
        <v>0</v>
      </c>
      <c r="L223" s="344">
        <f t="shared" si="129"/>
        <v>0</v>
      </c>
      <c r="M223" s="344">
        <f t="shared" si="130"/>
        <v>0</v>
      </c>
      <c r="N223" s="337">
        <f>+F223-M223</f>
        <v>32340000</v>
      </c>
      <c r="P223" s="340"/>
      <c r="S223" s="347"/>
      <c r="T223" s="347"/>
      <c r="U223" s="342"/>
    </row>
    <row r="224" spans="1:21" s="381" customFormat="1" ht="18" customHeight="1" x14ac:dyDescent="0.25">
      <c r="A224" s="380"/>
      <c r="B224" s="352"/>
      <c r="C224" s="334"/>
      <c r="D224" s="335" t="s">
        <v>92</v>
      </c>
      <c r="E224" s="335" t="s">
        <v>94</v>
      </c>
      <c r="F224" s="337">
        <f>SUM(F225)</f>
        <v>32340000</v>
      </c>
      <c r="G224" s="344">
        <f>+G225</f>
        <v>0</v>
      </c>
      <c r="H224" s="344">
        <f>+H225</f>
        <v>0</v>
      </c>
      <c r="I224" s="344">
        <f>+G224+H224</f>
        <v>0</v>
      </c>
      <c r="J224" s="344">
        <f>+J225</f>
        <v>0</v>
      </c>
      <c r="K224" s="344">
        <f>+K225</f>
        <v>0</v>
      </c>
      <c r="L224" s="344">
        <f>+J224+K224</f>
        <v>0</v>
      </c>
      <c r="M224" s="344">
        <f t="shared" si="130"/>
        <v>0</v>
      </c>
      <c r="N224" s="337">
        <f>+F224-M224</f>
        <v>32340000</v>
      </c>
      <c r="P224" s="340"/>
      <c r="S224" s="347"/>
      <c r="T224" s="347"/>
      <c r="U224" s="382"/>
    </row>
    <row r="225" spans="1:21" s="381" customFormat="1" ht="18" customHeight="1" x14ac:dyDescent="0.25">
      <c r="A225" s="380"/>
      <c r="B225" s="352"/>
      <c r="C225" s="334"/>
      <c r="D225" s="335" t="s">
        <v>397</v>
      </c>
      <c r="E225" s="335" t="s">
        <v>398</v>
      </c>
      <c r="F225" s="337">
        <v>32340000</v>
      </c>
      <c r="G225" s="344"/>
      <c r="H225" s="344"/>
      <c r="I225" s="344">
        <f t="shared" si="127"/>
        <v>0</v>
      </c>
      <c r="J225" s="344"/>
      <c r="K225" s="344"/>
      <c r="L225" s="344">
        <f t="shared" ref="L225:L235" si="132">+J225+K225</f>
        <v>0</v>
      </c>
      <c r="M225" s="344">
        <f t="shared" si="130"/>
        <v>0</v>
      </c>
      <c r="N225" s="337">
        <f t="shared" ref="N225:N237" si="133">+F225-M225</f>
        <v>32340000</v>
      </c>
      <c r="P225" s="340"/>
      <c r="S225" s="347"/>
      <c r="T225" s="347"/>
      <c r="U225" s="382"/>
    </row>
    <row r="226" spans="1:21" s="339" customFormat="1" ht="18" customHeight="1" x14ac:dyDescent="0.25">
      <c r="A226" s="334"/>
      <c r="B226" s="335"/>
      <c r="C226" s="334"/>
      <c r="D226" s="365" t="s">
        <v>399</v>
      </c>
      <c r="E226" s="335" t="s">
        <v>400</v>
      </c>
      <c r="F226" s="337">
        <f t="shared" ref="F226:H226" si="134">+F227</f>
        <v>234600000</v>
      </c>
      <c r="G226" s="344">
        <f>+G227</f>
        <v>0</v>
      </c>
      <c r="H226" s="344">
        <f t="shared" si="134"/>
        <v>0</v>
      </c>
      <c r="I226" s="344">
        <f t="shared" si="127"/>
        <v>0</v>
      </c>
      <c r="J226" s="344">
        <f>+J227</f>
        <v>0</v>
      </c>
      <c r="K226" s="344">
        <f t="shared" ref="K226" si="135">+K227</f>
        <v>0</v>
      </c>
      <c r="L226" s="344">
        <f t="shared" si="132"/>
        <v>0</v>
      </c>
      <c r="M226" s="344">
        <f t="shared" si="130"/>
        <v>0</v>
      </c>
      <c r="N226" s="337">
        <f t="shared" si="133"/>
        <v>234600000</v>
      </c>
      <c r="P226" s="340"/>
      <c r="S226" s="347"/>
      <c r="T226" s="347"/>
      <c r="U226" s="342"/>
    </row>
    <row r="227" spans="1:21" s="381" customFormat="1" ht="18" customHeight="1" x14ac:dyDescent="0.25">
      <c r="A227" s="380"/>
      <c r="B227" s="352"/>
      <c r="C227" s="334"/>
      <c r="D227" s="335" t="s">
        <v>401</v>
      </c>
      <c r="E227" s="335" t="s">
        <v>402</v>
      </c>
      <c r="F227" s="337">
        <f>SUM(F228:F230)</f>
        <v>234600000</v>
      </c>
      <c r="G227" s="344">
        <f>SUM(G229:G229)</f>
        <v>0</v>
      </c>
      <c r="H227" s="344">
        <f>SUM(H229:H229)</f>
        <v>0</v>
      </c>
      <c r="I227" s="344">
        <f t="shared" si="127"/>
        <v>0</v>
      </c>
      <c r="J227" s="344">
        <f>SUM(J229:J229)</f>
        <v>0</v>
      </c>
      <c r="K227" s="344">
        <f>SUM(K229:K229)</f>
        <v>0</v>
      </c>
      <c r="L227" s="344">
        <f t="shared" si="132"/>
        <v>0</v>
      </c>
      <c r="M227" s="344">
        <f>+I227+L227</f>
        <v>0</v>
      </c>
      <c r="N227" s="337">
        <f t="shared" si="133"/>
        <v>234600000</v>
      </c>
      <c r="P227" s="340"/>
      <c r="S227" s="347"/>
      <c r="T227" s="347"/>
      <c r="U227" s="382"/>
    </row>
    <row r="228" spans="1:21" s="381" customFormat="1" ht="18" customHeight="1" x14ac:dyDescent="0.25">
      <c r="A228" s="380"/>
      <c r="B228" s="352"/>
      <c r="C228" s="334"/>
      <c r="D228" s="335" t="s">
        <v>464</v>
      </c>
      <c r="E228" s="335" t="s">
        <v>465</v>
      </c>
      <c r="F228" s="337">
        <v>3000000</v>
      </c>
      <c r="G228" s="344"/>
      <c r="H228" s="344"/>
      <c r="I228" s="344">
        <f t="shared" si="127"/>
        <v>0</v>
      </c>
      <c r="J228" s="344"/>
      <c r="K228" s="344"/>
      <c r="L228" s="344">
        <f t="shared" si="132"/>
        <v>0</v>
      </c>
      <c r="M228" s="344">
        <f>+I228+L228</f>
        <v>0</v>
      </c>
      <c r="N228" s="337">
        <f t="shared" si="133"/>
        <v>3000000</v>
      </c>
      <c r="P228" s="340"/>
      <c r="S228" s="347"/>
      <c r="T228" s="347"/>
      <c r="U228" s="382"/>
    </row>
    <row r="229" spans="1:21" s="381" customFormat="1" ht="18" customHeight="1" x14ac:dyDescent="0.25">
      <c r="A229" s="380"/>
      <c r="B229" s="352"/>
      <c r="C229" s="334"/>
      <c r="D229" s="335" t="s">
        <v>403</v>
      </c>
      <c r="E229" s="335" t="s">
        <v>404</v>
      </c>
      <c r="F229" s="337">
        <v>36600000</v>
      </c>
      <c r="G229" s="344"/>
      <c r="H229" s="344"/>
      <c r="I229" s="344">
        <f t="shared" si="127"/>
        <v>0</v>
      </c>
      <c r="J229" s="344"/>
      <c r="K229" s="344"/>
      <c r="L229" s="344">
        <f t="shared" si="132"/>
        <v>0</v>
      </c>
      <c r="M229" s="344">
        <f>+I229+L229</f>
        <v>0</v>
      </c>
      <c r="N229" s="337">
        <f t="shared" si="133"/>
        <v>36600000</v>
      </c>
      <c r="P229" s="340"/>
      <c r="S229" s="347"/>
      <c r="T229" s="347"/>
      <c r="U229" s="382"/>
    </row>
    <row r="230" spans="1:21" s="381" customFormat="1" ht="18" customHeight="1" x14ac:dyDescent="0.25">
      <c r="A230" s="380"/>
      <c r="B230" s="352"/>
      <c r="C230" s="334"/>
      <c r="D230" s="335" t="s">
        <v>459</v>
      </c>
      <c r="E230" s="335" t="s">
        <v>460</v>
      </c>
      <c r="F230" s="337">
        <v>195000000</v>
      </c>
      <c r="G230" s="344"/>
      <c r="H230" s="344"/>
      <c r="I230" s="344">
        <f t="shared" si="127"/>
        <v>0</v>
      </c>
      <c r="J230" s="344"/>
      <c r="K230" s="344"/>
      <c r="L230" s="344">
        <f t="shared" si="132"/>
        <v>0</v>
      </c>
      <c r="M230" s="344">
        <f>+I230+L230</f>
        <v>0</v>
      </c>
      <c r="N230" s="337">
        <f t="shared" si="133"/>
        <v>195000000</v>
      </c>
      <c r="P230" s="340"/>
      <c r="S230" s="347"/>
      <c r="T230" s="347"/>
      <c r="U230" s="382"/>
    </row>
    <row r="231" spans="1:21" s="339" customFormat="1" ht="18" customHeight="1" x14ac:dyDescent="0.25">
      <c r="A231" s="334"/>
      <c r="B231" s="335"/>
      <c r="C231" s="334"/>
      <c r="D231" s="365" t="s">
        <v>273</v>
      </c>
      <c r="E231" s="335" t="s">
        <v>274</v>
      </c>
      <c r="F231" s="337">
        <f>+F232</f>
        <v>1800000</v>
      </c>
      <c r="G231" s="344">
        <f>+G232</f>
        <v>0</v>
      </c>
      <c r="H231" s="344">
        <f t="shared" ref="H231" si="136">+H232</f>
        <v>0</v>
      </c>
      <c r="I231" s="344">
        <f t="shared" si="127"/>
        <v>0</v>
      </c>
      <c r="J231" s="344">
        <f>+J232</f>
        <v>0</v>
      </c>
      <c r="K231" s="344">
        <f t="shared" ref="K231" si="137">+K232</f>
        <v>0</v>
      </c>
      <c r="L231" s="344">
        <f t="shared" si="132"/>
        <v>0</v>
      </c>
      <c r="M231" s="344">
        <f t="shared" ref="M231" si="138">+I231+L231</f>
        <v>0</v>
      </c>
      <c r="N231" s="337">
        <f t="shared" si="133"/>
        <v>1800000</v>
      </c>
      <c r="P231" s="340"/>
      <c r="S231" s="347"/>
      <c r="T231" s="347"/>
      <c r="U231" s="342"/>
    </row>
    <row r="232" spans="1:21" s="381" customFormat="1" ht="18" customHeight="1" x14ac:dyDescent="0.25">
      <c r="A232" s="380"/>
      <c r="B232" s="352"/>
      <c r="C232" s="334"/>
      <c r="D232" s="335" t="s">
        <v>382</v>
      </c>
      <c r="E232" s="335" t="s">
        <v>383</v>
      </c>
      <c r="F232" s="337">
        <f>+F233</f>
        <v>1800000</v>
      </c>
      <c r="G232" s="344">
        <f>SUM(G234:G234)</f>
        <v>0</v>
      </c>
      <c r="H232" s="344">
        <f>SUM(H234:H234)</f>
        <v>0</v>
      </c>
      <c r="I232" s="344">
        <f t="shared" si="127"/>
        <v>0</v>
      </c>
      <c r="J232" s="344">
        <f>SUM(J234:J234)</f>
        <v>0</v>
      </c>
      <c r="K232" s="344">
        <f>SUM(K234:K234)</f>
        <v>0</v>
      </c>
      <c r="L232" s="344">
        <f t="shared" si="132"/>
        <v>0</v>
      </c>
      <c r="M232" s="344">
        <f>+I232+L232</f>
        <v>0</v>
      </c>
      <c r="N232" s="337">
        <f t="shared" si="133"/>
        <v>1800000</v>
      </c>
      <c r="P232" s="340"/>
      <c r="S232" s="347"/>
      <c r="T232" s="347"/>
      <c r="U232" s="382"/>
    </row>
    <row r="233" spans="1:21" s="381" customFormat="1" ht="18" customHeight="1" x14ac:dyDescent="0.25">
      <c r="A233" s="380"/>
      <c r="B233" s="352"/>
      <c r="C233" s="334"/>
      <c r="D233" s="335" t="s">
        <v>386</v>
      </c>
      <c r="E233" s="335" t="s">
        <v>387</v>
      </c>
      <c r="F233" s="337">
        <v>1800000</v>
      </c>
      <c r="G233" s="344"/>
      <c r="H233" s="344"/>
      <c r="I233" s="344">
        <f t="shared" si="127"/>
        <v>0</v>
      </c>
      <c r="J233" s="344"/>
      <c r="K233" s="344"/>
      <c r="L233" s="344">
        <f t="shared" si="132"/>
        <v>0</v>
      </c>
      <c r="M233" s="344">
        <f>+I233+L233</f>
        <v>0</v>
      </c>
      <c r="N233" s="337">
        <f t="shared" si="133"/>
        <v>1800000</v>
      </c>
      <c r="P233" s="340"/>
      <c r="S233" s="347"/>
      <c r="T233" s="347"/>
      <c r="U233" s="382"/>
    </row>
    <row r="234" spans="1:21" s="381" customFormat="1" ht="18" customHeight="1" x14ac:dyDescent="0.25">
      <c r="A234" s="380"/>
      <c r="B234" s="352"/>
      <c r="C234" s="334"/>
      <c r="D234" s="335" t="s">
        <v>466</v>
      </c>
      <c r="E234" s="335" t="s">
        <v>467</v>
      </c>
      <c r="F234" s="337">
        <f>+F235</f>
        <v>100000000</v>
      </c>
      <c r="G234" s="344">
        <f>+G235</f>
        <v>0</v>
      </c>
      <c r="H234" s="344">
        <f>+H235+H238</f>
        <v>0</v>
      </c>
      <c r="I234" s="344">
        <f t="shared" si="127"/>
        <v>0</v>
      </c>
      <c r="J234" s="344">
        <f>+J235</f>
        <v>0</v>
      </c>
      <c r="K234" s="344">
        <f t="shared" ref="K234:K235" si="139">+K235</f>
        <v>0</v>
      </c>
      <c r="L234" s="344">
        <f t="shared" si="132"/>
        <v>0</v>
      </c>
      <c r="M234" s="344">
        <f>+I234+L234</f>
        <v>0</v>
      </c>
      <c r="N234" s="337">
        <f t="shared" si="133"/>
        <v>100000000</v>
      </c>
      <c r="P234" s="340"/>
      <c r="S234" s="347"/>
      <c r="T234" s="347"/>
      <c r="U234" s="382"/>
    </row>
    <row r="235" spans="1:21" s="339" customFormat="1" ht="18" customHeight="1" x14ac:dyDescent="0.25">
      <c r="A235" s="334"/>
      <c r="B235" s="335"/>
      <c r="C235" s="334"/>
      <c r="D235" s="365" t="s">
        <v>468</v>
      </c>
      <c r="E235" s="335" t="s">
        <v>469</v>
      </c>
      <c r="F235" s="337">
        <f t="shared" ref="F235:H235" si="140">+F236</f>
        <v>100000000</v>
      </c>
      <c r="G235" s="344">
        <f>+G236</f>
        <v>0</v>
      </c>
      <c r="H235" s="344">
        <f t="shared" si="140"/>
        <v>0</v>
      </c>
      <c r="I235" s="344">
        <f t="shared" si="127"/>
        <v>0</v>
      </c>
      <c r="J235" s="344">
        <f>+J236</f>
        <v>0</v>
      </c>
      <c r="K235" s="344">
        <f t="shared" si="139"/>
        <v>0</v>
      </c>
      <c r="L235" s="344">
        <f t="shared" si="132"/>
        <v>0</v>
      </c>
      <c r="M235" s="344">
        <f t="shared" ref="M235:M236" si="141">+I235+L235</f>
        <v>0</v>
      </c>
      <c r="N235" s="337">
        <f t="shared" si="133"/>
        <v>100000000</v>
      </c>
      <c r="P235" s="340"/>
      <c r="S235" s="347"/>
      <c r="T235" s="347"/>
      <c r="U235" s="342"/>
    </row>
    <row r="236" spans="1:21" s="381" customFormat="1" ht="18" customHeight="1" x14ac:dyDescent="0.25">
      <c r="A236" s="380"/>
      <c r="B236" s="352"/>
      <c r="C236" s="334"/>
      <c r="D236" s="335" t="s">
        <v>470</v>
      </c>
      <c r="E236" s="335" t="s">
        <v>471</v>
      </c>
      <c r="F236" s="337">
        <f>SUM(F237)</f>
        <v>100000000</v>
      </c>
      <c r="G236" s="344">
        <f>+G237</f>
        <v>0</v>
      </c>
      <c r="H236" s="344">
        <f>+H237</f>
        <v>0</v>
      </c>
      <c r="I236" s="344">
        <f>+G236+H236</f>
        <v>0</v>
      </c>
      <c r="J236" s="344">
        <f>+J237</f>
        <v>0</v>
      </c>
      <c r="K236" s="344">
        <f>+K237</f>
        <v>0</v>
      </c>
      <c r="L236" s="344">
        <f>+J236+K236</f>
        <v>0</v>
      </c>
      <c r="M236" s="344">
        <f t="shared" si="141"/>
        <v>0</v>
      </c>
      <c r="N236" s="337">
        <f t="shared" si="133"/>
        <v>100000000</v>
      </c>
      <c r="P236" s="340"/>
      <c r="S236" s="347"/>
      <c r="T236" s="347"/>
      <c r="U236" s="382"/>
    </row>
    <row r="237" spans="1:21" s="381" customFormat="1" ht="18" customHeight="1" x14ac:dyDescent="0.25">
      <c r="A237" s="380"/>
      <c r="B237" s="352"/>
      <c r="C237" s="334"/>
      <c r="D237" s="335" t="s">
        <v>472</v>
      </c>
      <c r="E237" s="335" t="s">
        <v>473</v>
      </c>
      <c r="F237" s="337">
        <v>100000000</v>
      </c>
      <c r="G237" s="344"/>
      <c r="H237" s="344"/>
      <c r="I237" s="344">
        <f>+G237+H237</f>
        <v>0</v>
      </c>
      <c r="J237" s="344"/>
      <c r="K237" s="344"/>
      <c r="L237" s="344">
        <f t="shared" ref="L237" si="142">+J237+K237</f>
        <v>0</v>
      </c>
      <c r="M237" s="344">
        <f>+I237+L237</f>
        <v>0</v>
      </c>
      <c r="N237" s="337">
        <f t="shared" si="133"/>
        <v>100000000</v>
      </c>
      <c r="P237" s="340"/>
      <c r="S237" s="347"/>
      <c r="T237" s="347"/>
      <c r="U237" s="382"/>
    </row>
    <row r="238" spans="1:21" s="153" customFormat="1" ht="18" customHeight="1" x14ac:dyDescent="0.25">
      <c r="A238" s="353"/>
      <c r="B238" s="355"/>
      <c r="C238" s="355"/>
      <c r="D238" s="355"/>
      <c r="E238" s="355"/>
      <c r="F238" s="356"/>
      <c r="G238" s="357"/>
      <c r="H238" s="357"/>
      <c r="I238" s="357"/>
      <c r="J238" s="357"/>
      <c r="K238" s="357"/>
      <c r="L238" s="357"/>
      <c r="M238" s="357"/>
      <c r="N238" s="356"/>
      <c r="P238" s="200"/>
      <c r="S238" s="221"/>
      <c r="T238" s="221"/>
      <c r="U238" s="254"/>
    </row>
    <row r="239" spans="1:21" s="319" customFormat="1" ht="18" customHeight="1" x14ac:dyDescent="0.25">
      <c r="A239" s="276"/>
      <c r="B239" s="305" t="s">
        <v>357</v>
      </c>
      <c r="C239" s="305"/>
      <c r="D239" s="305"/>
      <c r="E239" s="305" t="s">
        <v>358</v>
      </c>
      <c r="F239" s="359">
        <f>+F241</f>
        <v>260000000</v>
      </c>
      <c r="G239" s="360">
        <f>+G240</f>
        <v>0</v>
      </c>
      <c r="H239" s="360">
        <f>+H240</f>
        <v>0</v>
      </c>
      <c r="I239" s="360">
        <f>+G239+H239</f>
        <v>0</v>
      </c>
      <c r="J239" s="360">
        <f>+J240</f>
        <v>0</v>
      </c>
      <c r="K239" s="360">
        <f>+K240</f>
        <v>0</v>
      </c>
      <c r="L239" s="360">
        <f>+J239+K239</f>
        <v>0</v>
      </c>
      <c r="M239" s="360">
        <f t="shared" ref="M239" si="143">+I239+L239</f>
        <v>0</v>
      </c>
      <c r="N239" s="359">
        <f t="shared" ref="N239:N245" si="144">+F239-M239</f>
        <v>260000000</v>
      </c>
      <c r="P239" s="361"/>
      <c r="R239" s="321"/>
      <c r="S239" s="362"/>
      <c r="T239" s="362"/>
      <c r="U239" s="350"/>
    </row>
    <row r="240" spans="1:21" s="319" customFormat="1" ht="18" customHeight="1" x14ac:dyDescent="0.25">
      <c r="A240" s="276">
        <v>11</v>
      </c>
      <c r="B240" s="305"/>
      <c r="C240" s="305" t="s">
        <v>119</v>
      </c>
      <c r="D240" s="363"/>
      <c r="E240" s="364" t="s">
        <v>120</v>
      </c>
      <c r="F240" s="307">
        <f>+F241</f>
        <v>260000000</v>
      </c>
      <c r="G240" s="308">
        <f>+G241</f>
        <v>0</v>
      </c>
      <c r="H240" s="308">
        <f>+H241</f>
        <v>0</v>
      </c>
      <c r="I240" s="308">
        <f>+G240+H240</f>
        <v>0</v>
      </c>
      <c r="J240" s="308">
        <f>+J241</f>
        <v>0</v>
      </c>
      <c r="K240" s="308">
        <f>+K241</f>
        <v>0</v>
      </c>
      <c r="L240" s="308">
        <f>+J240+K240</f>
        <v>0</v>
      </c>
      <c r="M240" s="308">
        <f>+I240+L240</f>
        <v>0</v>
      </c>
      <c r="N240" s="307">
        <f t="shared" si="144"/>
        <v>260000000</v>
      </c>
      <c r="P240" s="320"/>
      <c r="R240" s="321"/>
      <c r="S240" s="349"/>
      <c r="T240" s="349"/>
      <c r="U240" s="350"/>
    </row>
    <row r="241" spans="1:21" s="329" customFormat="1" ht="18" customHeight="1" x14ac:dyDescent="0.25">
      <c r="A241" s="323"/>
      <c r="B241" s="324"/>
      <c r="C241" s="324"/>
      <c r="D241" s="325" t="s">
        <v>267</v>
      </c>
      <c r="E241" s="326" t="s">
        <v>268</v>
      </c>
      <c r="F241" s="327">
        <f t="shared" ref="F241:H243" si="145">+F242</f>
        <v>260000000</v>
      </c>
      <c r="G241" s="328">
        <f>+G242</f>
        <v>0</v>
      </c>
      <c r="H241" s="328">
        <f t="shared" si="145"/>
        <v>0</v>
      </c>
      <c r="I241" s="328">
        <f t="shared" ref="I241:I245" si="146">+G241+H241</f>
        <v>0</v>
      </c>
      <c r="J241" s="328">
        <f>+J242</f>
        <v>0</v>
      </c>
      <c r="K241" s="328">
        <f t="shared" ref="K241:K243" si="147">+K242</f>
        <v>0</v>
      </c>
      <c r="L241" s="328">
        <f t="shared" ref="L241:L244" si="148">+J241+K241</f>
        <v>0</v>
      </c>
      <c r="M241" s="328">
        <f t="shared" ref="M241:M244" si="149">+I241+L241</f>
        <v>0</v>
      </c>
      <c r="N241" s="327">
        <f t="shared" si="144"/>
        <v>260000000</v>
      </c>
      <c r="P241" s="330"/>
      <c r="R241" s="331"/>
      <c r="S241" s="351"/>
      <c r="T241" s="351"/>
      <c r="U241" s="333"/>
    </row>
    <row r="242" spans="1:21" s="339" customFormat="1" ht="18" customHeight="1" x14ac:dyDescent="0.25">
      <c r="A242" s="334"/>
      <c r="B242" s="352"/>
      <c r="C242" s="334"/>
      <c r="D242" s="335" t="s">
        <v>78</v>
      </c>
      <c r="E242" s="335" t="s">
        <v>75</v>
      </c>
      <c r="F242" s="337">
        <f t="shared" si="145"/>
        <v>260000000</v>
      </c>
      <c r="G242" s="344">
        <f>+G243</f>
        <v>0</v>
      </c>
      <c r="H242" s="344">
        <f t="shared" si="145"/>
        <v>0</v>
      </c>
      <c r="I242" s="344">
        <f t="shared" si="146"/>
        <v>0</v>
      </c>
      <c r="J242" s="344">
        <f>+J243</f>
        <v>0</v>
      </c>
      <c r="K242" s="344">
        <f t="shared" si="147"/>
        <v>0</v>
      </c>
      <c r="L242" s="344">
        <f t="shared" si="148"/>
        <v>0</v>
      </c>
      <c r="M242" s="344">
        <f t="shared" si="149"/>
        <v>0</v>
      </c>
      <c r="N242" s="337">
        <f t="shared" si="144"/>
        <v>260000000</v>
      </c>
      <c r="P242" s="340"/>
      <c r="S242" s="347"/>
      <c r="T242" s="347"/>
      <c r="U242" s="342"/>
    </row>
    <row r="243" spans="1:21" s="339" customFormat="1" ht="18" customHeight="1" x14ac:dyDescent="0.25">
      <c r="A243" s="334"/>
      <c r="B243" s="335"/>
      <c r="C243" s="334"/>
      <c r="D243" s="365" t="s">
        <v>277</v>
      </c>
      <c r="E243" s="335" t="s">
        <v>278</v>
      </c>
      <c r="F243" s="337">
        <f t="shared" si="145"/>
        <v>260000000</v>
      </c>
      <c r="G243" s="344">
        <f>+G244</f>
        <v>0</v>
      </c>
      <c r="H243" s="344">
        <f t="shared" si="145"/>
        <v>0</v>
      </c>
      <c r="I243" s="344">
        <f t="shared" si="146"/>
        <v>0</v>
      </c>
      <c r="J243" s="344">
        <f>+J244</f>
        <v>0</v>
      </c>
      <c r="K243" s="344">
        <f t="shared" si="147"/>
        <v>0</v>
      </c>
      <c r="L243" s="344">
        <f t="shared" si="148"/>
        <v>0</v>
      </c>
      <c r="M243" s="344">
        <f t="shared" si="149"/>
        <v>0</v>
      </c>
      <c r="N243" s="337">
        <f t="shared" si="144"/>
        <v>260000000</v>
      </c>
      <c r="P243" s="340"/>
      <c r="S243" s="347"/>
      <c r="T243" s="347"/>
      <c r="U243" s="342"/>
    </row>
    <row r="244" spans="1:21" s="339" customFormat="1" ht="18" customHeight="1" x14ac:dyDescent="0.25">
      <c r="A244" s="334"/>
      <c r="B244" s="352"/>
      <c r="C244" s="334"/>
      <c r="D244" s="335" t="s">
        <v>121</v>
      </c>
      <c r="E244" s="335" t="s">
        <v>123</v>
      </c>
      <c r="F244" s="337">
        <f>F245</f>
        <v>260000000</v>
      </c>
      <c r="G244" s="344">
        <f>+G245</f>
        <v>0</v>
      </c>
      <c r="H244" s="344">
        <f>+H245</f>
        <v>0</v>
      </c>
      <c r="I244" s="344">
        <f t="shared" si="146"/>
        <v>0</v>
      </c>
      <c r="J244" s="344">
        <f>+J245</f>
        <v>0</v>
      </c>
      <c r="K244" s="344">
        <f>+K245</f>
        <v>0</v>
      </c>
      <c r="L244" s="344">
        <f t="shared" si="148"/>
        <v>0</v>
      </c>
      <c r="M244" s="344">
        <f t="shared" si="149"/>
        <v>0</v>
      </c>
      <c r="N244" s="337">
        <f t="shared" si="144"/>
        <v>260000000</v>
      </c>
      <c r="P244" s="340"/>
      <c r="S244" s="347"/>
      <c r="T244" s="347"/>
      <c r="U244" s="342"/>
    </row>
    <row r="245" spans="1:21" s="339" customFormat="1" ht="18" customHeight="1" x14ac:dyDescent="0.25">
      <c r="A245" s="334"/>
      <c r="B245" s="352"/>
      <c r="C245" s="334"/>
      <c r="D245" s="335" t="s">
        <v>122</v>
      </c>
      <c r="E245" s="335" t="s">
        <v>124</v>
      </c>
      <c r="F245" s="337">
        <v>260000000</v>
      </c>
      <c r="G245" s="344"/>
      <c r="H245" s="344"/>
      <c r="I245" s="344">
        <f t="shared" si="146"/>
        <v>0</v>
      </c>
      <c r="J245" s="344"/>
      <c r="K245" s="344"/>
      <c r="L245" s="344"/>
      <c r="M245" s="344">
        <f>+I245+L245</f>
        <v>0</v>
      </c>
      <c r="N245" s="337">
        <f t="shared" si="144"/>
        <v>260000000</v>
      </c>
      <c r="P245" s="340"/>
      <c r="S245" s="347"/>
      <c r="T245" s="347"/>
      <c r="U245" s="342"/>
    </row>
    <row r="246" spans="1:21" s="153" customFormat="1" ht="18" customHeight="1" x14ac:dyDescent="0.25">
      <c r="A246" s="353"/>
      <c r="B246" s="355"/>
      <c r="C246" s="355"/>
      <c r="D246" s="355"/>
      <c r="E246" s="355"/>
      <c r="F246" s="356"/>
      <c r="G246" s="357"/>
      <c r="H246" s="357"/>
      <c r="I246" s="357"/>
      <c r="J246" s="357"/>
      <c r="K246" s="357"/>
      <c r="L246" s="357"/>
      <c r="M246" s="357"/>
      <c r="N246" s="356"/>
      <c r="P246" s="200"/>
      <c r="S246" s="221"/>
      <c r="T246" s="221"/>
      <c r="U246" s="254"/>
    </row>
    <row r="247" spans="1:21" s="319" customFormat="1" ht="16.5" customHeight="1" x14ac:dyDescent="0.25">
      <c r="A247" s="276"/>
      <c r="B247" s="305" t="s">
        <v>359</v>
      </c>
      <c r="C247" s="305"/>
      <c r="D247" s="305"/>
      <c r="E247" s="305" t="s">
        <v>360</v>
      </c>
      <c r="F247" s="359">
        <f>+F248+F256+F269+F278</f>
        <v>39780847375</v>
      </c>
      <c r="G247" s="360">
        <f>+G248+G256+G269+G278</f>
        <v>6118421408</v>
      </c>
      <c r="H247" s="360">
        <f>+H248+H256+H269+H278</f>
        <v>3351475870</v>
      </c>
      <c r="I247" s="360">
        <f>+G247+H247</f>
        <v>9469897278</v>
      </c>
      <c r="J247" s="360">
        <f>+J248+J256+J269+J278</f>
        <v>207228889</v>
      </c>
      <c r="K247" s="360">
        <f>+K248+K256+K269+K278</f>
        <v>121492481</v>
      </c>
      <c r="L247" s="360">
        <f>+J247+K247</f>
        <v>328721370</v>
      </c>
      <c r="M247" s="308">
        <f t="shared" ref="M247" si="150">+I247+L247</f>
        <v>9798618648</v>
      </c>
      <c r="N247" s="359">
        <f t="shared" ref="N247:N255" si="151">+F247-M247</f>
        <v>29982228727</v>
      </c>
      <c r="P247" s="361"/>
      <c r="R247" s="321"/>
      <c r="S247" s="362"/>
      <c r="T247" s="362"/>
      <c r="U247" s="350"/>
    </row>
    <row r="248" spans="1:21" s="319" customFormat="1" ht="18" customHeight="1" x14ac:dyDescent="0.25">
      <c r="A248" s="276">
        <v>12</v>
      </c>
      <c r="B248" s="305"/>
      <c r="C248" s="305" t="s">
        <v>125</v>
      </c>
      <c r="D248" s="363"/>
      <c r="E248" s="364" t="s">
        <v>34</v>
      </c>
      <c r="F248" s="307">
        <f>+F249</f>
        <v>219414700</v>
      </c>
      <c r="G248" s="308">
        <f>+G249</f>
        <v>0</v>
      </c>
      <c r="H248" s="308">
        <f>+H249</f>
        <v>149879620</v>
      </c>
      <c r="I248" s="308">
        <f>+G248+H248</f>
        <v>149879620</v>
      </c>
      <c r="J248" s="308">
        <f>+J249</f>
        <v>2400000</v>
      </c>
      <c r="K248" s="308">
        <f>+K249</f>
        <v>7338375</v>
      </c>
      <c r="L248" s="308">
        <f>+J248+K248</f>
        <v>9738375</v>
      </c>
      <c r="M248" s="308">
        <f>+I248+L248</f>
        <v>159617995</v>
      </c>
      <c r="N248" s="307">
        <f t="shared" si="151"/>
        <v>59796705</v>
      </c>
      <c r="P248" s="320"/>
      <c r="R248" s="321"/>
      <c r="S248" s="349"/>
      <c r="T248" s="349"/>
      <c r="U248" s="350"/>
    </row>
    <row r="249" spans="1:21" s="329" customFormat="1" ht="18" customHeight="1" x14ac:dyDescent="0.25">
      <c r="A249" s="323"/>
      <c r="B249" s="324"/>
      <c r="C249" s="379"/>
      <c r="D249" s="325" t="s">
        <v>207</v>
      </c>
      <c r="E249" s="326" t="s">
        <v>262</v>
      </c>
      <c r="F249" s="327">
        <f t="shared" ref="F249:H251" si="152">+F250</f>
        <v>219414700</v>
      </c>
      <c r="G249" s="328">
        <f>+G250</f>
        <v>0</v>
      </c>
      <c r="H249" s="328">
        <f t="shared" si="152"/>
        <v>149879620</v>
      </c>
      <c r="I249" s="328">
        <f t="shared" ref="I249:I253" si="153">+G249+H249</f>
        <v>149879620</v>
      </c>
      <c r="J249" s="328">
        <f t="shared" ref="J249:K251" si="154">+J250</f>
        <v>2400000</v>
      </c>
      <c r="K249" s="328">
        <f t="shared" si="154"/>
        <v>7338375</v>
      </c>
      <c r="L249" s="328">
        <f t="shared" ref="L249:L251" si="155">+J249+K249</f>
        <v>9738375</v>
      </c>
      <c r="M249" s="328">
        <f t="shared" ref="M249:M252" si="156">+I249+L249</f>
        <v>159617995</v>
      </c>
      <c r="N249" s="327">
        <f t="shared" si="151"/>
        <v>59796705</v>
      </c>
      <c r="P249" s="330"/>
      <c r="R249" s="331"/>
      <c r="S249" s="351"/>
      <c r="T249" s="351"/>
      <c r="U249" s="333"/>
    </row>
    <row r="250" spans="1:21" s="339" customFormat="1" ht="18" customHeight="1" x14ac:dyDescent="0.25">
      <c r="A250" s="334"/>
      <c r="B250" s="352"/>
      <c r="C250" s="334"/>
      <c r="D250" s="335" t="s">
        <v>63</v>
      </c>
      <c r="E250" s="335" t="s">
        <v>30</v>
      </c>
      <c r="F250" s="337">
        <f t="shared" si="152"/>
        <v>219414700</v>
      </c>
      <c r="G250" s="344">
        <f>+G251</f>
        <v>0</v>
      </c>
      <c r="H250" s="344">
        <f t="shared" si="152"/>
        <v>149879620</v>
      </c>
      <c r="I250" s="344">
        <f t="shared" si="153"/>
        <v>149879620</v>
      </c>
      <c r="J250" s="344">
        <f t="shared" si="154"/>
        <v>2400000</v>
      </c>
      <c r="K250" s="344">
        <f t="shared" si="154"/>
        <v>7338375</v>
      </c>
      <c r="L250" s="344">
        <f t="shared" si="155"/>
        <v>9738375</v>
      </c>
      <c r="M250" s="344">
        <f t="shared" si="156"/>
        <v>159617995</v>
      </c>
      <c r="N250" s="337">
        <f t="shared" si="151"/>
        <v>59796705</v>
      </c>
      <c r="P250" s="340"/>
      <c r="S250" s="347"/>
      <c r="T250" s="347"/>
      <c r="U250" s="342"/>
    </row>
    <row r="251" spans="1:21" s="339" customFormat="1" ht="18" customHeight="1" x14ac:dyDescent="0.25">
      <c r="A251" s="334"/>
      <c r="B251" s="335"/>
      <c r="C251" s="334"/>
      <c r="D251" s="365" t="s">
        <v>263</v>
      </c>
      <c r="E251" s="335" t="s">
        <v>264</v>
      </c>
      <c r="F251" s="337">
        <f t="shared" si="152"/>
        <v>219414700</v>
      </c>
      <c r="G251" s="344">
        <f>+G252</f>
        <v>0</v>
      </c>
      <c r="H251" s="344">
        <f t="shared" si="152"/>
        <v>149879620</v>
      </c>
      <c r="I251" s="344">
        <f t="shared" si="153"/>
        <v>149879620</v>
      </c>
      <c r="J251" s="344">
        <f t="shared" si="154"/>
        <v>2400000</v>
      </c>
      <c r="K251" s="344">
        <f t="shared" si="154"/>
        <v>7338375</v>
      </c>
      <c r="L251" s="344">
        <f t="shared" si="155"/>
        <v>9738375</v>
      </c>
      <c r="M251" s="344">
        <f t="shared" si="156"/>
        <v>159617995</v>
      </c>
      <c r="N251" s="337">
        <f t="shared" si="151"/>
        <v>59796705</v>
      </c>
      <c r="P251" s="340"/>
      <c r="S251" s="347"/>
      <c r="T251" s="347"/>
      <c r="U251" s="342"/>
    </row>
    <row r="252" spans="1:21" s="339" customFormat="1" ht="18" customHeight="1" x14ac:dyDescent="0.25">
      <c r="A252" s="334"/>
      <c r="B252" s="352"/>
      <c r="C252" s="334"/>
      <c r="D252" s="335" t="s">
        <v>64</v>
      </c>
      <c r="E252" s="335" t="s">
        <v>65</v>
      </c>
      <c r="F252" s="337">
        <f>SUM(F253:F255)</f>
        <v>219414700</v>
      </c>
      <c r="G252" s="344">
        <f>SUM(G253:G255)</f>
        <v>0</v>
      </c>
      <c r="H252" s="344">
        <f>SUM(H253:H255)</f>
        <v>149879620</v>
      </c>
      <c r="I252" s="344">
        <f t="shared" si="153"/>
        <v>149879620</v>
      </c>
      <c r="J252" s="344">
        <f>SUM(J253:J255)</f>
        <v>2400000</v>
      </c>
      <c r="K252" s="344">
        <f>SUM(K253:K255)</f>
        <v>7338375</v>
      </c>
      <c r="L252" s="344">
        <f>+J252+K252</f>
        <v>9738375</v>
      </c>
      <c r="M252" s="344">
        <f t="shared" si="156"/>
        <v>159617995</v>
      </c>
      <c r="N252" s="337">
        <f t="shared" si="151"/>
        <v>59796705</v>
      </c>
      <c r="P252" s="340"/>
      <c r="S252" s="347"/>
      <c r="T252" s="347"/>
      <c r="U252" s="342"/>
    </row>
    <row r="253" spans="1:21" s="339" customFormat="1" ht="18" customHeight="1" x14ac:dyDescent="0.25">
      <c r="A253" s="334"/>
      <c r="B253" s="352"/>
      <c r="C253" s="334"/>
      <c r="D253" s="335" t="s">
        <v>337</v>
      </c>
      <c r="E253" s="335" t="s">
        <v>338</v>
      </c>
      <c r="F253" s="337">
        <v>875000</v>
      </c>
      <c r="G253" s="344"/>
      <c r="H253" s="344"/>
      <c r="I253" s="344">
        <f t="shared" si="153"/>
        <v>0</v>
      </c>
      <c r="J253" s="344"/>
      <c r="K253" s="344"/>
      <c r="L253" s="344">
        <f>+J253+K253</f>
        <v>0</v>
      </c>
      <c r="M253" s="344">
        <f>+I253+L253</f>
        <v>0</v>
      </c>
      <c r="N253" s="337">
        <f t="shared" si="151"/>
        <v>875000</v>
      </c>
      <c r="P253" s="340"/>
      <c r="S253" s="347"/>
      <c r="T253" s="347"/>
      <c r="U253" s="342"/>
    </row>
    <row r="254" spans="1:21" s="339" customFormat="1" ht="18" customHeight="1" x14ac:dyDescent="0.25">
      <c r="A254" s="334"/>
      <c r="B254" s="352"/>
      <c r="C254" s="334"/>
      <c r="D254" s="335" t="s">
        <v>68</v>
      </c>
      <c r="E254" s="335" t="s">
        <v>69</v>
      </c>
      <c r="F254" s="337">
        <v>182539700</v>
      </c>
      <c r="G254" s="344"/>
      <c r="H254" s="344">
        <v>149879620</v>
      </c>
      <c r="I254" s="344">
        <f>+G254+H254</f>
        <v>149879620</v>
      </c>
      <c r="J254" s="344"/>
      <c r="K254" s="344">
        <v>4938375</v>
      </c>
      <c r="L254" s="344">
        <f>+J254+K254</f>
        <v>4938375</v>
      </c>
      <c r="M254" s="344">
        <f>+I254+L254</f>
        <v>154817995</v>
      </c>
      <c r="N254" s="337">
        <f t="shared" si="151"/>
        <v>27721705</v>
      </c>
      <c r="P254" s="340"/>
      <c r="S254" s="346">
        <f>995625+973125+974250+995625+999750</f>
        <v>4938375</v>
      </c>
      <c r="T254" s="346">
        <v>149879620</v>
      </c>
      <c r="U254" s="342"/>
    </row>
    <row r="255" spans="1:21" s="153" customFormat="1" ht="18" customHeight="1" x14ac:dyDescent="0.25">
      <c r="A255" s="353"/>
      <c r="B255" s="387"/>
      <c r="C255" s="353"/>
      <c r="D255" s="355" t="s">
        <v>126</v>
      </c>
      <c r="E255" s="355" t="s">
        <v>127</v>
      </c>
      <c r="F255" s="356">
        <v>36000000</v>
      </c>
      <c r="G255" s="357">
        <v>0</v>
      </c>
      <c r="H255" s="357"/>
      <c r="I255" s="357">
        <f>+G255+H255</f>
        <v>0</v>
      </c>
      <c r="J255" s="357">
        <v>2400000</v>
      </c>
      <c r="K255" s="357">
        <v>2400000</v>
      </c>
      <c r="L255" s="357">
        <f>+J255+K255</f>
        <v>4800000</v>
      </c>
      <c r="M255" s="357">
        <f>+I255+L255</f>
        <v>4800000</v>
      </c>
      <c r="N255" s="356">
        <f t="shared" si="151"/>
        <v>31200000</v>
      </c>
      <c r="P255" s="200"/>
      <c r="S255" s="358">
        <f>600000+1800000</f>
        <v>2400000</v>
      </c>
      <c r="T255" s="221"/>
      <c r="U255" s="254"/>
    </row>
    <row r="256" spans="1:21" s="319" customFormat="1" ht="18" customHeight="1" x14ac:dyDescent="0.25">
      <c r="A256" s="276">
        <v>13</v>
      </c>
      <c r="B256" s="305"/>
      <c r="C256" s="305" t="s">
        <v>128</v>
      </c>
      <c r="D256" s="363"/>
      <c r="E256" s="364" t="s">
        <v>46</v>
      </c>
      <c r="F256" s="307">
        <f>+F257</f>
        <v>38400620000</v>
      </c>
      <c r="G256" s="308">
        <f>+G257</f>
        <v>6118421408</v>
      </c>
      <c r="H256" s="308">
        <f>+H257</f>
        <v>3047030520</v>
      </c>
      <c r="I256" s="308">
        <f>+G256+H256</f>
        <v>9165451928</v>
      </c>
      <c r="J256" s="308">
        <f>+J257</f>
        <v>48108889</v>
      </c>
      <c r="K256" s="308">
        <f>+K257</f>
        <v>27954106</v>
      </c>
      <c r="L256" s="308">
        <f>+J256+K256</f>
        <v>76062995</v>
      </c>
      <c r="M256" s="308">
        <f>+I256+L256</f>
        <v>9241514923</v>
      </c>
      <c r="N256" s="307">
        <f>+F256-M256</f>
        <v>29159105077</v>
      </c>
      <c r="P256" s="320"/>
      <c r="R256" s="321"/>
      <c r="S256" s="349"/>
      <c r="T256" s="349"/>
      <c r="U256" s="350"/>
    </row>
    <row r="257" spans="1:21" s="329" customFormat="1" ht="18" customHeight="1" x14ac:dyDescent="0.25">
      <c r="A257" s="323"/>
      <c r="B257" s="324"/>
      <c r="C257" s="379"/>
      <c r="D257" s="325" t="s">
        <v>207</v>
      </c>
      <c r="E257" s="326" t="s">
        <v>262</v>
      </c>
      <c r="F257" s="327">
        <f>+F258</f>
        <v>38400620000</v>
      </c>
      <c r="G257" s="328">
        <f>+G258</f>
        <v>6118421408</v>
      </c>
      <c r="H257" s="328">
        <f t="shared" ref="F257:H259" si="157">+H258</f>
        <v>3047030520</v>
      </c>
      <c r="I257" s="328">
        <f t="shared" ref="I257:I262" si="158">+G257+H257</f>
        <v>9165451928</v>
      </c>
      <c r="J257" s="328">
        <f t="shared" ref="J257:K259" si="159">+J258</f>
        <v>48108889</v>
      </c>
      <c r="K257" s="328">
        <f t="shared" si="159"/>
        <v>27954106</v>
      </c>
      <c r="L257" s="328">
        <f t="shared" ref="L257:L260" si="160">+J257+K257</f>
        <v>76062995</v>
      </c>
      <c r="M257" s="328">
        <f t="shared" ref="M257:M260" si="161">+I257+L257</f>
        <v>9241514923</v>
      </c>
      <c r="N257" s="327">
        <f>+F257-M257</f>
        <v>29159105077</v>
      </c>
      <c r="P257" s="330"/>
      <c r="R257" s="331"/>
      <c r="S257" s="351"/>
      <c r="T257" s="351"/>
      <c r="U257" s="333"/>
    </row>
    <row r="258" spans="1:21" s="339" customFormat="1" ht="18" customHeight="1" x14ac:dyDescent="0.25">
      <c r="A258" s="334"/>
      <c r="B258" s="352"/>
      <c r="C258" s="334"/>
      <c r="D258" s="335" t="s">
        <v>63</v>
      </c>
      <c r="E258" s="335" t="s">
        <v>30</v>
      </c>
      <c r="F258" s="337">
        <f>+F259+F262</f>
        <v>38400620000</v>
      </c>
      <c r="G258" s="344">
        <f>+G259+G262</f>
        <v>6118421408</v>
      </c>
      <c r="H258" s="344">
        <f>+H259+H262</f>
        <v>3047030520</v>
      </c>
      <c r="I258" s="344">
        <f t="shared" si="158"/>
        <v>9165451928</v>
      </c>
      <c r="J258" s="344">
        <f>+J259+J262</f>
        <v>48108889</v>
      </c>
      <c r="K258" s="344">
        <f>+K259+K262</f>
        <v>27954106</v>
      </c>
      <c r="L258" s="344">
        <f t="shared" si="160"/>
        <v>76062995</v>
      </c>
      <c r="M258" s="344">
        <f t="shared" si="161"/>
        <v>9241514923</v>
      </c>
      <c r="N258" s="337">
        <f>+F258-M258</f>
        <v>29159105077</v>
      </c>
      <c r="P258" s="340"/>
      <c r="S258" s="347"/>
      <c r="T258" s="347"/>
      <c r="U258" s="342"/>
    </row>
    <row r="259" spans="1:21" s="339" customFormat="1" ht="18" customHeight="1" x14ac:dyDescent="0.25">
      <c r="A259" s="334"/>
      <c r="B259" s="335"/>
      <c r="C259" s="334"/>
      <c r="D259" s="365" t="s">
        <v>263</v>
      </c>
      <c r="E259" s="335" t="s">
        <v>264</v>
      </c>
      <c r="F259" s="337">
        <f t="shared" si="157"/>
        <v>35000000</v>
      </c>
      <c r="G259" s="344">
        <f>+G260</f>
        <v>0</v>
      </c>
      <c r="H259" s="344">
        <f t="shared" si="157"/>
        <v>0</v>
      </c>
      <c r="I259" s="344">
        <f t="shared" si="158"/>
        <v>0</v>
      </c>
      <c r="J259" s="344">
        <f t="shared" si="159"/>
        <v>3000000</v>
      </c>
      <c r="K259" s="344">
        <f t="shared" si="159"/>
        <v>4269779</v>
      </c>
      <c r="L259" s="344">
        <f t="shared" si="160"/>
        <v>7269779</v>
      </c>
      <c r="M259" s="344">
        <f t="shared" si="161"/>
        <v>7269779</v>
      </c>
      <c r="N259" s="337">
        <f>+F259-M259</f>
        <v>27730221</v>
      </c>
      <c r="P259" s="340"/>
      <c r="S259" s="347"/>
      <c r="T259" s="347"/>
      <c r="U259" s="342"/>
    </row>
    <row r="260" spans="1:21" s="339" customFormat="1" ht="18" customHeight="1" x14ac:dyDescent="0.25">
      <c r="A260" s="334"/>
      <c r="B260" s="352"/>
      <c r="C260" s="334"/>
      <c r="D260" s="335" t="s">
        <v>64</v>
      </c>
      <c r="E260" s="335" t="s">
        <v>65</v>
      </c>
      <c r="F260" s="337">
        <f>+F261</f>
        <v>35000000</v>
      </c>
      <c r="G260" s="344">
        <f>+G261</f>
        <v>0</v>
      </c>
      <c r="H260" s="344">
        <f>+H261+H265</f>
        <v>0</v>
      </c>
      <c r="I260" s="344">
        <f t="shared" si="158"/>
        <v>0</v>
      </c>
      <c r="J260" s="344">
        <f>J261</f>
        <v>3000000</v>
      </c>
      <c r="K260" s="344">
        <f>+K261</f>
        <v>4269779</v>
      </c>
      <c r="L260" s="344">
        <f t="shared" si="160"/>
        <v>7269779</v>
      </c>
      <c r="M260" s="344">
        <f t="shared" si="161"/>
        <v>7269779</v>
      </c>
      <c r="N260" s="337">
        <f>+F260-M260</f>
        <v>27730221</v>
      </c>
      <c r="P260" s="340"/>
      <c r="S260" s="347"/>
      <c r="T260" s="347"/>
      <c r="U260" s="342"/>
    </row>
    <row r="261" spans="1:21" s="339" customFormat="1" ht="18" customHeight="1" x14ac:dyDescent="0.25">
      <c r="A261" s="334"/>
      <c r="B261" s="352"/>
      <c r="C261" s="334"/>
      <c r="D261" s="335" t="s">
        <v>129</v>
      </c>
      <c r="E261" s="335" t="s">
        <v>130</v>
      </c>
      <c r="F261" s="337">
        <v>35000000</v>
      </c>
      <c r="G261" s="344"/>
      <c r="H261" s="344"/>
      <c r="I261" s="344">
        <f t="shared" si="158"/>
        <v>0</v>
      </c>
      <c r="J261" s="344">
        <v>3000000</v>
      </c>
      <c r="K261" s="344">
        <v>4269779</v>
      </c>
      <c r="L261" s="344">
        <f>+J261+K261</f>
        <v>7269779</v>
      </c>
      <c r="M261" s="344">
        <f>+I261+L261</f>
        <v>7269779</v>
      </c>
      <c r="N261" s="337">
        <f t="shared" ref="N261" si="162">+F261-M261</f>
        <v>27730221</v>
      </c>
      <c r="P261" s="340"/>
      <c r="S261" s="346">
        <f>229799+2039980+2000000</f>
        <v>4269779</v>
      </c>
      <c r="T261" s="347"/>
      <c r="U261" s="342"/>
    </row>
    <row r="262" spans="1:21" s="339" customFormat="1" ht="18" customHeight="1" x14ac:dyDescent="0.25">
      <c r="A262" s="334"/>
      <c r="B262" s="335"/>
      <c r="C262" s="334"/>
      <c r="D262" s="365" t="s">
        <v>271</v>
      </c>
      <c r="E262" s="335" t="s">
        <v>272</v>
      </c>
      <c r="F262" s="337">
        <f t="shared" ref="F262:H262" si="163">+F263</f>
        <v>38365620000</v>
      </c>
      <c r="G262" s="344">
        <f>+G263</f>
        <v>6118421408</v>
      </c>
      <c r="H262" s="344">
        <f t="shared" si="163"/>
        <v>3047030520</v>
      </c>
      <c r="I262" s="344">
        <f t="shared" si="158"/>
        <v>9165451928</v>
      </c>
      <c r="J262" s="344">
        <f>+J263</f>
        <v>45108889</v>
      </c>
      <c r="K262" s="344">
        <f t="shared" ref="K262" si="164">+K263</f>
        <v>23684327</v>
      </c>
      <c r="L262" s="344">
        <f t="shared" ref="L262" si="165">+J262+K262</f>
        <v>68793216</v>
      </c>
      <c r="M262" s="344">
        <f t="shared" ref="M262:M263" si="166">+I262+L262</f>
        <v>9234245144</v>
      </c>
      <c r="N262" s="337">
        <f>+F262-M262</f>
        <v>29131374856</v>
      </c>
      <c r="P262" s="340"/>
      <c r="S262" s="347"/>
      <c r="T262" s="347"/>
      <c r="U262" s="342"/>
    </row>
    <row r="263" spans="1:21" s="339" customFormat="1" ht="18" customHeight="1" x14ac:dyDescent="0.25">
      <c r="A263" s="334"/>
      <c r="B263" s="352"/>
      <c r="C263" s="334"/>
      <c r="D263" s="335" t="s">
        <v>81</v>
      </c>
      <c r="E263" s="335" t="s">
        <v>31</v>
      </c>
      <c r="F263" s="337">
        <f>SUM(F264:F268)</f>
        <v>38365620000</v>
      </c>
      <c r="G263" s="344">
        <f>SUM(G264:G268)</f>
        <v>6118421408</v>
      </c>
      <c r="H263" s="344">
        <f>SUM(H264:H268)</f>
        <v>3047030520</v>
      </c>
      <c r="I263" s="344">
        <f>+G263+H263</f>
        <v>9165451928</v>
      </c>
      <c r="J263" s="344">
        <f>SUM(J264:J268)</f>
        <v>45108889</v>
      </c>
      <c r="K263" s="344">
        <f>SUM(K264:K268)</f>
        <v>23684327</v>
      </c>
      <c r="L263" s="344">
        <f>+J263+K263</f>
        <v>68793216</v>
      </c>
      <c r="M263" s="344">
        <f t="shared" si="166"/>
        <v>9234245144</v>
      </c>
      <c r="N263" s="337">
        <f>+F263-M263</f>
        <v>29131374856</v>
      </c>
      <c r="P263" s="340"/>
      <c r="S263" s="347"/>
      <c r="T263" s="347"/>
      <c r="U263" s="342"/>
    </row>
    <row r="264" spans="1:21" s="339" customFormat="1" ht="18" customHeight="1" x14ac:dyDescent="0.25">
      <c r="A264" s="334"/>
      <c r="B264" s="352"/>
      <c r="C264" s="334"/>
      <c r="D264" s="335" t="s">
        <v>131</v>
      </c>
      <c r="E264" s="335" t="s">
        <v>132</v>
      </c>
      <c r="F264" s="337">
        <v>16800000</v>
      </c>
      <c r="G264" s="344"/>
      <c r="H264" s="344"/>
      <c r="I264" s="344">
        <f t="shared" ref="I264:I268" si="167">+G264+H264</f>
        <v>0</v>
      </c>
      <c r="J264" s="344">
        <v>144552</v>
      </c>
      <c r="K264" s="344">
        <v>369835</v>
      </c>
      <c r="L264" s="344">
        <f>+J264+K264</f>
        <v>514387</v>
      </c>
      <c r="M264" s="344">
        <f>+I264+L264</f>
        <v>514387</v>
      </c>
      <c r="N264" s="337">
        <f t="shared" ref="N264:N268" si="168">+F264-M264</f>
        <v>16285613</v>
      </c>
      <c r="P264" s="340"/>
      <c r="S264" s="346">
        <f>122485+178636+68714</f>
        <v>369835</v>
      </c>
      <c r="T264" s="347"/>
      <c r="U264" s="342"/>
    </row>
    <row r="265" spans="1:21" s="339" customFormat="1" ht="18" customHeight="1" x14ac:dyDescent="0.25">
      <c r="A265" s="334"/>
      <c r="B265" s="352"/>
      <c r="C265" s="334"/>
      <c r="D265" s="335" t="s">
        <v>133</v>
      </c>
      <c r="E265" s="335" t="s">
        <v>134</v>
      </c>
      <c r="F265" s="337">
        <v>42000000</v>
      </c>
      <c r="G265" s="344">
        <v>0</v>
      </c>
      <c r="H265" s="344"/>
      <c r="I265" s="344">
        <f t="shared" si="167"/>
        <v>0</v>
      </c>
      <c r="J265" s="344">
        <v>4739800</v>
      </c>
      <c r="K265" s="344">
        <f>2464400</f>
        <v>2464400</v>
      </c>
      <c r="L265" s="344">
        <f>+J265+K265</f>
        <v>7204200</v>
      </c>
      <c r="M265" s="344">
        <f>+I265+L265</f>
        <v>7204200</v>
      </c>
      <c r="N265" s="337">
        <f t="shared" si="168"/>
        <v>34795800</v>
      </c>
      <c r="P265" s="340"/>
      <c r="S265" s="346">
        <v>2464400</v>
      </c>
      <c r="T265" s="347"/>
      <c r="U265" s="342"/>
    </row>
    <row r="266" spans="1:21" s="339" customFormat="1" ht="18" customHeight="1" x14ac:dyDescent="0.25">
      <c r="A266" s="334"/>
      <c r="B266" s="352"/>
      <c r="C266" s="334"/>
      <c r="D266" s="335" t="s">
        <v>135</v>
      </c>
      <c r="E266" s="335" t="s">
        <v>136</v>
      </c>
      <c r="F266" s="337">
        <v>37992800000</v>
      </c>
      <c r="G266" s="344">
        <v>6118421408</v>
      </c>
      <c r="H266" s="344">
        <f>29630768+3017399752</f>
        <v>3047030520</v>
      </c>
      <c r="I266" s="344">
        <f t="shared" si="167"/>
        <v>9165451928</v>
      </c>
      <c r="J266" s="344">
        <v>0</v>
      </c>
      <c r="K266" s="344">
        <v>64183</v>
      </c>
      <c r="L266" s="344">
        <f>+J266+K266</f>
        <v>64183</v>
      </c>
      <c r="M266" s="344">
        <f>+I266+L266</f>
        <v>9165516111</v>
      </c>
      <c r="N266" s="337">
        <f t="shared" si="168"/>
        <v>28827283889</v>
      </c>
      <c r="P266" s="340"/>
      <c r="S266" s="346">
        <f>64183</f>
        <v>64183</v>
      </c>
      <c r="T266" s="346">
        <f>29630768+3017399752</f>
        <v>3047030520</v>
      </c>
      <c r="U266" s="342"/>
    </row>
    <row r="267" spans="1:21" s="339" customFormat="1" ht="18" customHeight="1" x14ac:dyDescent="0.25">
      <c r="A267" s="334"/>
      <c r="B267" s="352"/>
      <c r="C267" s="334"/>
      <c r="D267" s="335" t="s">
        <v>137</v>
      </c>
      <c r="E267" s="335" t="s">
        <v>138</v>
      </c>
      <c r="F267" s="337">
        <v>12820000</v>
      </c>
      <c r="G267" s="344"/>
      <c r="H267" s="344"/>
      <c r="I267" s="344">
        <f t="shared" si="167"/>
        <v>0</v>
      </c>
      <c r="J267" s="344">
        <v>460000</v>
      </c>
      <c r="K267" s="344">
        <f>230000+600000</f>
        <v>830000</v>
      </c>
      <c r="L267" s="344">
        <f t="shared" ref="L267:L272" si="169">+J267+K267</f>
        <v>1290000</v>
      </c>
      <c r="M267" s="344">
        <f t="shared" ref="M267:M268" si="170">+I267+L267</f>
        <v>1290000</v>
      </c>
      <c r="N267" s="337">
        <f t="shared" si="168"/>
        <v>11530000</v>
      </c>
      <c r="P267" s="340"/>
      <c r="S267" s="346">
        <f>600000+230000</f>
        <v>830000</v>
      </c>
      <c r="T267" s="347"/>
      <c r="U267" s="342"/>
    </row>
    <row r="268" spans="1:21" s="339" customFormat="1" ht="18" customHeight="1" x14ac:dyDescent="0.25">
      <c r="A268" s="334"/>
      <c r="B268" s="352"/>
      <c r="C268" s="334"/>
      <c r="D268" s="335" t="s">
        <v>139</v>
      </c>
      <c r="E268" s="335" t="s">
        <v>140</v>
      </c>
      <c r="F268" s="337">
        <v>301200000</v>
      </c>
      <c r="G268" s="344"/>
      <c r="H268" s="344"/>
      <c r="I268" s="344">
        <f t="shared" si="167"/>
        <v>0</v>
      </c>
      <c r="J268" s="344">
        <v>39764537</v>
      </c>
      <c r="K268" s="344">
        <f>105909+19850000</f>
        <v>19955909</v>
      </c>
      <c r="L268" s="344">
        <f t="shared" si="169"/>
        <v>59720446</v>
      </c>
      <c r="M268" s="344">
        <f t="shared" si="170"/>
        <v>59720446</v>
      </c>
      <c r="N268" s="337">
        <f t="shared" si="168"/>
        <v>241479554</v>
      </c>
      <c r="P268" s="340"/>
      <c r="S268" s="346">
        <f>19850000+105909</f>
        <v>19955909</v>
      </c>
      <c r="T268" s="347"/>
      <c r="U268" s="342"/>
    </row>
    <row r="269" spans="1:21" s="319" customFormat="1" ht="18" customHeight="1" x14ac:dyDescent="0.25">
      <c r="A269" s="276">
        <v>14</v>
      </c>
      <c r="B269" s="305"/>
      <c r="C269" s="305" t="s">
        <v>141</v>
      </c>
      <c r="D269" s="363"/>
      <c r="E269" s="364" t="s">
        <v>142</v>
      </c>
      <c r="F269" s="307">
        <f>+F270</f>
        <v>100000000</v>
      </c>
      <c r="G269" s="308">
        <f>+G270</f>
        <v>0</v>
      </c>
      <c r="H269" s="308">
        <f>+H270</f>
        <v>99545055</v>
      </c>
      <c r="I269" s="308">
        <f>+G269+H269</f>
        <v>99545055</v>
      </c>
      <c r="J269" s="308">
        <f>+J270</f>
        <v>0</v>
      </c>
      <c r="K269" s="308">
        <f>+K270</f>
        <v>0</v>
      </c>
      <c r="L269" s="308">
        <f t="shared" si="169"/>
        <v>0</v>
      </c>
      <c r="M269" s="308">
        <f>+I269+L269</f>
        <v>99545055</v>
      </c>
      <c r="N269" s="307">
        <f>+F269-M269</f>
        <v>454945</v>
      </c>
      <c r="P269" s="320"/>
      <c r="R269" s="321"/>
      <c r="S269" s="349"/>
      <c r="T269" s="349"/>
      <c r="U269" s="350"/>
    </row>
    <row r="270" spans="1:21" s="329" customFormat="1" ht="16.5" customHeight="1" x14ac:dyDescent="0.25">
      <c r="A270" s="323"/>
      <c r="B270" s="324"/>
      <c r="C270" s="324"/>
      <c r="D270" s="325" t="s">
        <v>207</v>
      </c>
      <c r="E270" s="326" t="s">
        <v>262</v>
      </c>
      <c r="F270" s="327">
        <f>+F271</f>
        <v>100000000</v>
      </c>
      <c r="G270" s="328">
        <f>+G271</f>
        <v>0</v>
      </c>
      <c r="H270" s="328">
        <f t="shared" ref="F270:H272" si="171">+H271</f>
        <v>99545055</v>
      </c>
      <c r="I270" s="328">
        <f t="shared" ref="I270:I276" si="172">+G270+H270</f>
        <v>99545055</v>
      </c>
      <c r="J270" s="328">
        <f t="shared" ref="J270:J272" si="173">+J271</f>
        <v>0</v>
      </c>
      <c r="K270" s="328">
        <f>+K271</f>
        <v>0</v>
      </c>
      <c r="L270" s="328">
        <f t="shared" si="169"/>
        <v>0</v>
      </c>
      <c r="M270" s="328">
        <f t="shared" ref="M270:M273" si="174">+I270+L270</f>
        <v>99545055</v>
      </c>
      <c r="N270" s="327">
        <f>+F270-M270</f>
        <v>454945</v>
      </c>
      <c r="P270" s="330"/>
      <c r="R270" s="331"/>
      <c r="S270" s="351"/>
      <c r="T270" s="351"/>
      <c r="U270" s="333"/>
    </row>
    <row r="271" spans="1:21" s="339" customFormat="1" ht="16.5" customHeight="1" x14ac:dyDescent="0.25">
      <c r="A271" s="334"/>
      <c r="B271" s="352"/>
      <c r="C271" s="334"/>
      <c r="D271" s="335" t="s">
        <v>63</v>
      </c>
      <c r="E271" s="335" t="s">
        <v>30</v>
      </c>
      <c r="F271" s="337">
        <f>F272</f>
        <v>100000000</v>
      </c>
      <c r="G271" s="344">
        <f>+G272</f>
        <v>0</v>
      </c>
      <c r="H271" s="344">
        <f t="shared" si="171"/>
        <v>99545055</v>
      </c>
      <c r="I271" s="344">
        <f t="shared" si="172"/>
        <v>99545055</v>
      </c>
      <c r="J271" s="344">
        <f t="shared" si="173"/>
        <v>0</v>
      </c>
      <c r="K271" s="344">
        <f>+K272</f>
        <v>0</v>
      </c>
      <c r="L271" s="344">
        <f t="shared" si="169"/>
        <v>0</v>
      </c>
      <c r="M271" s="344">
        <f t="shared" si="174"/>
        <v>99545055</v>
      </c>
      <c r="N271" s="337">
        <f>+F271-M271</f>
        <v>454945</v>
      </c>
      <c r="P271" s="340"/>
      <c r="S271" s="347"/>
      <c r="T271" s="347"/>
      <c r="U271" s="342"/>
    </row>
    <row r="272" spans="1:21" s="339" customFormat="1" ht="16.5" customHeight="1" x14ac:dyDescent="0.25">
      <c r="A272" s="334"/>
      <c r="B272" s="335"/>
      <c r="C272" s="334"/>
      <c r="D272" s="365" t="s">
        <v>263</v>
      </c>
      <c r="E272" s="335" t="s">
        <v>264</v>
      </c>
      <c r="F272" s="337">
        <f t="shared" si="171"/>
        <v>100000000</v>
      </c>
      <c r="G272" s="344">
        <f>+G273</f>
        <v>0</v>
      </c>
      <c r="H272" s="344">
        <f t="shared" si="171"/>
        <v>99545055</v>
      </c>
      <c r="I272" s="344">
        <f t="shared" si="172"/>
        <v>99545055</v>
      </c>
      <c r="J272" s="344">
        <f t="shared" si="173"/>
        <v>0</v>
      </c>
      <c r="K272" s="344">
        <f>+K273</f>
        <v>0</v>
      </c>
      <c r="L272" s="344">
        <f t="shared" si="169"/>
        <v>0</v>
      </c>
      <c r="M272" s="344">
        <f t="shared" si="174"/>
        <v>99545055</v>
      </c>
      <c r="N272" s="337">
        <f>+F272-M272</f>
        <v>454945</v>
      </c>
      <c r="P272" s="340"/>
      <c r="S272" s="347"/>
      <c r="T272" s="347"/>
      <c r="U272" s="342"/>
    </row>
    <row r="273" spans="1:21" s="339" customFormat="1" ht="16.5" customHeight="1" x14ac:dyDescent="0.25">
      <c r="A273" s="334"/>
      <c r="B273" s="352"/>
      <c r="C273" s="334"/>
      <c r="D273" s="335" t="s">
        <v>64</v>
      </c>
      <c r="E273" s="335" t="s">
        <v>65</v>
      </c>
      <c r="F273" s="337">
        <f>SUM(F274:F277)</f>
        <v>100000000</v>
      </c>
      <c r="G273" s="344">
        <f>SUM(G274:G277)</f>
        <v>0</v>
      </c>
      <c r="H273" s="344">
        <f>SUM(H274:H277)</f>
        <v>99545055</v>
      </c>
      <c r="I273" s="344">
        <f>+G273+H273</f>
        <v>99545055</v>
      </c>
      <c r="J273" s="344">
        <f>SUM(J274:J277)</f>
        <v>0</v>
      </c>
      <c r="K273" s="344">
        <f>SUM(K274:K277)</f>
        <v>0</v>
      </c>
      <c r="L273" s="344">
        <f>+J273+K273</f>
        <v>0</v>
      </c>
      <c r="M273" s="344">
        <f t="shared" si="174"/>
        <v>99545055</v>
      </c>
      <c r="N273" s="337">
        <f>+F273-M273</f>
        <v>454945</v>
      </c>
      <c r="P273" s="340"/>
      <c r="S273" s="347"/>
      <c r="T273" s="347"/>
      <c r="U273" s="342"/>
    </row>
    <row r="274" spans="1:21" s="339" customFormat="1" ht="16.5" customHeight="1" x14ac:dyDescent="0.25">
      <c r="A274" s="334"/>
      <c r="B274" s="352"/>
      <c r="C274" s="334"/>
      <c r="D274" s="335" t="s">
        <v>66</v>
      </c>
      <c r="E274" s="335" t="s">
        <v>67</v>
      </c>
      <c r="F274" s="337">
        <v>57982150</v>
      </c>
      <c r="G274" s="344"/>
      <c r="H274" s="344">
        <f>57659915</f>
        <v>57659915</v>
      </c>
      <c r="I274" s="344">
        <f t="shared" si="172"/>
        <v>57659915</v>
      </c>
      <c r="J274" s="344"/>
      <c r="K274" s="344"/>
      <c r="L274" s="344">
        <f>+J274+K274</f>
        <v>0</v>
      </c>
      <c r="M274" s="344">
        <f>+I274+L274</f>
        <v>57659915</v>
      </c>
      <c r="N274" s="337">
        <f t="shared" ref="N274:N277" si="175">+F274-M274</f>
        <v>322235</v>
      </c>
      <c r="P274" s="340"/>
      <c r="S274" s="347"/>
      <c r="T274" s="346">
        <v>57659915</v>
      </c>
      <c r="U274" s="342"/>
    </row>
    <row r="275" spans="1:21" s="339" customFormat="1" ht="18" customHeight="1" x14ac:dyDescent="0.25">
      <c r="A275" s="334"/>
      <c r="B275" s="352"/>
      <c r="C275" s="334"/>
      <c r="D275" s="335" t="s">
        <v>337</v>
      </c>
      <c r="E275" s="335" t="s">
        <v>338</v>
      </c>
      <c r="F275" s="337">
        <v>29743300</v>
      </c>
      <c r="G275" s="344"/>
      <c r="H275" s="344">
        <v>29686975</v>
      </c>
      <c r="I275" s="344">
        <f t="shared" si="172"/>
        <v>29686975</v>
      </c>
      <c r="J275" s="344"/>
      <c r="K275" s="344"/>
      <c r="L275" s="344"/>
      <c r="M275" s="344">
        <f t="shared" ref="M275:M276" si="176">+I275+L275</f>
        <v>29686975</v>
      </c>
      <c r="N275" s="337">
        <f t="shared" si="175"/>
        <v>56325</v>
      </c>
      <c r="P275" s="340"/>
      <c r="S275" s="347"/>
      <c r="T275" s="346">
        <v>29686975</v>
      </c>
      <c r="U275" s="342"/>
    </row>
    <row r="276" spans="1:21" s="339" customFormat="1" ht="18" customHeight="1" x14ac:dyDescent="0.25">
      <c r="A276" s="334"/>
      <c r="B276" s="352"/>
      <c r="C276" s="334"/>
      <c r="D276" s="335" t="s">
        <v>339</v>
      </c>
      <c r="E276" s="335" t="s">
        <v>340</v>
      </c>
      <c r="F276" s="337">
        <v>8842500</v>
      </c>
      <c r="G276" s="344"/>
      <c r="H276" s="344">
        <v>8822700</v>
      </c>
      <c r="I276" s="344">
        <f t="shared" si="172"/>
        <v>8822700</v>
      </c>
      <c r="J276" s="344"/>
      <c r="K276" s="344"/>
      <c r="L276" s="344"/>
      <c r="M276" s="344">
        <f t="shared" si="176"/>
        <v>8822700</v>
      </c>
      <c r="N276" s="337">
        <f t="shared" si="175"/>
        <v>19800</v>
      </c>
      <c r="P276" s="340"/>
      <c r="S276" s="347"/>
      <c r="T276" s="346">
        <v>8822700</v>
      </c>
      <c r="U276" s="342"/>
    </row>
    <row r="277" spans="1:21" s="153" customFormat="1" ht="18" customHeight="1" x14ac:dyDescent="0.25">
      <c r="A277" s="353"/>
      <c r="B277" s="387"/>
      <c r="C277" s="353"/>
      <c r="D277" s="355" t="s">
        <v>361</v>
      </c>
      <c r="E277" s="355" t="s">
        <v>362</v>
      </c>
      <c r="F277" s="356">
        <v>3432050</v>
      </c>
      <c r="G277" s="357"/>
      <c r="H277" s="357">
        <v>3375465</v>
      </c>
      <c r="I277" s="357">
        <f>+G277+H277</f>
        <v>3375465</v>
      </c>
      <c r="J277" s="357"/>
      <c r="K277" s="357"/>
      <c r="L277" s="357">
        <f>+J277+K277</f>
        <v>0</v>
      </c>
      <c r="M277" s="357">
        <f>+I277+L277</f>
        <v>3375465</v>
      </c>
      <c r="N277" s="356">
        <f t="shared" si="175"/>
        <v>56585</v>
      </c>
      <c r="P277" s="200"/>
      <c r="S277" s="221"/>
      <c r="T277" s="358">
        <v>3375465</v>
      </c>
      <c r="U277" s="254"/>
    </row>
    <row r="278" spans="1:21" s="319" customFormat="1" ht="18" customHeight="1" x14ac:dyDescent="0.25">
      <c r="A278" s="275">
        <v>15</v>
      </c>
      <c r="B278" s="305"/>
      <c r="C278" s="305" t="s">
        <v>363</v>
      </c>
      <c r="D278" s="363"/>
      <c r="E278" s="364" t="s">
        <v>364</v>
      </c>
      <c r="F278" s="307">
        <f t="shared" ref="F278:H279" si="177">+F279</f>
        <v>1060812675</v>
      </c>
      <c r="G278" s="308">
        <f t="shared" si="177"/>
        <v>0</v>
      </c>
      <c r="H278" s="308">
        <f t="shared" si="177"/>
        <v>55020675</v>
      </c>
      <c r="I278" s="308">
        <f>+G278+H278</f>
        <v>55020675</v>
      </c>
      <c r="J278" s="308">
        <f>+J279</f>
        <v>156720000</v>
      </c>
      <c r="K278" s="308">
        <f>+K279</f>
        <v>86200000</v>
      </c>
      <c r="L278" s="308">
        <f>+J278+K278</f>
        <v>242920000</v>
      </c>
      <c r="M278" s="308">
        <f>+I278+L278</f>
        <v>297940675</v>
      </c>
      <c r="N278" s="307">
        <f>+F278-M278</f>
        <v>762872000</v>
      </c>
      <c r="P278" s="320"/>
      <c r="R278" s="321"/>
      <c r="S278" s="349"/>
      <c r="T278" s="349"/>
      <c r="U278" s="350"/>
    </row>
    <row r="279" spans="1:21" s="329" customFormat="1" ht="18" customHeight="1" x14ac:dyDescent="0.25">
      <c r="A279" s="323"/>
      <c r="B279" s="324"/>
      <c r="C279" s="324"/>
      <c r="D279" s="325" t="s">
        <v>207</v>
      </c>
      <c r="E279" s="326" t="s">
        <v>262</v>
      </c>
      <c r="F279" s="327">
        <f t="shared" si="177"/>
        <v>1060812675</v>
      </c>
      <c r="G279" s="328">
        <f t="shared" si="177"/>
        <v>0</v>
      </c>
      <c r="H279" s="328">
        <f t="shared" si="177"/>
        <v>55020675</v>
      </c>
      <c r="I279" s="328">
        <f t="shared" ref="I279:I283" si="178">+G279+H279</f>
        <v>55020675</v>
      </c>
      <c r="J279" s="328">
        <f>+J280</f>
        <v>156720000</v>
      </c>
      <c r="K279" s="328">
        <f>+K280</f>
        <v>86200000</v>
      </c>
      <c r="L279" s="328">
        <f t="shared" ref="L279:L281" si="179">+J279+K279</f>
        <v>242920000</v>
      </c>
      <c r="M279" s="328">
        <f t="shared" ref="M279:M282" si="180">+I279+L279</f>
        <v>297940675</v>
      </c>
      <c r="N279" s="327">
        <f>+F279-M279</f>
        <v>762872000</v>
      </c>
      <c r="P279" s="330"/>
      <c r="R279" s="331"/>
      <c r="S279" s="351"/>
      <c r="T279" s="351"/>
      <c r="U279" s="333"/>
    </row>
    <row r="280" spans="1:21" s="339" customFormat="1" ht="18" customHeight="1" x14ac:dyDescent="0.25">
      <c r="A280" s="334"/>
      <c r="B280" s="352"/>
      <c r="C280" s="334"/>
      <c r="D280" s="335" t="s">
        <v>63</v>
      </c>
      <c r="E280" s="335" t="s">
        <v>30</v>
      </c>
      <c r="F280" s="337">
        <f>+F281+F291</f>
        <v>1060812675</v>
      </c>
      <c r="G280" s="344">
        <f>+G281+G291</f>
        <v>0</v>
      </c>
      <c r="H280" s="344">
        <f>+H281+H291</f>
        <v>55020675</v>
      </c>
      <c r="I280" s="344">
        <f t="shared" si="178"/>
        <v>55020675</v>
      </c>
      <c r="J280" s="344">
        <f>+J281+J291</f>
        <v>156720000</v>
      </c>
      <c r="K280" s="344">
        <f>+K281+K291</f>
        <v>86200000</v>
      </c>
      <c r="L280" s="344">
        <f t="shared" si="179"/>
        <v>242920000</v>
      </c>
      <c r="M280" s="344">
        <f t="shared" si="180"/>
        <v>297940675</v>
      </c>
      <c r="N280" s="337">
        <f>+F280-M280</f>
        <v>762872000</v>
      </c>
      <c r="P280" s="340"/>
      <c r="S280" s="347"/>
      <c r="T280" s="347"/>
      <c r="U280" s="342"/>
    </row>
    <row r="281" spans="1:21" s="339" customFormat="1" ht="18" customHeight="1" x14ac:dyDescent="0.25">
      <c r="A281" s="334"/>
      <c r="B281" s="335"/>
      <c r="C281" s="334"/>
      <c r="D281" s="365" t="s">
        <v>263</v>
      </c>
      <c r="E281" s="335" t="s">
        <v>264</v>
      </c>
      <c r="F281" s="337">
        <f>+F282</f>
        <v>105412675</v>
      </c>
      <c r="G281" s="344">
        <f t="shared" ref="G281:J281" si="181">+G282</f>
        <v>0</v>
      </c>
      <c r="H281" s="344">
        <f>+H282</f>
        <v>55020675</v>
      </c>
      <c r="I281" s="344">
        <f t="shared" si="178"/>
        <v>55020675</v>
      </c>
      <c r="J281" s="344">
        <f t="shared" si="181"/>
        <v>0</v>
      </c>
      <c r="K281" s="344">
        <f>+K282</f>
        <v>0</v>
      </c>
      <c r="L281" s="344">
        <f t="shared" si="179"/>
        <v>0</v>
      </c>
      <c r="M281" s="344">
        <f t="shared" si="180"/>
        <v>55020675</v>
      </c>
      <c r="N281" s="337">
        <f>+F281-M281</f>
        <v>50392000</v>
      </c>
      <c r="P281" s="340"/>
      <c r="S281" s="347"/>
      <c r="T281" s="347"/>
      <c r="U281" s="342"/>
    </row>
    <row r="282" spans="1:21" s="339" customFormat="1" ht="18" customHeight="1" x14ac:dyDescent="0.25">
      <c r="A282" s="334"/>
      <c r="B282" s="352"/>
      <c r="C282" s="334"/>
      <c r="D282" s="335" t="s">
        <v>64</v>
      </c>
      <c r="E282" s="335" t="s">
        <v>65</v>
      </c>
      <c r="F282" s="337">
        <f>SUM(F283:F290)</f>
        <v>105412675</v>
      </c>
      <c r="G282" s="344">
        <f>SUM(G283:G290)</f>
        <v>0</v>
      </c>
      <c r="H282" s="344">
        <f>SUM(H283:H290)</f>
        <v>55020675</v>
      </c>
      <c r="I282" s="344">
        <f>+G282+H282</f>
        <v>55020675</v>
      </c>
      <c r="J282" s="344">
        <f>SUM(J283:J290)</f>
        <v>0</v>
      </c>
      <c r="K282" s="344">
        <f>SUM(K283:K290)</f>
        <v>0</v>
      </c>
      <c r="L282" s="344">
        <f>+J282+K282</f>
        <v>0</v>
      </c>
      <c r="M282" s="344">
        <f t="shared" si="180"/>
        <v>55020675</v>
      </c>
      <c r="N282" s="337">
        <f>+F282-M282</f>
        <v>50392000</v>
      </c>
      <c r="P282" s="340"/>
      <c r="S282" s="347"/>
      <c r="T282" s="347"/>
      <c r="U282" s="342"/>
    </row>
    <row r="283" spans="1:21" s="339" customFormat="1" ht="18" customHeight="1" x14ac:dyDescent="0.25">
      <c r="A283" s="366"/>
      <c r="C283" s="366"/>
      <c r="D283" s="367" t="s">
        <v>365</v>
      </c>
      <c r="E283" s="367" t="s">
        <v>366</v>
      </c>
      <c r="F283" s="370">
        <v>9228650</v>
      </c>
      <c r="G283" s="371"/>
      <c r="H283" s="371"/>
      <c r="I283" s="371">
        <f t="shared" si="178"/>
        <v>0</v>
      </c>
      <c r="J283" s="371"/>
      <c r="K283" s="371"/>
      <c r="L283" s="371">
        <f>+J283+K283</f>
        <v>0</v>
      </c>
      <c r="M283" s="371">
        <f>+I283+L283</f>
        <v>0</v>
      </c>
      <c r="N283" s="370">
        <f t="shared" ref="N283:N290" si="182">+F283-M283</f>
        <v>9228650</v>
      </c>
      <c r="P283" s="340"/>
      <c r="S283" s="347"/>
      <c r="T283" s="347"/>
      <c r="U283" s="342"/>
    </row>
    <row r="284" spans="1:21" s="339" customFormat="1" ht="18" customHeight="1" x14ac:dyDescent="0.25">
      <c r="A284" s="366"/>
      <c r="C284" s="366"/>
      <c r="D284" s="367" t="s">
        <v>66</v>
      </c>
      <c r="E284" s="367" t="s">
        <v>67</v>
      </c>
      <c r="F284" s="370">
        <v>4831925</v>
      </c>
      <c r="G284" s="371"/>
      <c r="H284" s="371"/>
      <c r="I284" s="371"/>
      <c r="J284" s="371"/>
      <c r="K284" s="371"/>
      <c r="L284" s="371">
        <f t="shared" ref="L284:L296" si="183">+J284+K284</f>
        <v>0</v>
      </c>
      <c r="M284" s="371">
        <f t="shared" ref="M284:M292" si="184">+I284+L284</f>
        <v>0</v>
      </c>
      <c r="N284" s="370">
        <f t="shared" si="182"/>
        <v>4831925</v>
      </c>
      <c r="P284" s="340"/>
      <c r="S284" s="347"/>
      <c r="T284" s="347"/>
      <c r="U284" s="342"/>
    </row>
    <row r="285" spans="1:21" s="339" customFormat="1" ht="18" customHeight="1" x14ac:dyDescent="0.25">
      <c r="A285" s="366"/>
      <c r="C285" s="366"/>
      <c r="D285" s="367" t="s">
        <v>337</v>
      </c>
      <c r="E285" s="367" t="s">
        <v>338</v>
      </c>
      <c r="F285" s="370">
        <v>18985000</v>
      </c>
      <c r="G285" s="371"/>
      <c r="H285" s="371"/>
      <c r="I285" s="371"/>
      <c r="J285" s="371"/>
      <c r="K285" s="371"/>
      <c r="L285" s="371">
        <f t="shared" si="183"/>
        <v>0</v>
      </c>
      <c r="M285" s="371">
        <f t="shared" si="184"/>
        <v>0</v>
      </c>
      <c r="N285" s="370">
        <f t="shared" si="182"/>
        <v>18985000</v>
      </c>
      <c r="P285" s="340"/>
      <c r="S285" s="347"/>
      <c r="T285" s="347"/>
      <c r="U285" s="342"/>
    </row>
    <row r="286" spans="1:21" s="339" customFormat="1" ht="18" customHeight="1" x14ac:dyDescent="0.25">
      <c r="A286" s="366"/>
      <c r="C286" s="366"/>
      <c r="D286" s="367" t="s">
        <v>339</v>
      </c>
      <c r="E286" s="367" t="s">
        <v>340</v>
      </c>
      <c r="F286" s="370">
        <v>2175000</v>
      </c>
      <c r="G286" s="371"/>
      <c r="H286" s="371"/>
      <c r="I286" s="371"/>
      <c r="J286" s="371"/>
      <c r="K286" s="371"/>
      <c r="L286" s="371">
        <f t="shared" si="183"/>
        <v>0</v>
      </c>
      <c r="M286" s="371">
        <f t="shared" si="184"/>
        <v>0</v>
      </c>
      <c r="N286" s="370">
        <f t="shared" si="182"/>
        <v>2175000</v>
      </c>
      <c r="P286" s="340"/>
      <c r="S286" s="347"/>
      <c r="T286" s="347"/>
      <c r="U286" s="342"/>
    </row>
    <row r="287" spans="1:21" s="339" customFormat="1" ht="18" customHeight="1" x14ac:dyDescent="0.25">
      <c r="A287" s="366"/>
      <c r="C287" s="366"/>
      <c r="D287" s="367" t="s">
        <v>367</v>
      </c>
      <c r="E287" s="367" t="s">
        <v>368</v>
      </c>
      <c r="F287" s="370">
        <v>55592100</v>
      </c>
      <c r="G287" s="371"/>
      <c r="H287" s="371">
        <v>55020675</v>
      </c>
      <c r="I287" s="371">
        <f>+G287+H287</f>
        <v>55020675</v>
      </c>
      <c r="J287" s="371"/>
      <c r="K287" s="371"/>
      <c r="L287" s="371">
        <f t="shared" si="183"/>
        <v>0</v>
      </c>
      <c r="M287" s="371">
        <f t="shared" si="184"/>
        <v>55020675</v>
      </c>
      <c r="N287" s="370">
        <f t="shared" si="182"/>
        <v>571425</v>
      </c>
      <c r="P287" s="340"/>
      <c r="S287" s="347"/>
      <c r="T287" s="346">
        <v>55020675</v>
      </c>
      <c r="U287" s="342"/>
    </row>
    <row r="288" spans="1:21" s="339" customFormat="1" ht="22.5" customHeight="1" x14ac:dyDescent="0.25">
      <c r="A288" s="366"/>
      <c r="C288" s="366"/>
      <c r="D288" s="367" t="s">
        <v>369</v>
      </c>
      <c r="E288" s="367" t="s">
        <v>370</v>
      </c>
      <c r="F288" s="370">
        <v>7200000</v>
      </c>
      <c r="G288" s="371"/>
      <c r="H288" s="371"/>
      <c r="I288" s="371"/>
      <c r="J288" s="371"/>
      <c r="K288" s="371"/>
      <c r="L288" s="371">
        <f t="shared" si="183"/>
        <v>0</v>
      </c>
      <c r="M288" s="371">
        <f t="shared" si="184"/>
        <v>0</v>
      </c>
      <c r="N288" s="370">
        <f t="shared" si="182"/>
        <v>7200000</v>
      </c>
      <c r="P288" s="340"/>
      <c r="S288" s="347"/>
      <c r="T288" s="347"/>
      <c r="U288" s="342"/>
    </row>
    <row r="289" spans="1:21" s="339" customFormat="1" ht="18" customHeight="1" x14ac:dyDescent="0.25">
      <c r="A289" s="366"/>
      <c r="C289" s="366"/>
      <c r="D289" s="367" t="s">
        <v>70</v>
      </c>
      <c r="E289" s="367" t="s">
        <v>33</v>
      </c>
      <c r="F289" s="370">
        <v>5000000</v>
      </c>
      <c r="G289" s="371"/>
      <c r="H289" s="371"/>
      <c r="I289" s="371"/>
      <c r="J289" s="371"/>
      <c r="K289" s="371"/>
      <c r="L289" s="371">
        <f t="shared" si="183"/>
        <v>0</v>
      </c>
      <c r="M289" s="371">
        <f t="shared" si="184"/>
        <v>0</v>
      </c>
      <c r="N289" s="370">
        <f t="shared" si="182"/>
        <v>5000000</v>
      </c>
      <c r="P289" s="340"/>
      <c r="S289" s="347"/>
      <c r="T289" s="347"/>
      <c r="U289" s="342"/>
    </row>
    <row r="290" spans="1:21" s="339" customFormat="1" ht="18" customHeight="1" x14ac:dyDescent="0.25">
      <c r="A290" s="366"/>
      <c r="C290" s="366"/>
      <c r="D290" s="367" t="s">
        <v>374</v>
      </c>
      <c r="E290" s="367" t="s">
        <v>375</v>
      </c>
      <c r="F290" s="370">
        <v>2400000</v>
      </c>
      <c r="G290" s="371"/>
      <c r="H290" s="371"/>
      <c r="I290" s="371"/>
      <c r="J290" s="371"/>
      <c r="K290" s="371"/>
      <c r="L290" s="371">
        <f t="shared" si="183"/>
        <v>0</v>
      </c>
      <c r="M290" s="371">
        <f t="shared" si="184"/>
        <v>0</v>
      </c>
      <c r="N290" s="370">
        <f t="shared" si="182"/>
        <v>2400000</v>
      </c>
      <c r="P290" s="340"/>
      <c r="S290" s="347"/>
      <c r="T290" s="347"/>
      <c r="U290" s="342"/>
    </row>
    <row r="291" spans="1:21" s="339" customFormat="1" ht="18" customHeight="1" x14ac:dyDescent="0.25">
      <c r="A291" s="334"/>
      <c r="B291" s="335"/>
      <c r="C291" s="334"/>
      <c r="D291" s="365" t="s">
        <v>271</v>
      </c>
      <c r="E291" s="335" t="s">
        <v>272</v>
      </c>
      <c r="F291" s="337">
        <f t="shared" ref="F291:J291" si="185">+F292</f>
        <v>955400000</v>
      </c>
      <c r="G291" s="344">
        <f t="shared" si="185"/>
        <v>0</v>
      </c>
      <c r="H291" s="344">
        <f>+H292</f>
        <v>0</v>
      </c>
      <c r="I291" s="344">
        <f>+G291+H291</f>
        <v>0</v>
      </c>
      <c r="J291" s="344">
        <f t="shared" si="185"/>
        <v>156720000</v>
      </c>
      <c r="K291" s="344">
        <f>+K292</f>
        <v>86200000</v>
      </c>
      <c r="L291" s="344">
        <f t="shared" si="183"/>
        <v>242920000</v>
      </c>
      <c r="M291" s="344">
        <f t="shared" si="184"/>
        <v>242920000</v>
      </c>
      <c r="N291" s="337">
        <f>+F291-M291</f>
        <v>712480000</v>
      </c>
      <c r="P291" s="340"/>
      <c r="S291" s="347"/>
      <c r="T291" s="347"/>
      <c r="U291" s="342"/>
    </row>
    <row r="292" spans="1:21" s="339" customFormat="1" ht="18" customHeight="1" x14ac:dyDescent="0.25">
      <c r="A292" s="334"/>
      <c r="B292" s="352"/>
      <c r="C292" s="334"/>
      <c r="D292" s="335" t="s">
        <v>81</v>
      </c>
      <c r="E292" s="335" t="s">
        <v>31</v>
      </c>
      <c r="F292" s="337">
        <f>SUM(F293:F296)</f>
        <v>955400000</v>
      </c>
      <c r="G292" s="344">
        <f>SUM(G293:G296)</f>
        <v>0</v>
      </c>
      <c r="H292" s="344">
        <f>SUM(H293:H296)</f>
        <v>0</v>
      </c>
      <c r="I292" s="344">
        <f>+G292+H292</f>
        <v>0</v>
      </c>
      <c r="J292" s="344">
        <f>SUM(J293:J296)</f>
        <v>156720000</v>
      </c>
      <c r="K292" s="344">
        <f>SUM(K293:K296)</f>
        <v>86200000</v>
      </c>
      <c r="L292" s="344">
        <f t="shared" si="183"/>
        <v>242920000</v>
      </c>
      <c r="M292" s="344">
        <f t="shared" si="184"/>
        <v>242920000</v>
      </c>
      <c r="N292" s="337">
        <f>+F292-M292</f>
        <v>712480000</v>
      </c>
      <c r="P292" s="340"/>
      <c r="S292" s="347"/>
      <c r="T292" s="347"/>
      <c r="U292" s="342"/>
    </row>
    <row r="293" spans="1:21" s="339" customFormat="1" ht="18" customHeight="1" x14ac:dyDescent="0.25">
      <c r="A293" s="334"/>
      <c r="B293" s="352"/>
      <c r="C293" s="334"/>
      <c r="D293" s="335" t="s">
        <v>100</v>
      </c>
      <c r="E293" s="335" t="s">
        <v>101</v>
      </c>
      <c r="F293" s="337">
        <v>336000000</v>
      </c>
      <c r="G293" s="344"/>
      <c r="H293" s="344"/>
      <c r="I293" s="344">
        <f t="shared" ref="I293:I294" si="186">+G293+H293</f>
        <v>0</v>
      </c>
      <c r="J293" s="344"/>
      <c r="K293" s="344"/>
      <c r="L293" s="344">
        <f t="shared" si="183"/>
        <v>0</v>
      </c>
      <c r="M293" s="344">
        <f>+I293+L293</f>
        <v>0</v>
      </c>
      <c r="N293" s="337">
        <f t="shared" ref="N293:N296" si="187">+F293-M293</f>
        <v>336000000</v>
      </c>
      <c r="P293" s="340"/>
      <c r="S293" s="347"/>
      <c r="T293" s="347"/>
      <c r="U293" s="342"/>
    </row>
    <row r="294" spans="1:21" s="339" customFormat="1" ht="18" customHeight="1" x14ac:dyDescent="0.25">
      <c r="A294" s="334"/>
      <c r="B294" s="352"/>
      <c r="C294" s="334"/>
      <c r="D294" s="335" t="s">
        <v>474</v>
      </c>
      <c r="E294" s="335" t="s">
        <v>475</v>
      </c>
      <c r="F294" s="337">
        <v>350000000</v>
      </c>
      <c r="G294" s="344"/>
      <c r="H294" s="344"/>
      <c r="I294" s="344">
        <f t="shared" si="186"/>
        <v>0</v>
      </c>
      <c r="J294" s="344"/>
      <c r="K294" s="344"/>
      <c r="L294" s="344">
        <f t="shared" si="183"/>
        <v>0</v>
      </c>
      <c r="M294" s="344">
        <f>+I294+L294</f>
        <v>0</v>
      </c>
      <c r="N294" s="337">
        <f t="shared" si="187"/>
        <v>350000000</v>
      </c>
      <c r="P294" s="340"/>
      <c r="S294" s="347"/>
      <c r="T294" s="347"/>
      <c r="U294" s="342"/>
    </row>
    <row r="295" spans="1:21" s="339" customFormat="1" ht="18" customHeight="1" x14ac:dyDescent="0.25">
      <c r="A295" s="334"/>
      <c r="B295" s="352"/>
      <c r="C295" s="334"/>
      <c r="D295" s="335" t="s">
        <v>376</v>
      </c>
      <c r="E295" s="335" t="s">
        <v>377</v>
      </c>
      <c r="F295" s="337">
        <v>268800000</v>
      </c>
      <c r="G295" s="344">
        <v>0</v>
      </c>
      <c r="H295" s="344"/>
      <c r="I295" s="344">
        <f>+G295+H295</f>
        <v>0</v>
      </c>
      <c r="J295" s="344">
        <v>156720000</v>
      </c>
      <c r="K295" s="344">
        <v>86200000</v>
      </c>
      <c r="L295" s="344">
        <f t="shared" si="183"/>
        <v>242920000</v>
      </c>
      <c r="M295" s="344">
        <f>+I295+L295</f>
        <v>242920000</v>
      </c>
      <c r="N295" s="337">
        <f t="shared" si="187"/>
        <v>25880000</v>
      </c>
      <c r="P295" s="340"/>
      <c r="S295" s="346">
        <v>86200000</v>
      </c>
      <c r="T295" s="347"/>
      <c r="U295" s="342"/>
    </row>
    <row r="296" spans="1:21" s="339" customFormat="1" ht="18" customHeight="1" x14ac:dyDescent="0.25">
      <c r="A296" s="334"/>
      <c r="B296" s="352"/>
      <c r="C296" s="334"/>
      <c r="D296" s="335" t="s">
        <v>378</v>
      </c>
      <c r="E296" s="335" t="s">
        <v>379</v>
      </c>
      <c r="F296" s="337">
        <v>600000</v>
      </c>
      <c r="G296" s="344"/>
      <c r="H296" s="344"/>
      <c r="I296" s="344"/>
      <c r="J296" s="344"/>
      <c r="K296" s="344"/>
      <c r="L296" s="344">
        <f t="shared" si="183"/>
        <v>0</v>
      </c>
      <c r="M296" s="344">
        <f>+I296+L296</f>
        <v>0</v>
      </c>
      <c r="N296" s="337">
        <f t="shared" si="187"/>
        <v>600000</v>
      </c>
      <c r="P296" s="340"/>
      <c r="S296" s="347"/>
      <c r="T296" s="347"/>
      <c r="U296" s="342"/>
    </row>
    <row r="297" spans="1:21" s="388" customFormat="1" ht="18" customHeight="1" x14ac:dyDescent="0.25">
      <c r="A297" s="393"/>
      <c r="B297" s="393"/>
      <c r="C297" s="393"/>
      <c r="D297" s="393"/>
      <c r="E297" s="393"/>
      <c r="F297" s="394"/>
      <c r="G297" s="395"/>
      <c r="H297" s="395"/>
      <c r="I297" s="395"/>
      <c r="J297" s="395"/>
      <c r="K297" s="395"/>
      <c r="L297" s="395"/>
      <c r="M297" s="395"/>
      <c r="N297" s="394"/>
      <c r="P297" s="200"/>
      <c r="S297" s="221"/>
      <c r="T297" s="221"/>
      <c r="U297" s="389"/>
    </row>
    <row r="298" spans="1:21" s="319" customFormat="1" ht="21" customHeight="1" x14ac:dyDescent="0.25">
      <c r="A298" s="276"/>
      <c r="B298" s="305" t="s">
        <v>342</v>
      </c>
      <c r="C298" s="305"/>
      <c r="D298" s="305"/>
      <c r="E298" s="396" t="s">
        <v>341</v>
      </c>
      <c r="F298" s="359">
        <f>+F299+F312+F331+F337+F343</f>
        <v>2394721000</v>
      </c>
      <c r="G298" s="360">
        <f>+G299+G312+G331+G337+G343</f>
        <v>0</v>
      </c>
      <c r="H298" s="360">
        <f>+H299+H312+H331+H337+H343</f>
        <v>0</v>
      </c>
      <c r="I298" s="360">
        <f t="shared" ref="I298:I303" si="188">+G298+H298</f>
        <v>0</v>
      </c>
      <c r="J298" s="360">
        <f>+J299+J312+J331+J337+J343</f>
        <v>83363817</v>
      </c>
      <c r="K298" s="360">
        <f>+K299+K312+K331+K337+K343</f>
        <v>112472437</v>
      </c>
      <c r="L298" s="360">
        <f>+J298+K298</f>
        <v>195836254</v>
      </c>
      <c r="M298" s="360">
        <f t="shared" ref="M298" si="189">+I298+L298</f>
        <v>195836254</v>
      </c>
      <c r="N298" s="359">
        <f t="shared" ref="N298" si="190">+F298-M298</f>
        <v>2198884746</v>
      </c>
      <c r="P298" s="361"/>
      <c r="S298" s="362"/>
      <c r="T298" s="362"/>
      <c r="U298" s="350"/>
    </row>
    <row r="299" spans="1:21" s="319" customFormat="1" ht="35.25" customHeight="1" x14ac:dyDescent="0.25">
      <c r="A299" s="275">
        <v>16</v>
      </c>
      <c r="B299" s="314"/>
      <c r="C299" s="314" t="s">
        <v>476</v>
      </c>
      <c r="D299" s="315"/>
      <c r="E299" s="348" t="s">
        <v>477</v>
      </c>
      <c r="F299" s="317">
        <f t="shared" ref="F299:H300" si="191">+F300</f>
        <v>690000000</v>
      </c>
      <c r="G299" s="318">
        <f t="shared" si="191"/>
        <v>0</v>
      </c>
      <c r="H299" s="318">
        <f t="shared" si="191"/>
        <v>0</v>
      </c>
      <c r="I299" s="318">
        <f t="shared" si="188"/>
        <v>0</v>
      </c>
      <c r="J299" s="318">
        <f>+J300</f>
        <v>43678817</v>
      </c>
      <c r="K299" s="318">
        <f>+K300</f>
        <v>29255437</v>
      </c>
      <c r="L299" s="318">
        <f>+J299+K299</f>
        <v>72934254</v>
      </c>
      <c r="M299" s="318">
        <f>+I299+L299</f>
        <v>72934254</v>
      </c>
      <c r="N299" s="317">
        <f>+F299-M299</f>
        <v>617065746</v>
      </c>
      <c r="P299" s="320"/>
      <c r="R299" s="321"/>
      <c r="S299" s="349"/>
      <c r="T299" s="349"/>
      <c r="U299" s="350"/>
    </row>
    <row r="300" spans="1:21" s="329" customFormat="1" ht="18" customHeight="1" x14ac:dyDescent="0.25">
      <c r="A300" s="323"/>
      <c r="B300" s="324"/>
      <c r="C300" s="324"/>
      <c r="D300" s="325" t="s">
        <v>207</v>
      </c>
      <c r="E300" s="326" t="s">
        <v>262</v>
      </c>
      <c r="F300" s="327">
        <f t="shared" si="191"/>
        <v>690000000</v>
      </c>
      <c r="G300" s="328">
        <f t="shared" si="191"/>
        <v>0</v>
      </c>
      <c r="H300" s="328">
        <f t="shared" si="191"/>
        <v>0</v>
      </c>
      <c r="I300" s="328">
        <f t="shared" si="188"/>
        <v>0</v>
      </c>
      <c r="J300" s="328">
        <f>+J301</f>
        <v>43678817</v>
      </c>
      <c r="K300" s="328">
        <f>+K301</f>
        <v>29255437</v>
      </c>
      <c r="L300" s="328">
        <f t="shared" ref="L300:L304" si="192">+J300+K300</f>
        <v>72934254</v>
      </c>
      <c r="M300" s="328">
        <f t="shared" ref="M300:M311" si="193">+I300+L300</f>
        <v>72934254</v>
      </c>
      <c r="N300" s="327">
        <f t="shared" ref="N300:N311" si="194">+F300-M300</f>
        <v>617065746</v>
      </c>
      <c r="P300" s="330"/>
      <c r="R300" s="331"/>
      <c r="S300" s="351"/>
      <c r="T300" s="351"/>
      <c r="U300" s="333"/>
    </row>
    <row r="301" spans="1:21" s="381" customFormat="1" ht="18" customHeight="1" x14ac:dyDescent="0.25">
      <c r="A301" s="384"/>
      <c r="B301" s="397"/>
      <c r="C301" s="384"/>
      <c r="D301" s="335" t="s">
        <v>63</v>
      </c>
      <c r="E301" s="335" t="s">
        <v>30</v>
      </c>
      <c r="F301" s="337">
        <f>+F302+F305+F309</f>
        <v>690000000</v>
      </c>
      <c r="G301" s="344">
        <f>+G302+G305+G309</f>
        <v>0</v>
      </c>
      <c r="H301" s="344">
        <f>+H302+H305+H309</f>
        <v>0</v>
      </c>
      <c r="I301" s="344">
        <f t="shared" si="188"/>
        <v>0</v>
      </c>
      <c r="J301" s="344">
        <f>+J302+J305+J309</f>
        <v>43678817</v>
      </c>
      <c r="K301" s="344">
        <f>+K302+K305+K309</f>
        <v>29255437</v>
      </c>
      <c r="L301" s="344">
        <f t="shared" si="192"/>
        <v>72934254</v>
      </c>
      <c r="M301" s="344">
        <f t="shared" si="193"/>
        <v>72934254</v>
      </c>
      <c r="N301" s="337">
        <f t="shared" si="194"/>
        <v>617065746</v>
      </c>
      <c r="P301" s="340"/>
      <c r="S301" s="347"/>
      <c r="T301" s="347"/>
      <c r="U301" s="382"/>
    </row>
    <row r="302" spans="1:21" s="339" customFormat="1" ht="18" customHeight="1" x14ac:dyDescent="0.25">
      <c r="A302" s="334"/>
      <c r="B302" s="335"/>
      <c r="C302" s="335"/>
      <c r="D302" s="365" t="s">
        <v>263</v>
      </c>
      <c r="E302" s="335" t="s">
        <v>264</v>
      </c>
      <c r="F302" s="337">
        <f>+F303</f>
        <v>435000000</v>
      </c>
      <c r="G302" s="344">
        <f>+G303</f>
        <v>0</v>
      </c>
      <c r="H302" s="344">
        <f>+H303</f>
        <v>0</v>
      </c>
      <c r="I302" s="344">
        <f t="shared" si="188"/>
        <v>0</v>
      </c>
      <c r="J302" s="344">
        <f>+J303</f>
        <v>14950117</v>
      </c>
      <c r="K302" s="344">
        <f>+K303</f>
        <v>16581309</v>
      </c>
      <c r="L302" s="344">
        <f t="shared" si="192"/>
        <v>31531426</v>
      </c>
      <c r="M302" s="344">
        <f t="shared" si="193"/>
        <v>31531426</v>
      </c>
      <c r="N302" s="337">
        <f t="shared" si="194"/>
        <v>403468574</v>
      </c>
      <c r="P302" s="340"/>
      <c r="S302" s="347"/>
      <c r="T302" s="347"/>
      <c r="U302" s="342"/>
    </row>
    <row r="303" spans="1:21" s="381" customFormat="1" ht="18" customHeight="1" x14ac:dyDescent="0.25">
      <c r="A303" s="384"/>
      <c r="B303" s="397"/>
      <c r="C303" s="384"/>
      <c r="D303" s="335" t="s">
        <v>64</v>
      </c>
      <c r="E303" s="335" t="s">
        <v>65</v>
      </c>
      <c r="F303" s="337">
        <f>F304</f>
        <v>435000000</v>
      </c>
      <c r="G303" s="344">
        <f>+G304</f>
        <v>0</v>
      </c>
      <c r="H303" s="344">
        <f>+H304</f>
        <v>0</v>
      </c>
      <c r="I303" s="344">
        <f t="shared" si="188"/>
        <v>0</v>
      </c>
      <c r="J303" s="344">
        <f>+J304</f>
        <v>14950117</v>
      </c>
      <c r="K303" s="344">
        <f>+K304</f>
        <v>16581309</v>
      </c>
      <c r="L303" s="344">
        <f t="shared" si="192"/>
        <v>31531426</v>
      </c>
      <c r="M303" s="344">
        <f t="shared" si="193"/>
        <v>31531426</v>
      </c>
      <c r="N303" s="337">
        <f t="shared" si="194"/>
        <v>403468574</v>
      </c>
      <c r="P303" s="340"/>
      <c r="S303" s="347"/>
      <c r="T303" s="347"/>
      <c r="U303" s="382"/>
    </row>
    <row r="304" spans="1:21" s="339" customFormat="1" ht="18" customHeight="1" x14ac:dyDescent="0.25">
      <c r="A304" s="384"/>
      <c r="B304" s="397"/>
      <c r="C304" s="334"/>
      <c r="D304" s="335" t="s">
        <v>129</v>
      </c>
      <c r="E304" s="335" t="s">
        <v>130</v>
      </c>
      <c r="F304" s="337">
        <v>435000000</v>
      </c>
      <c r="G304" s="398"/>
      <c r="H304" s="398"/>
      <c r="I304" s="398"/>
      <c r="J304" s="344">
        <v>14950117</v>
      </c>
      <c r="K304" s="344">
        <v>16581309</v>
      </c>
      <c r="L304" s="344">
        <f t="shared" si="192"/>
        <v>31531426</v>
      </c>
      <c r="M304" s="344">
        <f t="shared" si="193"/>
        <v>31531426</v>
      </c>
      <c r="N304" s="337">
        <f t="shared" si="194"/>
        <v>403468574</v>
      </c>
      <c r="P304" s="340"/>
      <c r="S304" s="346">
        <f>256000+192000+850000+600000+793830+800000+400000+604512+298167+256000+256000+268800+900000+350000+704000+960000+260000+768000+768000+768000+256000+256000+768000+764400+762400+759400+757400+754400+450000</f>
        <v>16581309</v>
      </c>
      <c r="T304" s="347"/>
      <c r="U304" s="342"/>
    </row>
    <row r="305" spans="1:21" s="339" customFormat="1" ht="20.25" x14ac:dyDescent="0.25">
      <c r="A305" s="334"/>
      <c r="B305" s="335"/>
      <c r="C305" s="335"/>
      <c r="D305" s="365" t="s">
        <v>271</v>
      </c>
      <c r="E305" s="335" t="s">
        <v>272</v>
      </c>
      <c r="F305" s="337">
        <f>+F306</f>
        <v>79500000</v>
      </c>
      <c r="G305" s="344">
        <f>+G306</f>
        <v>0</v>
      </c>
      <c r="H305" s="344">
        <f>+H306</f>
        <v>0</v>
      </c>
      <c r="I305" s="344">
        <f t="shared" ref="I305:I316" si="195">+G305+H305</f>
        <v>0</v>
      </c>
      <c r="J305" s="344">
        <f>+J306</f>
        <v>4488700</v>
      </c>
      <c r="K305" s="344">
        <f>+K306</f>
        <v>5290000</v>
      </c>
      <c r="L305" s="344">
        <f>+J305+K305</f>
        <v>9778700</v>
      </c>
      <c r="M305" s="344">
        <f t="shared" si="193"/>
        <v>9778700</v>
      </c>
      <c r="N305" s="337">
        <f t="shared" si="194"/>
        <v>69721300</v>
      </c>
      <c r="P305" s="340"/>
      <c r="S305" s="347"/>
      <c r="T305" s="347"/>
      <c r="U305" s="342"/>
    </row>
    <row r="306" spans="1:21" s="381" customFormat="1" ht="18" customHeight="1" x14ac:dyDescent="0.25">
      <c r="A306" s="334"/>
      <c r="B306" s="352"/>
      <c r="C306" s="334"/>
      <c r="D306" s="335" t="s">
        <v>81</v>
      </c>
      <c r="E306" s="335" t="s">
        <v>31</v>
      </c>
      <c r="F306" s="337">
        <f>F308+F307</f>
        <v>79500000</v>
      </c>
      <c r="G306" s="344">
        <f>SUM(G307:G308)</f>
        <v>0</v>
      </c>
      <c r="H306" s="344">
        <f>SUM(H307:H308)</f>
        <v>0</v>
      </c>
      <c r="I306" s="344">
        <f t="shared" si="195"/>
        <v>0</v>
      </c>
      <c r="J306" s="344">
        <f>SUM(J307:J308)</f>
        <v>4488700</v>
      </c>
      <c r="K306" s="344">
        <f>SUM(K307:K308)</f>
        <v>5290000</v>
      </c>
      <c r="L306" s="344">
        <f>+J306+K306</f>
        <v>9778700</v>
      </c>
      <c r="M306" s="344">
        <f t="shared" si="193"/>
        <v>9778700</v>
      </c>
      <c r="N306" s="337">
        <f t="shared" si="194"/>
        <v>69721300</v>
      </c>
      <c r="P306" s="340"/>
      <c r="R306" s="385"/>
      <c r="S306" s="347"/>
      <c r="T306" s="347"/>
      <c r="U306" s="382"/>
    </row>
    <row r="307" spans="1:21" s="381" customFormat="1" ht="18" customHeight="1" x14ac:dyDescent="0.25">
      <c r="A307" s="334"/>
      <c r="B307" s="352"/>
      <c r="C307" s="334"/>
      <c r="D307" s="335" t="s">
        <v>82</v>
      </c>
      <c r="E307" s="335" t="s">
        <v>83</v>
      </c>
      <c r="F307" s="337">
        <v>18000000</v>
      </c>
      <c r="G307" s="344"/>
      <c r="H307" s="344"/>
      <c r="I307" s="344">
        <f t="shared" si="195"/>
        <v>0</v>
      </c>
      <c r="J307" s="344">
        <v>2800000</v>
      </c>
      <c r="K307" s="344">
        <v>1400000</v>
      </c>
      <c r="L307" s="344">
        <f>J307+K307</f>
        <v>4200000</v>
      </c>
      <c r="M307" s="344">
        <f t="shared" si="193"/>
        <v>4200000</v>
      </c>
      <c r="N307" s="337">
        <f t="shared" si="194"/>
        <v>13800000</v>
      </c>
      <c r="P307" s="340"/>
      <c r="S307" s="346">
        <v>1400000</v>
      </c>
      <c r="T307" s="347"/>
      <c r="U307" s="382"/>
    </row>
    <row r="308" spans="1:21" s="381" customFormat="1" ht="18" customHeight="1" x14ac:dyDescent="0.25">
      <c r="A308" s="334"/>
      <c r="B308" s="352"/>
      <c r="C308" s="334"/>
      <c r="D308" s="335" t="s">
        <v>343</v>
      </c>
      <c r="E308" s="335" t="s">
        <v>344</v>
      </c>
      <c r="F308" s="337">
        <v>61500000</v>
      </c>
      <c r="G308" s="344"/>
      <c r="H308" s="344"/>
      <c r="I308" s="344">
        <f t="shared" si="195"/>
        <v>0</v>
      </c>
      <c r="J308" s="344">
        <v>1688700</v>
      </c>
      <c r="K308" s="344">
        <v>3890000</v>
      </c>
      <c r="L308" s="344">
        <f>J308+K308</f>
        <v>5578700</v>
      </c>
      <c r="M308" s="344">
        <f t="shared" si="193"/>
        <v>5578700</v>
      </c>
      <c r="N308" s="337">
        <f t="shared" si="194"/>
        <v>55921300</v>
      </c>
      <c r="P308" s="340"/>
      <c r="S308" s="346">
        <v>3890000</v>
      </c>
      <c r="T308" s="347"/>
      <c r="U308" s="382"/>
    </row>
    <row r="309" spans="1:21" s="339" customFormat="1" ht="20.25" x14ac:dyDescent="0.25">
      <c r="A309" s="334"/>
      <c r="B309" s="335"/>
      <c r="C309" s="334"/>
      <c r="D309" s="365" t="s">
        <v>275</v>
      </c>
      <c r="E309" s="335" t="s">
        <v>276</v>
      </c>
      <c r="F309" s="337">
        <f>+F310</f>
        <v>175500000</v>
      </c>
      <c r="G309" s="344">
        <f>+G310</f>
        <v>0</v>
      </c>
      <c r="H309" s="344">
        <f>+H310</f>
        <v>0</v>
      </c>
      <c r="I309" s="344">
        <f t="shared" si="195"/>
        <v>0</v>
      </c>
      <c r="J309" s="344">
        <f>+J310</f>
        <v>24240000</v>
      </c>
      <c r="K309" s="344">
        <f>+K310</f>
        <v>7384128</v>
      </c>
      <c r="L309" s="344">
        <f>+J309+K309</f>
        <v>31624128</v>
      </c>
      <c r="M309" s="344">
        <f t="shared" si="193"/>
        <v>31624128</v>
      </c>
      <c r="N309" s="337">
        <f t="shared" si="194"/>
        <v>143875872</v>
      </c>
      <c r="P309" s="340"/>
      <c r="S309" s="347"/>
      <c r="T309" s="347"/>
      <c r="U309" s="342"/>
    </row>
    <row r="310" spans="1:21" s="381" customFormat="1" ht="18" customHeight="1" x14ac:dyDescent="0.25">
      <c r="A310" s="334"/>
      <c r="B310" s="352"/>
      <c r="C310" s="334"/>
      <c r="D310" s="335" t="s">
        <v>114</v>
      </c>
      <c r="E310" s="335" t="s">
        <v>43</v>
      </c>
      <c r="F310" s="337">
        <f>+F311</f>
        <v>175500000</v>
      </c>
      <c r="G310" s="344">
        <f>SUM(G311)</f>
        <v>0</v>
      </c>
      <c r="H310" s="344">
        <f>SUM(H311)</f>
        <v>0</v>
      </c>
      <c r="I310" s="344">
        <f t="shared" si="195"/>
        <v>0</v>
      </c>
      <c r="J310" s="344">
        <f>SUM(J311)</f>
        <v>24240000</v>
      </c>
      <c r="K310" s="344">
        <f>SUM(K311)</f>
        <v>7384128</v>
      </c>
      <c r="L310" s="344">
        <f>+J310+K310</f>
        <v>31624128</v>
      </c>
      <c r="M310" s="344">
        <f t="shared" si="193"/>
        <v>31624128</v>
      </c>
      <c r="N310" s="337">
        <f t="shared" si="194"/>
        <v>143875872</v>
      </c>
      <c r="P310" s="340"/>
      <c r="R310" s="385"/>
      <c r="S310" s="347"/>
      <c r="T310" s="347"/>
      <c r="U310" s="382"/>
    </row>
    <row r="311" spans="1:21" s="388" customFormat="1" ht="33.75" customHeight="1" x14ac:dyDescent="0.25">
      <c r="A311" s="372"/>
      <c r="B311" s="153"/>
      <c r="C311" s="372"/>
      <c r="D311" s="373" t="s">
        <v>345</v>
      </c>
      <c r="E311" s="375" t="s">
        <v>346</v>
      </c>
      <c r="F311" s="376">
        <v>175500000</v>
      </c>
      <c r="G311" s="377"/>
      <c r="H311" s="377"/>
      <c r="I311" s="371">
        <f t="shared" si="195"/>
        <v>0</v>
      </c>
      <c r="J311" s="377">
        <v>24240000</v>
      </c>
      <c r="K311" s="377">
        <f>4590000+2794128</f>
        <v>7384128</v>
      </c>
      <c r="L311" s="377">
        <f>J311+K311</f>
        <v>31624128</v>
      </c>
      <c r="M311" s="377">
        <f t="shared" si="193"/>
        <v>31624128</v>
      </c>
      <c r="N311" s="376">
        <f t="shared" si="194"/>
        <v>143875872</v>
      </c>
      <c r="P311" s="200"/>
      <c r="S311" s="358">
        <f>2794128+2700000+170000+860000+860000</f>
        <v>7384128</v>
      </c>
      <c r="T311" s="221"/>
      <c r="U311" s="389"/>
    </row>
    <row r="312" spans="1:21" s="319" customFormat="1" ht="22.5" customHeight="1" x14ac:dyDescent="0.25">
      <c r="A312" s="275">
        <v>17</v>
      </c>
      <c r="B312" s="314"/>
      <c r="C312" s="314" t="s">
        <v>143</v>
      </c>
      <c r="D312" s="315"/>
      <c r="E312" s="348" t="s">
        <v>144</v>
      </c>
      <c r="F312" s="317">
        <f t="shared" ref="F312:H313" si="196">+F313</f>
        <v>1024733000</v>
      </c>
      <c r="G312" s="318">
        <f t="shared" si="196"/>
        <v>0</v>
      </c>
      <c r="H312" s="318">
        <f t="shared" si="196"/>
        <v>0</v>
      </c>
      <c r="I312" s="318">
        <f t="shared" si="195"/>
        <v>0</v>
      </c>
      <c r="J312" s="318">
        <f>+J313</f>
        <v>39685000</v>
      </c>
      <c r="K312" s="318">
        <f>+K313</f>
        <v>63217000</v>
      </c>
      <c r="L312" s="318">
        <f>+J312+K312</f>
        <v>102902000</v>
      </c>
      <c r="M312" s="318">
        <f>+I312+L312</f>
        <v>102902000</v>
      </c>
      <c r="N312" s="317">
        <f>+F312-M312</f>
        <v>921831000</v>
      </c>
      <c r="P312" s="320"/>
      <c r="R312" s="321"/>
      <c r="S312" s="349"/>
      <c r="T312" s="349"/>
      <c r="U312" s="350"/>
    </row>
    <row r="313" spans="1:21" s="329" customFormat="1" ht="18" customHeight="1" x14ac:dyDescent="0.25">
      <c r="A313" s="323"/>
      <c r="B313" s="324"/>
      <c r="C313" s="324"/>
      <c r="D313" s="325" t="s">
        <v>207</v>
      </c>
      <c r="E313" s="326" t="s">
        <v>262</v>
      </c>
      <c r="F313" s="327">
        <f t="shared" si="196"/>
        <v>1024733000</v>
      </c>
      <c r="G313" s="328">
        <f t="shared" si="196"/>
        <v>0</v>
      </c>
      <c r="H313" s="328">
        <f t="shared" si="196"/>
        <v>0</v>
      </c>
      <c r="I313" s="328">
        <f t="shared" si="195"/>
        <v>0</v>
      </c>
      <c r="J313" s="328">
        <f>+J314</f>
        <v>39685000</v>
      </c>
      <c r="K313" s="328">
        <f>+K314</f>
        <v>63217000</v>
      </c>
      <c r="L313" s="328">
        <f>+J313+K313</f>
        <v>102902000</v>
      </c>
      <c r="M313" s="328">
        <f t="shared" ref="M313:M330" si="197">+I313+L313</f>
        <v>102902000</v>
      </c>
      <c r="N313" s="327">
        <f t="shared" ref="N313:N330" si="198">+F313-M313</f>
        <v>921831000</v>
      </c>
      <c r="P313" s="330"/>
      <c r="R313" s="331"/>
      <c r="S313" s="351"/>
      <c r="T313" s="351"/>
      <c r="U313" s="333"/>
    </row>
    <row r="314" spans="1:21" s="381" customFormat="1" ht="18" customHeight="1" x14ac:dyDescent="0.25">
      <c r="A314" s="384"/>
      <c r="B314" s="397"/>
      <c r="C314" s="384"/>
      <c r="D314" s="335" t="s">
        <v>63</v>
      </c>
      <c r="E314" s="335" t="s">
        <v>30</v>
      </c>
      <c r="F314" s="337">
        <f>+F315+F319+F322</f>
        <v>1024733000</v>
      </c>
      <c r="G314" s="344">
        <f>+G315+G319+G322</f>
        <v>0</v>
      </c>
      <c r="H314" s="344">
        <f>+H315+H319+H322</f>
        <v>0</v>
      </c>
      <c r="I314" s="344">
        <f t="shared" si="195"/>
        <v>0</v>
      </c>
      <c r="J314" s="344">
        <f>+J315+J319+J322</f>
        <v>39685000</v>
      </c>
      <c r="K314" s="344">
        <f>+K315+K319+K322</f>
        <v>63217000</v>
      </c>
      <c r="L314" s="344">
        <f>+J314+K314</f>
        <v>102902000</v>
      </c>
      <c r="M314" s="344">
        <f t="shared" si="197"/>
        <v>102902000</v>
      </c>
      <c r="N314" s="337">
        <f t="shared" si="198"/>
        <v>921831000</v>
      </c>
      <c r="P314" s="340"/>
      <c r="S314" s="347"/>
      <c r="T314" s="347"/>
      <c r="U314" s="382"/>
    </row>
    <row r="315" spans="1:21" s="339" customFormat="1" ht="18" customHeight="1" x14ac:dyDescent="0.25">
      <c r="A315" s="334"/>
      <c r="B315" s="335"/>
      <c r="C315" s="335"/>
      <c r="D315" s="365" t="s">
        <v>263</v>
      </c>
      <c r="E315" s="335" t="s">
        <v>264</v>
      </c>
      <c r="F315" s="337">
        <f>+F316</f>
        <v>160643000</v>
      </c>
      <c r="G315" s="344">
        <f>+G316</f>
        <v>0</v>
      </c>
      <c r="H315" s="344">
        <f>+H316</f>
        <v>0</v>
      </c>
      <c r="I315" s="344">
        <f t="shared" si="195"/>
        <v>0</v>
      </c>
      <c r="J315" s="344">
        <f>+J316</f>
        <v>11830000</v>
      </c>
      <c r="K315" s="344">
        <f>+K316</f>
        <v>18653000</v>
      </c>
      <c r="L315" s="344">
        <f>+J315+K315</f>
        <v>30483000</v>
      </c>
      <c r="M315" s="344">
        <f t="shared" si="197"/>
        <v>30483000</v>
      </c>
      <c r="N315" s="337">
        <f t="shared" si="198"/>
        <v>130160000</v>
      </c>
      <c r="P315" s="340"/>
      <c r="S315" s="347"/>
      <c r="T315" s="347"/>
      <c r="U315" s="342"/>
    </row>
    <row r="316" spans="1:21" s="381" customFormat="1" ht="18" customHeight="1" x14ac:dyDescent="0.25">
      <c r="A316" s="384"/>
      <c r="B316" s="397"/>
      <c r="C316" s="384"/>
      <c r="D316" s="335" t="s">
        <v>64</v>
      </c>
      <c r="E316" s="335" t="s">
        <v>65</v>
      </c>
      <c r="F316" s="337">
        <f>F317+F318</f>
        <v>160643000</v>
      </c>
      <c r="G316" s="344">
        <f>+G317</f>
        <v>0</v>
      </c>
      <c r="H316" s="344">
        <f>+H317</f>
        <v>0</v>
      </c>
      <c r="I316" s="344">
        <f t="shared" si="195"/>
        <v>0</v>
      </c>
      <c r="J316" s="344">
        <f>+J317</f>
        <v>11830000</v>
      </c>
      <c r="K316" s="344">
        <f>+K317</f>
        <v>18653000</v>
      </c>
      <c r="L316" s="344">
        <f>+J316+K316</f>
        <v>30483000</v>
      </c>
      <c r="M316" s="344">
        <f t="shared" si="197"/>
        <v>30483000</v>
      </c>
      <c r="N316" s="337">
        <f t="shared" si="198"/>
        <v>130160000</v>
      </c>
      <c r="P316" s="340"/>
      <c r="S316" s="347"/>
      <c r="T316" s="347"/>
      <c r="U316" s="382"/>
    </row>
    <row r="317" spans="1:21" s="339" customFormat="1" ht="18" customHeight="1" x14ac:dyDescent="0.25">
      <c r="A317" s="384"/>
      <c r="B317" s="397"/>
      <c r="C317" s="334"/>
      <c r="D317" s="335" t="s">
        <v>339</v>
      </c>
      <c r="E317" s="335" t="s">
        <v>340</v>
      </c>
      <c r="F317" s="337">
        <v>99000000</v>
      </c>
      <c r="G317" s="398"/>
      <c r="H317" s="398"/>
      <c r="I317" s="398"/>
      <c r="J317" s="344">
        <v>11830000</v>
      </c>
      <c r="K317" s="344">
        <f>1693000+9190000+7770000</f>
        <v>18653000</v>
      </c>
      <c r="L317" s="344">
        <f t="shared" ref="L317:L330" si="199">+J317+K317</f>
        <v>30483000</v>
      </c>
      <c r="M317" s="344">
        <f t="shared" si="197"/>
        <v>30483000</v>
      </c>
      <c r="N317" s="337">
        <f t="shared" si="198"/>
        <v>68517000</v>
      </c>
      <c r="P317" s="343"/>
      <c r="S317" s="346">
        <f>1693000+7770000+9190000</f>
        <v>18653000</v>
      </c>
      <c r="T317" s="347"/>
      <c r="U317" s="342"/>
    </row>
    <row r="318" spans="1:21" s="339" customFormat="1" ht="18" customHeight="1" x14ac:dyDescent="0.25">
      <c r="A318" s="384"/>
      <c r="B318" s="397"/>
      <c r="C318" s="334"/>
      <c r="D318" s="335" t="s">
        <v>361</v>
      </c>
      <c r="E318" s="335" t="s">
        <v>362</v>
      </c>
      <c r="F318" s="337">
        <v>61643000</v>
      </c>
      <c r="G318" s="398"/>
      <c r="H318" s="398"/>
      <c r="I318" s="398"/>
      <c r="J318" s="344"/>
      <c r="K318" s="344"/>
      <c r="L318" s="344">
        <f t="shared" si="199"/>
        <v>0</v>
      </c>
      <c r="M318" s="344">
        <f t="shared" si="197"/>
        <v>0</v>
      </c>
      <c r="N318" s="337">
        <f t="shared" si="198"/>
        <v>61643000</v>
      </c>
      <c r="P318" s="343"/>
      <c r="S318" s="347"/>
      <c r="T318" s="347"/>
      <c r="U318" s="342"/>
    </row>
    <row r="319" spans="1:21" s="339" customFormat="1" ht="18" customHeight="1" x14ac:dyDescent="0.25">
      <c r="A319" s="334"/>
      <c r="B319" s="335"/>
      <c r="C319" s="335"/>
      <c r="D319" s="365" t="s">
        <v>271</v>
      </c>
      <c r="E319" s="335" t="s">
        <v>272</v>
      </c>
      <c r="F319" s="337">
        <f>+F320</f>
        <v>36480000</v>
      </c>
      <c r="G319" s="344">
        <f>+G320</f>
        <v>0</v>
      </c>
      <c r="H319" s="344">
        <f>+H320</f>
        <v>0</v>
      </c>
      <c r="I319" s="344">
        <f>+G319+H319</f>
        <v>0</v>
      </c>
      <c r="J319" s="344">
        <f>+J320</f>
        <v>3200000</v>
      </c>
      <c r="K319" s="344">
        <f>+K320</f>
        <v>1600000</v>
      </c>
      <c r="L319" s="344">
        <f t="shared" si="199"/>
        <v>4800000</v>
      </c>
      <c r="M319" s="344">
        <f t="shared" si="197"/>
        <v>4800000</v>
      </c>
      <c r="N319" s="337">
        <f t="shared" si="198"/>
        <v>31680000</v>
      </c>
      <c r="P319" s="343"/>
      <c r="S319" s="347"/>
      <c r="T319" s="347"/>
      <c r="U319" s="342"/>
    </row>
    <row r="320" spans="1:21" s="381" customFormat="1" ht="18" customHeight="1" x14ac:dyDescent="0.25">
      <c r="A320" s="384"/>
      <c r="B320" s="397"/>
      <c r="C320" s="384"/>
      <c r="D320" s="335" t="s">
        <v>81</v>
      </c>
      <c r="E320" s="335" t="s">
        <v>31</v>
      </c>
      <c r="F320" s="337">
        <f>F321</f>
        <v>36480000</v>
      </c>
      <c r="G320" s="344">
        <f>+G321</f>
        <v>0</v>
      </c>
      <c r="H320" s="344">
        <f>+H321</f>
        <v>0</v>
      </c>
      <c r="I320" s="344">
        <f>+G320+H320</f>
        <v>0</v>
      </c>
      <c r="J320" s="344">
        <f>+J321</f>
        <v>3200000</v>
      </c>
      <c r="K320" s="344">
        <f>+K321</f>
        <v>1600000</v>
      </c>
      <c r="L320" s="344">
        <f t="shared" si="199"/>
        <v>4800000</v>
      </c>
      <c r="M320" s="344">
        <f t="shared" si="197"/>
        <v>4800000</v>
      </c>
      <c r="N320" s="337">
        <f t="shared" si="198"/>
        <v>31680000</v>
      </c>
      <c r="P320" s="343"/>
      <c r="S320" s="347"/>
      <c r="T320" s="347"/>
      <c r="U320" s="382"/>
    </row>
    <row r="321" spans="1:21" s="339" customFormat="1" ht="18" customHeight="1" x14ac:dyDescent="0.25">
      <c r="A321" s="384"/>
      <c r="B321" s="397"/>
      <c r="C321" s="334"/>
      <c r="D321" s="335" t="s">
        <v>82</v>
      </c>
      <c r="E321" s="335" t="s">
        <v>83</v>
      </c>
      <c r="F321" s="337">
        <v>36480000</v>
      </c>
      <c r="G321" s="398"/>
      <c r="H321" s="344"/>
      <c r="I321" s="398"/>
      <c r="J321" s="344">
        <v>3200000</v>
      </c>
      <c r="K321" s="344">
        <v>1600000</v>
      </c>
      <c r="L321" s="344">
        <f t="shared" si="199"/>
        <v>4800000</v>
      </c>
      <c r="M321" s="344">
        <f t="shared" si="197"/>
        <v>4800000</v>
      </c>
      <c r="N321" s="337">
        <f t="shared" si="198"/>
        <v>31680000</v>
      </c>
      <c r="P321" s="343"/>
      <c r="S321" s="346">
        <v>1600000</v>
      </c>
      <c r="T321" s="347"/>
      <c r="U321" s="342"/>
    </row>
    <row r="322" spans="1:21" s="339" customFormat="1" ht="18" customHeight="1" x14ac:dyDescent="0.25">
      <c r="A322" s="334"/>
      <c r="B322" s="335"/>
      <c r="C322" s="335"/>
      <c r="D322" s="365" t="s">
        <v>275</v>
      </c>
      <c r="E322" s="335" t="s">
        <v>276</v>
      </c>
      <c r="F322" s="337">
        <f>+F323</f>
        <v>827610000</v>
      </c>
      <c r="G322" s="344">
        <f>+G323</f>
        <v>0</v>
      </c>
      <c r="H322" s="344">
        <f>+H323</f>
        <v>0</v>
      </c>
      <c r="I322" s="344">
        <f>+G322+H322</f>
        <v>0</v>
      </c>
      <c r="J322" s="344">
        <f>+J323</f>
        <v>24655000</v>
      </c>
      <c r="K322" s="344">
        <f>+K323</f>
        <v>42964000</v>
      </c>
      <c r="L322" s="344">
        <f>+J322+K322</f>
        <v>67619000</v>
      </c>
      <c r="M322" s="344">
        <f t="shared" si="197"/>
        <v>67619000</v>
      </c>
      <c r="N322" s="337">
        <f t="shared" si="198"/>
        <v>759991000</v>
      </c>
      <c r="P322" s="343"/>
      <c r="S322" s="347"/>
      <c r="T322" s="347"/>
      <c r="U322" s="342"/>
    </row>
    <row r="323" spans="1:21" s="381" customFormat="1" ht="18" customHeight="1" x14ac:dyDescent="0.25">
      <c r="A323" s="384"/>
      <c r="B323" s="397"/>
      <c r="C323" s="384"/>
      <c r="D323" s="335" t="s">
        <v>114</v>
      </c>
      <c r="E323" s="335" t="s">
        <v>43</v>
      </c>
      <c r="F323" s="337">
        <f>SUM(F324:F330)</f>
        <v>827610000</v>
      </c>
      <c r="G323" s="344">
        <f>SUM(G325:G330)</f>
        <v>0</v>
      </c>
      <c r="H323" s="344">
        <f>SUM(H325:H330)</f>
        <v>0</v>
      </c>
      <c r="I323" s="344">
        <f>+G323+H323</f>
        <v>0</v>
      </c>
      <c r="J323" s="344">
        <f>SUM(J325:J330)</f>
        <v>24655000</v>
      </c>
      <c r="K323" s="344">
        <f>SUM(K324:K330)</f>
        <v>42964000</v>
      </c>
      <c r="L323" s="344">
        <f>+J323+K323</f>
        <v>67619000</v>
      </c>
      <c r="M323" s="344">
        <f t="shared" si="197"/>
        <v>67619000</v>
      </c>
      <c r="N323" s="337">
        <f t="shared" si="198"/>
        <v>759991000</v>
      </c>
      <c r="P323" s="343"/>
      <c r="S323" s="347"/>
      <c r="T323" s="347"/>
      <c r="U323" s="382"/>
    </row>
    <row r="324" spans="1:21" s="339" customFormat="1" ht="27" customHeight="1" x14ac:dyDescent="0.25">
      <c r="A324" s="399"/>
      <c r="B324" s="381"/>
      <c r="C324" s="366"/>
      <c r="D324" s="367" t="s">
        <v>478</v>
      </c>
      <c r="E324" s="369" t="s">
        <v>479</v>
      </c>
      <c r="F324" s="370">
        <v>31700000</v>
      </c>
      <c r="G324" s="400"/>
      <c r="H324" s="400"/>
      <c r="I324" s="400"/>
      <c r="J324" s="371"/>
      <c r="K324" s="371">
        <v>5794000</v>
      </c>
      <c r="L324" s="371">
        <f t="shared" ref="L324" si="200">+J324+K324</f>
        <v>5794000</v>
      </c>
      <c r="M324" s="371">
        <f t="shared" si="197"/>
        <v>5794000</v>
      </c>
      <c r="N324" s="370">
        <f t="shared" si="198"/>
        <v>25906000</v>
      </c>
      <c r="P324" s="343"/>
      <c r="S324" s="346">
        <f>954000+957000+975000+976000+975000+957000</f>
        <v>5794000</v>
      </c>
      <c r="T324" s="347"/>
      <c r="U324" s="342"/>
    </row>
    <row r="325" spans="1:21" s="339" customFormat="1" ht="35.25" customHeight="1" x14ac:dyDescent="0.25">
      <c r="A325" s="399"/>
      <c r="B325" s="381"/>
      <c r="C325" s="366"/>
      <c r="D325" s="367" t="s">
        <v>347</v>
      </c>
      <c r="E325" s="369" t="s">
        <v>348</v>
      </c>
      <c r="F325" s="370">
        <v>8500000</v>
      </c>
      <c r="G325" s="400"/>
      <c r="H325" s="400"/>
      <c r="I325" s="400"/>
      <c r="J325" s="371"/>
      <c r="K325" s="371"/>
      <c r="L325" s="371">
        <f t="shared" si="199"/>
        <v>0</v>
      </c>
      <c r="M325" s="371">
        <f t="shared" si="197"/>
        <v>0</v>
      </c>
      <c r="N325" s="370">
        <f t="shared" si="198"/>
        <v>8500000</v>
      </c>
      <c r="P325" s="343"/>
      <c r="S325" s="347"/>
      <c r="T325" s="347"/>
      <c r="U325" s="342"/>
    </row>
    <row r="326" spans="1:21" s="339" customFormat="1" ht="29.25" customHeight="1" x14ac:dyDescent="0.25">
      <c r="A326" s="399"/>
      <c r="B326" s="381"/>
      <c r="C326" s="367"/>
      <c r="D326" s="367" t="s">
        <v>349</v>
      </c>
      <c r="E326" s="369" t="s">
        <v>350</v>
      </c>
      <c r="F326" s="370">
        <v>99960000</v>
      </c>
      <c r="G326" s="400"/>
      <c r="H326" s="400"/>
      <c r="I326" s="400"/>
      <c r="J326" s="371">
        <v>13970000</v>
      </c>
      <c r="K326" s="371">
        <f>2275000+15000000</f>
        <v>17275000</v>
      </c>
      <c r="L326" s="371">
        <f t="shared" si="199"/>
        <v>31245000</v>
      </c>
      <c r="M326" s="371">
        <f t="shared" si="197"/>
        <v>31245000</v>
      </c>
      <c r="N326" s="370">
        <f>+F326-M326</f>
        <v>68715000</v>
      </c>
      <c r="P326" s="343"/>
      <c r="S326" s="346">
        <f>15000000+325000+750000+145000+60000+200000+95000+700000</f>
        <v>17275000</v>
      </c>
      <c r="T326" s="347"/>
      <c r="U326" s="342"/>
    </row>
    <row r="327" spans="1:21" s="339" customFormat="1" ht="35.25" customHeight="1" x14ac:dyDescent="0.25">
      <c r="A327" s="399"/>
      <c r="B327" s="381"/>
      <c r="C327" s="367"/>
      <c r="D327" s="367" t="s">
        <v>145</v>
      </c>
      <c r="E327" s="369" t="s">
        <v>351</v>
      </c>
      <c r="F327" s="370">
        <v>73200000</v>
      </c>
      <c r="G327" s="400"/>
      <c r="H327" s="400"/>
      <c r="I327" s="400"/>
      <c r="J327" s="371">
        <v>7975000</v>
      </c>
      <c r="K327" s="371">
        <v>6675000</v>
      </c>
      <c r="L327" s="371">
        <f t="shared" si="199"/>
        <v>14650000</v>
      </c>
      <c r="M327" s="371">
        <f t="shared" si="197"/>
        <v>14650000</v>
      </c>
      <c r="N327" s="370">
        <f>+F327-M327</f>
        <v>58550000</v>
      </c>
      <c r="P327" s="343"/>
      <c r="S327" s="346">
        <f>775000+950000+925000+675000+1000000+950000+1400000</f>
        <v>6675000</v>
      </c>
      <c r="T327" s="347"/>
      <c r="U327" s="342"/>
    </row>
    <row r="328" spans="1:21" s="339" customFormat="1" ht="18.75" customHeight="1" x14ac:dyDescent="0.25">
      <c r="A328" s="399"/>
      <c r="B328" s="381"/>
      <c r="C328" s="367"/>
      <c r="D328" s="367" t="s">
        <v>115</v>
      </c>
      <c r="E328" s="369" t="s">
        <v>116</v>
      </c>
      <c r="F328" s="370">
        <v>109500000</v>
      </c>
      <c r="G328" s="400"/>
      <c r="H328" s="400"/>
      <c r="I328" s="400"/>
      <c r="J328" s="371">
        <v>920000</v>
      </c>
      <c r="K328" s="371">
        <f>4470000+5350000</f>
        <v>9820000</v>
      </c>
      <c r="L328" s="371">
        <f t="shared" si="199"/>
        <v>10740000</v>
      </c>
      <c r="M328" s="371">
        <f t="shared" si="197"/>
        <v>10740000</v>
      </c>
      <c r="N328" s="370">
        <f>+F328-M328</f>
        <v>98760000</v>
      </c>
      <c r="P328" s="340"/>
      <c r="S328" s="346">
        <f>5350000+535000+440000+285000+565000+250000+745000+200000+200000+200000+900000+150000</f>
        <v>9820000</v>
      </c>
      <c r="T328" s="347"/>
      <c r="U328" s="342"/>
    </row>
    <row r="329" spans="1:21" s="339" customFormat="1" ht="21" customHeight="1" x14ac:dyDescent="0.25">
      <c r="A329" s="399"/>
      <c r="B329" s="381"/>
      <c r="C329" s="367"/>
      <c r="D329" s="367" t="s">
        <v>352</v>
      </c>
      <c r="E329" s="369" t="s">
        <v>353</v>
      </c>
      <c r="F329" s="370">
        <v>108500000</v>
      </c>
      <c r="G329" s="400"/>
      <c r="H329" s="400"/>
      <c r="I329" s="400"/>
      <c r="J329" s="371">
        <v>1790000</v>
      </c>
      <c r="K329" s="371">
        <f>3400000</f>
        <v>3400000</v>
      </c>
      <c r="L329" s="371">
        <f t="shared" si="199"/>
        <v>5190000</v>
      </c>
      <c r="M329" s="371">
        <f t="shared" si="197"/>
        <v>5190000</v>
      </c>
      <c r="N329" s="370">
        <f t="shared" si="198"/>
        <v>103310000</v>
      </c>
      <c r="P329" s="340"/>
      <c r="S329" s="346">
        <f>3400000</f>
        <v>3400000</v>
      </c>
      <c r="T329" s="347"/>
      <c r="U329" s="342"/>
    </row>
    <row r="330" spans="1:21" s="153" customFormat="1" ht="18" customHeight="1" x14ac:dyDescent="0.25">
      <c r="A330" s="393"/>
      <c r="B330" s="401"/>
      <c r="C330" s="355"/>
      <c r="D330" s="355" t="s">
        <v>354</v>
      </c>
      <c r="E330" s="402" t="s">
        <v>355</v>
      </c>
      <c r="F330" s="356">
        <v>396250000</v>
      </c>
      <c r="G330" s="357"/>
      <c r="H330" s="357"/>
      <c r="I330" s="357">
        <f t="shared" ref="I330:I347" si="201">+G330+H330</f>
        <v>0</v>
      </c>
      <c r="J330" s="357"/>
      <c r="K330" s="357"/>
      <c r="L330" s="357">
        <f t="shared" si="199"/>
        <v>0</v>
      </c>
      <c r="M330" s="357">
        <f t="shared" si="197"/>
        <v>0</v>
      </c>
      <c r="N330" s="356">
        <f t="shared" si="198"/>
        <v>396250000</v>
      </c>
      <c r="P330" s="200"/>
      <c r="S330" s="221"/>
      <c r="T330" s="221"/>
      <c r="U330" s="254"/>
    </row>
    <row r="331" spans="1:21" s="319" customFormat="1" ht="22.5" customHeight="1" x14ac:dyDescent="0.25">
      <c r="A331" s="275">
        <v>18</v>
      </c>
      <c r="B331" s="314"/>
      <c r="C331" s="314" t="s">
        <v>146</v>
      </c>
      <c r="D331" s="315"/>
      <c r="E331" s="348" t="s">
        <v>356</v>
      </c>
      <c r="F331" s="317">
        <f t="shared" ref="F331:H334" si="202">+F332</f>
        <v>399988000</v>
      </c>
      <c r="G331" s="318">
        <f t="shared" si="202"/>
        <v>0</v>
      </c>
      <c r="H331" s="318">
        <f t="shared" si="202"/>
        <v>0</v>
      </c>
      <c r="I331" s="318">
        <f t="shared" si="201"/>
        <v>0</v>
      </c>
      <c r="J331" s="318">
        <f t="shared" ref="J331:K335" si="203">+J332</f>
        <v>0</v>
      </c>
      <c r="K331" s="318">
        <f t="shared" si="203"/>
        <v>0</v>
      </c>
      <c r="L331" s="318">
        <f>+J331+K331</f>
        <v>0</v>
      </c>
      <c r="M331" s="318">
        <f>+I331+L331</f>
        <v>0</v>
      </c>
      <c r="N331" s="317">
        <f>+F331-M331</f>
        <v>399988000</v>
      </c>
      <c r="P331" s="320"/>
      <c r="R331" s="321"/>
      <c r="S331" s="349"/>
      <c r="T331" s="349"/>
      <c r="U331" s="350"/>
    </row>
    <row r="332" spans="1:21" s="329" customFormat="1" ht="18" customHeight="1" x14ac:dyDescent="0.25">
      <c r="A332" s="323"/>
      <c r="B332" s="324"/>
      <c r="C332" s="324"/>
      <c r="D332" s="325" t="s">
        <v>207</v>
      </c>
      <c r="E332" s="326" t="s">
        <v>262</v>
      </c>
      <c r="F332" s="327">
        <f t="shared" si="202"/>
        <v>399988000</v>
      </c>
      <c r="G332" s="328">
        <f t="shared" si="202"/>
        <v>0</v>
      </c>
      <c r="H332" s="328">
        <f t="shared" si="202"/>
        <v>0</v>
      </c>
      <c r="I332" s="328">
        <f t="shared" si="201"/>
        <v>0</v>
      </c>
      <c r="J332" s="328">
        <f t="shared" si="203"/>
        <v>0</v>
      </c>
      <c r="K332" s="328">
        <f t="shared" si="203"/>
        <v>0</v>
      </c>
      <c r="L332" s="328">
        <f>+J332+K332</f>
        <v>0</v>
      </c>
      <c r="M332" s="328">
        <f t="shared" ref="M332:M336" si="204">+I332+L332</f>
        <v>0</v>
      </c>
      <c r="N332" s="327">
        <f>+F332-M332</f>
        <v>399988000</v>
      </c>
      <c r="P332" s="330"/>
      <c r="R332" s="331"/>
      <c r="S332" s="351"/>
      <c r="T332" s="351"/>
      <c r="U332" s="333"/>
    </row>
    <row r="333" spans="1:21" s="381" customFormat="1" ht="18" customHeight="1" x14ac:dyDescent="0.25">
      <c r="A333" s="384"/>
      <c r="B333" s="397"/>
      <c r="C333" s="384"/>
      <c r="D333" s="335" t="s">
        <v>63</v>
      </c>
      <c r="E333" s="335" t="s">
        <v>30</v>
      </c>
      <c r="F333" s="337">
        <f t="shared" si="202"/>
        <v>399988000</v>
      </c>
      <c r="G333" s="344">
        <f t="shared" si="202"/>
        <v>0</v>
      </c>
      <c r="H333" s="344">
        <f t="shared" si="202"/>
        <v>0</v>
      </c>
      <c r="I333" s="344">
        <f t="shared" si="201"/>
        <v>0</v>
      </c>
      <c r="J333" s="344">
        <f t="shared" si="203"/>
        <v>0</v>
      </c>
      <c r="K333" s="344">
        <f t="shared" si="203"/>
        <v>0</v>
      </c>
      <c r="L333" s="344">
        <f>+J333+K333</f>
        <v>0</v>
      </c>
      <c r="M333" s="344">
        <f t="shared" si="204"/>
        <v>0</v>
      </c>
      <c r="N333" s="337">
        <f t="shared" ref="N333:N336" si="205">+F333-M333</f>
        <v>399988000</v>
      </c>
      <c r="P333" s="340"/>
      <c r="S333" s="347"/>
      <c r="T333" s="347"/>
      <c r="U333" s="382"/>
    </row>
    <row r="334" spans="1:21" s="339" customFormat="1" ht="18" customHeight="1" x14ac:dyDescent="0.25">
      <c r="A334" s="334"/>
      <c r="B334" s="335"/>
      <c r="C334" s="335"/>
      <c r="D334" s="365" t="s">
        <v>275</v>
      </c>
      <c r="E334" s="335" t="s">
        <v>276</v>
      </c>
      <c r="F334" s="337">
        <f t="shared" si="202"/>
        <v>399988000</v>
      </c>
      <c r="G334" s="344">
        <f t="shared" si="202"/>
        <v>0</v>
      </c>
      <c r="H334" s="344">
        <f t="shared" si="202"/>
        <v>0</v>
      </c>
      <c r="I334" s="344">
        <f t="shared" si="201"/>
        <v>0</v>
      </c>
      <c r="J334" s="344">
        <f t="shared" si="203"/>
        <v>0</v>
      </c>
      <c r="K334" s="344">
        <f t="shared" si="203"/>
        <v>0</v>
      </c>
      <c r="L334" s="344">
        <f>+J334+K334</f>
        <v>0</v>
      </c>
      <c r="M334" s="344">
        <f t="shared" si="204"/>
        <v>0</v>
      </c>
      <c r="N334" s="337">
        <f t="shared" si="205"/>
        <v>399988000</v>
      </c>
      <c r="P334" s="340"/>
      <c r="S334" s="347"/>
      <c r="T334" s="347"/>
      <c r="U334" s="342"/>
    </row>
    <row r="335" spans="1:21" s="381" customFormat="1" ht="18" customHeight="1" x14ac:dyDescent="0.25">
      <c r="A335" s="384"/>
      <c r="B335" s="397"/>
      <c r="C335" s="384"/>
      <c r="D335" s="335" t="s">
        <v>147</v>
      </c>
      <c r="E335" s="335" t="s">
        <v>35</v>
      </c>
      <c r="F335" s="337">
        <f>F336</f>
        <v>399988000</v>
      </c>
      <c r="G335" s="344">
        <f>+G336</f>
        <v>0</v>
      </c>
      <c r="H335" s="344">
        <f>+H336</f>
        <v>0</v>
      </c>
      <c r="I335" s="344">
        <f t="shared" si="201"/>
        <v>0</v>
      </c>
      <c r="J335" s="344">
        <f t="shared" si="203"/>
        <v>0</v>
      </c>
      <c r="K335" s="344">
        <f t="shared" si="203"/>
        <v>0</v>
      </c>
      <c r="L335" s="344">
        <f>+J335+K335</f>
        <v>0</v>
      </c>
      <c r="M335" s="344">
        <f t="shared" si="204"/>
        <v>0</v>
      </c>
      <c r="N335" s="337">
        <f t="shared" si="205"/>
        <v>399988000</v>
      </c>
      <c r="P335" s="340"/>
      <c r="S335" s="347"/>
      <c r="T335" s="347"/>
      <c r="U335" s="382"/>
    </row>
    <row r="336" spans="1:21" s="153" customFormat="1" ht="33.75" customHeight="1" x14ac:dyDescent="0.25">
      <c r="A336" s="403"/>
      <c r="B336" s="388"/>
      <c r="C336" s="372"/>
      <c r="D336" s="373" t="s">
        <v>148</v>
      </c>
      <c r="E336" s="375" t="s">
        <v>149</v>
      </c>
      <c r="F336" s="376">
        <v>399988000</v>
      </c>
      <c r="G336" s="404"/>
      <c r="H336" s="377"/>
      <c r="I336" s="377">
        <f t="shared" si="201"/>
        <v>0</v>
      </c>
      <c r="J336" s="377"/>
      <c r="K336" s="377"/>
      <c r="L336" s="377">
        <f t="shared" ref="L336" si="206">+J336+K336</f>
        <v>0</v>
      </c>
      <c r="M336" s="377">
        <f t="shared" si="204"/>
        <v>0</v>
      </c>
      <c r="N336" s="376">
        <f t="shared" si="205"/>
        <v>399988000</v>
      </c>
      <c r="P336" s="200"/>
      <c r="S336" s="221"/>
      <c r="T336" s="221"/>
      <c r="U336" s="254"/>
    </row>
    <row r="337" spans="1:21" s="319" customFormat="1" ht="34.5" customHeight="1" x14ac:dyDescent="0.25">
      <c r="A337" s="275">
        <v>19</v>
      </c>
      <c r="B337" s="314"/>
      <c r="C337" s="314" t="s">
        <v>151</v>
      </c>
      <c r="D337" s="315"/>
      <c r="E337" s="348" t="s">
        <v>152</v>
      </c>
      <c r="F337" s="317">
        <f t="shared" ref="F337:H340" si="207">+F338</f>
        <v>200000000</v>
      </c>
      <c r="G337" s="318">
        <f t="shared" si="207"/>
        <v>0</v>
      </c>
      <c r="H337" s="318">
        <f t="shared" si="207"/>
        <v>0</v>
      </c>
      <c r="I337" s="318">
        <f t="shared" si="201"/>
        <v>0</v>
      </c>
      <c r="J337" s="318">
        <f t="shared" ref="J337:K341" si="208">+J338</f>
        <v>0</v>
      </c>
      <c r="K337" s="318">
        <f t="shared" si="208"/>
        <v>0</v>
      </c>
      <c r="L337" s="318">
        <f>+J337+K337</f>
        <v>0</v>
      </c>
      <c r="M337" s="318">
        <f>+I337+L337</f>
        <v>0</v>
      </c>
      <c r="N337" s="317">
        <f>+F337-M337</f>
        <v>200000000</v>
      </c>
      <c r="P337" s="320"/>
      <c r="R337" s="321"/>
      <c r="S337" s="349"/>
      <c r="T337" s="349"/>
      <c r="U337" s="350"/>
    </row>
    <row r="338" spans="1:21" s="329" customFormat="1" ht="18" customHeight="1" x14ac:dyDescent="0.25">
      <c r="A338" s="323"/>
      <c r="B338" s="324"/>
      <c r="C338" s="324"/>
      <c r="D338" s="325" t="s">
        <v>207</v>
      </c>
      <c r="E338" s="326" t="s">
        <v>262</v>
      </c>
      <c r="F338" s="327">
        <f t="shared" si="207"/>
        <v>200000000</v>
      </c>
      <c r="G338" s="328">
        <f t="shared" si="207"/>
        <v>0</v>
      </c>
      <c r="H338" s="328">
        <f t="shared" si="207"/>
        <v>0</v>
      </c>
      <c r="I338" s="328">
        <f t="shared" si="201"/>
        <v>0</v>
      </c>
      <c r="J338" s="328">
        <f t="shared" si="208"/>
        <v>0</v>
      </c>
      <c r="K338" s="328">
        <f t="shared" si="208"/>
        <v>0</v>
      </c>
      <c r="L338" s="328">
        <f>+J338+K338</f>
        <v>0</v>
      </c>
      <c r="M338" s="328">
        <f t="shared" ref="M338:M342" si="209">+I338+L338</f>
        <v>0</v>
      </c>
      <c r="N338" s="327">
        <f t="shared" ref="N338:N342" si="210">+F338-M338</f>
        <v>200000000</v>
      </c>
      <c r="P338" s="330"/>
      <c r="R338" s="331"/>
      <c r="S338" s="351"/>
      <c r="T338" s="351"/>
      <c r="U338" s="333"/>
    </row>
    <row r="339" spans="1:21" s="381" customFormat="1" ht="18" customHeight="1" x14ac:dyDescent="0.25">
      <c r="A339" s="384"/>
      <c r="B339" s="397"/>
      <c r="C339" s="384"/>
      <c r="D339" s="335" t="s">
        <v>63</v>
      </c>
      <c r="E339" s="335" t="s">
        <v>30</v>
      </c>
      <c r="F339" s="337">
        <f t="shared" si="207"/>
        <v>200000000</v>
      </c>
      <c r="G339" s="344">
        <f t="shared" si="207"/>
        <v>0</v>
      </c>
      <c r="H339" s="344">
        <f t="shared" si="207"/>
        <v>0</v>
      </c>
      <c r="I339" s="344">
        <f t="shared" si="201"/>
        <v>0</v>
      </c>
      <c r="J339" s="344">
        <f t="shared" si="208"/>
        <v>0</v>
      </c>
      <c r="K339" s="344">
        <f t="shared" si="208"/>
        <v>0</v>
      </c>
      <c r="L339" s="344">
        <f>+J339+K339</f>
        <v>0</v>
      </c>
      <c r="M339" s="344">
        <f t="shared" si="209"/>
        <v>0</v>
      </c>
      <c r="N339" s="337">
        <f t="shared" si="210"/>
        <v>200000000</v>
      </c>
      <c r="P339" s="340"/>
      <c r="S339" s="347"/>
      <c r="T339" s="347"/>
      <c r="U339" s="382"/>
    </row>
    <row r="340" spans="1:21" s="339" customFormat="1" ht="18" customHeight="1" x14ac:dyDescent="0.25">
      <c r="A340" s="334"/>
      <c r="B340" s="335"/>
      <c r="C340" s="335"/>
      <c r="D340" s="365" t="s">
        <v>275</v>
      </c>
      <c r="E340" s="335" t="s">
        <v>276</v>
      </c>
      <c r="F340" s="337">
        <f t="shared" si="207"/>
        <v>200000000</v>
      </c>
      <c r="G340" s="344">
        <f t="shared" si="207"/>
        <v>0</v>
      </c>
      <c r="H340" s="344">
        <f t="shared" si="207"/>
        <v>0</v>
      </c>
      <c r="I340" s="344">
        <f t="shared" si="201"/>
        <v>0</v>
      </c>
      <c r="J340" s="344">
        <f t="shared" si="208"/>
        <v>0</v>
      </c>
      <c r="K340" s="344">
        <f t="shared" si="208"/>
        <v>0</v>
      </c>
      <c r="L340" s="344">
        <f>+J340+K340</f>
        <v>0</v>
      </c>
      <c r="M340" s="344">
        <f t="shared" si="209"/>
        <v>0</v>
      </c>
      <c r="N340" s="337">
        <f t="shared" si="210"/>
        <v>200000000</v>
      </c>
      <c r="P340" s="340"/>
      <c r="S340" s="347"/>
      <c r="T340" s="347"/>
      <c r="U340" s="342"/>
    </row>
    <row r="341" spans="1:21" s="381" customFormat="1" ht="18" customHeight="1" x14ac:dyDescent="0.25">
      <c r="A341" s="384"/>
      <c r="B341" s="397"/>
      <c r="C341" s="384"/>
      <c r="D341" s="335" t="s">
        <v>147</v>
      </c>
      <c r="E341" s="335" t="s">
        <v>35</v>
      </c>
      <c r="F341" s="337">
        <f>F342</f>
        <v>200000000</v>
      </c>
      <c r="G341" s="344">
        <f>+G342</f>
        <v>0</v>
      </c>
      <c r="H341" s="344">
        <f>+H342</f>
        <v>0</v>
      </c>
      <c r="I341" s="344">
        <f t="shared" si="201"/>
        <v>0</v>
      </c>
      <c r="J341" s="344">
        <f t="shared" si="208"/>
        <v>0</v>
      </c>
      <c r="K341" s="344">
        <f t="shared" si="208"/>
        <v>0</v>
      </c>
      <c r="L341" s="344">
        <f>+J341+K341</f>
        <v>0</v>
      </c>
      <c r="M341" s="344">
        <f t="shared" si="209"/>
        <v>0</v>
      </c>
      <c r="N341" s="337">
        <f t="shared" si="210"/>
        <v>200000000</v>
      </c>
      <c r="P341" s="340"/>
      <c r="S341" s="347"/>
      <c r="T341" s="347"/>
      <c r="U341" s="382"/>
    </row>
    <row r="342" spans="1:21" s="153" customFormat="1" ht="33.75" customHeight="1" x14ac:dyDescent="0.25">
      <c r="A342" s="403"/>
      <c r="B342" s="388"/>
      <c r="C342" s="372"/>
      <c r="D342" s="373" t="s">
        <v>148</v>
      </c>
      <c r="E342" s="375" t="s">
        <v>149</v>
      </c>
      <c r="F342" s="376">
        <v>200000000</v>
      </c>
      <c r="G342" s="404"/>
      <c r="H342" s="377"/>
      <c r="I342" s="377">
        <f t="shared" si="201"/>
        <v>0</v>
      </c>
      <c r="J342" s="377"/>
      <c r="K342" s="377"/>
      <c r="L342" s="377">
        <f t="shared" ref="L342" si="211">+J342+K342</f>
        <v>0</v>
      </c>
      <c r="M342" s="377">
        <f t="shared" si="209"/>
        <v>0</v>
      </c>
      <c r="N342" s="376">
        <f t="shared" si="210"/>
        <v>200000000</v>
      </c>
      <c r="P342" s="200"/>
      <c r="S342" s="221"/>
      <c r="T342" s="221"/>
      <c r="U342" s="254"/>
    </row>
    <row r="343" spans="1:21" s="319" customFormat="1" ht="34.5" customHeight="1" x14ac:dyDescent="0.25">
      <c r="A343" s="275">
        <v>20</v>
      </c>
      <c r="B343" s="314"/>
      <c r="C343" s="314" t="s">
        <v>153</v>
      </c>
      <c r="D343" s="315"/>
      <c r="E343" s="348" t="s">
        <v>154</v>
      </c>
      <c r="F343" s="317">
        <f t="shared" ref="F343:H346" si="212">+F344</f>
        <v>80000000</v>
      </c>
      <c r="G343" s="318">
        <f t="shared" si="212"/>
        <v>0</v>
      </c>
      <c r="H343" s="318">
        <f t="shared" si="212"/>
        <v>0</v>
      </c>
      <c r="I343" s="318">
        <f t="shared" si="201"/>
        <v>0</v>
      </c>
      <c r="J343" s="318">
        <f t="shared" ref="J343:K347" si="213">+J344</f>
        <v>0</v>
      </c>
      <c r="K343" s="318">
        <f t="shared" si="213"/>
        <v>20000000</v>
      </c>
      <c r="L343" s="318">
        <f>+J343+K343</f>
        <v>20000000</v>
      </c>
      <c r="M343" s="318">
        <f>+I343+L343</f>
        <v>20000000</v>
      </c>
      <c r="N343" s="317">
        <f>+F343-M343</f>
        <v>60000000</v>
      </c>
      <c r="P343" s="320"/>
      <c r="R343" s="321"/>
      <c r="S343" s="349"/>
      <c r="T343" s="349"/>
      <c r="U343" s="350"/>
    </row>
    <row r="344" spans="1:21" s="329" customFormat="1" ht="18" customHeight="1" x14ac:dyDescent="0.25">
      <c r="A344" s="323"/>
      <c r="B344" s="324"/>
      <c r="C344" s="324"/>
      <c r="D344" s="325" t="s">
        <v>207</v>
      </c>
      <c r="E344" s="326" t="s">
        <v>262</v>
      </c>
      <c r="F344" s="327">
        <f t="shared" si="212"/>
        <v>80000000</v>
      </c>
      <c r="G344" s="328">
        <f t="shared" si="212"/>
        <v>0</v>
      </c>
      <c r="H344" s="328">
        <f t="shared" si="212"/>
        <v>0</v>
      </c>
      <c r="I344" s="328">
        <f t="shared" si="201"/>
        <v>0</v>
      </c>
      <c r="J344" s="328">
        <f t="shared" si="213"/>
        <v>0</v>
      </c>
      <c r="K344" s="328">
        <f t="shared" si="213"/>
        <v>20000000</v>
      </c>
      <c r="L344" s="328">
        <f>+J344+K344</f>
        <v>20000000</v>
      </c>
      <c r="M344" s="328">
        <f t="shared" ref="M344:M348" si="214">+I344+L344</f>
        <v>20000000</v>
      </c>
      <c r="N344" s="327">
        <f t="shared" ref="N344:N348" si="215">+F344-M344</f>
        <v>60000000</v>
      </c>
      <c r="P344" s="330"/>
      <c r="R344" s="331"/>
      <c r="S344" s="351"/>
      <c r="T344" s="351"/>
      <c r="U344" s="333"/>
    </row>
    <row r="345" spans="1:21" s="381" customFormat="1" ht="18" customHeight="1" x14ac:dyDescent="0.25">
      <c r="A345" s="384"/>
      <c r="B345" s="397"/>
      <c r="C345" s="384"/>
      <c r="D345" s="335" t="s">
        <v>63</v>
      </c>
      <c r="E345" s="335" t="s">
        <v>30</v>
      </c>
      <c r="F345" s="337">
        <f t="shared" si="212"/>
        <v>80000000</v>
      </c>
      <c r="G345" s="344">
        <f t="shared" si="212"/>
        <v>0</v>
      </c>
      <c r="H345" s="344">
        <f t="shared" si="212"/>
        <v>0</v>
      </c>
      <c r="I345" s="344">
        <f t="shared" si="201"/>
        <v>0</v>
      </c>
      <c r="J345" s="344">
        <f t="shared" si="213"/>
        <v>0</v>
      </c>
      <c r="K345" s="344">
        <f t="shared" si="213"/>
        <v>20000000</v>
      </c>
      <c r="L345" s="344">
        <f>+J345+K345</f>
        <v>20000000</v>
      </c>
      <c r="M345" s="344">
        <f t="shared" si="214"/>
        <v>20000000</v>
      </c>
      <c r="N345" s="337">
        <f t="shared" si="215"/>
        <v>60000000</v>
      </c>
      <c r="P345" s="340"/>
      <c r="S345" s="347"/>
      <c r="T345" s="347"/>
      <c r="U345" s="382"/>
    </row>
    <row r="346" spans="1:21" s="339" customFormat="1" ht="18" customHeight="1" x14ac:dyDescent="0.25">
      <c r="A346" s="334"/>
      <c r="B346" s="335"/>
      <c r="C346" s="335"/>
      <c r="D346" s="365" t="s">
        <v>275</v>
      </c>
      <c r="E346" s="335" t="s">
        <v>276</v>
      </c>
      <c r="F346" s="337">
        <f t="shared" si="212"/>
        <v>80000000</v>
      </c>
      <c r="G346" s="344">
        <f t="shared" si="212"/>
        <v>0</v>
      </c>
      <c r="H346" s="344">
        <f t="shared" si="212"/>
        <v>0</v>
      </c>
      <c r="I346" s="344">
        <f t="shared" si="201"/>
        <v>0</v>
      </c>
      <c r="J346" s="344">
        <f t="shared" si="213"/>
        <v>0</v>
      </c>
      <c r="K346" s="344">
        <f t="shared" si="213"/>
        <v>20000000</v>
      </c>
      <c r="L346" s="344">
        <f>+J346+K346</f>
        <v>20000000</v>
      </c>
      <c r="M346" s="344">
        <f t="shared" si="214"/>
        <v>20000000</v>
      </c>
      <c r="N346" s="337">
        <f t="shared" si="215"/>
        <v>60000000</v>
      </c>
      <c r="P346" s="340"/>
      <c r="S346" s="347"/>
      <c r="T346" s="347"/>
      <c r="U346" s="342"/>
    </row>
    <row r="347" spans="1:21" s="381" customFormat="1" ht="18" customHeight="1" x14ac:dyDescent="0.25">
      <c r="A347" s="384"/>
      <c r="B347" s="397"/>
      <c r="C347" s="384"/>
      <c r="D347" s="335" t="s">
        <v>114</v>
      </c>
      <c r="E347" s="335" t="s">
        <v>43</v>
      </c>
      <c r="F347" s="337">
        <f>F348</f>
        <v>80000000</v>
      </c>
      <c r="G347" s="344">
        <f>+G348</f>
        <v>0</v>
      </c>
      <c r="H347" s="344">
        <f>+H348</f>
        <v>0</v>
      </c>
      <c r="I347" s="344">
        <f t="shared" si="201"/>
        <v>0</v>
      </c>
      <c r="J347" s="344">
        <f t="shared" si="213"/>
        <v>0</v>
      </c>
      <c r="K347" s="344">
        <f t="shared" si="213"/>
        <v>20000000</v>
      </c>
      <c r="L347" s="344">
        <f>+J347+K347</f>
        <v>20000000</v>
      </c>
      <c r="M347" s="344">
        <f t="shared" si="214"/>
        <v>20000000</v>
      </c>
      <c r="N347" s="337">
        <f t="shared" si="215"/>
        <v>60000000</v>
      </c>
      <c r="P347" s="340"/>
      <c r="S347" s="347"/>
      <c r="T347" s="347"/>
      <c r="U347" s="382"/>
    </row>
    <row r="348" spans="1:21" s="339" customFormat="1" ht="20.25" customHeight="1" x14ac:dyDescent="0.25">
      <c r="A348" s="399"/>
      <c r="B348" s="381"/>
      <c r="C348" s="366"/>
      <c r="D348" s="367" t="s">
        <v>349</v>
      </c>
      <c r="E348" s="369" t="s">
        <v>350</v>
      </c>
      <c r="F348" s="370">
        <v>80000000</v>
      </c>
      <c r="G348" s="400"/>
      <c r="H348" s="400"/>
      <c r="I348" s="400"/>
      <c r="J348" s="371"/>
      <c r="K348" s="371">
        <v>20000000</v>
      </c>
      <c r="L348" s="371">
        <f t="shared" ref="L348" si="216">+J348+K348</f>
        <v>20000000</v>
      </c>
      <c r="M348" s="371">
        <f t="shared" si="214"/>
        <v>20000000</v>
      </c>
      <c r="N348" s="370">
        <f t="shared" si="215"/>
        <v>60000000</v>
      </c>
      <c r="P348" s="340"/>
      <c r="S348" s="346">
        <v>20000000</v>
      </c>
      <c r="T348" s="347"/>
      <c r="U348" s="342"/>
    </row>
    <row r="349" spans="1:21" s="153" customFormat="1" ht="18" customHeight="1" x14ac:dyDescent="0.25">
      <c r="A349" s="353"/>
      <c r="B349" s="355"/>
      <c r="C349" s="355"/>
      <c r="D349" s="355"/>
      <c r="E349" s="355"/>
      <c r="F349" s="356"/>
      <c r="G349" s="357"/>
      <c r="H349" s="357"/>
      <c r="I349" s="357"/>
      <c r="J349" s="357"/>
      <c r="K349" s="357"/>
      <c r="L349" s="357"/>
      <c r="M349" s="357"/>
      <c r="N349" s="356"/>
      <c r="P349" s="200"/>
      <c r="S349" s="221"/>
      <c r="T349" s="221"/>
      <c r="U349" s="254"/>
    </row>
    <row r="350" spans="1:21" s="319" customFormat="1" ht="18.75" customHeight="1" x14ac:dyDescent="0.25">
      <c r="A350" s="276"/>
      <c r="B350" s="305" t="s">
        <v>410</v>
      </c>
      <c r="C350" s="305"/>
      <c r="D350" s="305"/>
      <c r="E350" s="396" t="s">
        <v>411</v>
      </c>
      <c r="F350" s="359">
        <f>+F351+F357+F369+F375</f>
        <v>352609205400</v>
      </c>
      <c r="G350" s="308">
        <f>G351+G357+G369+G375</f>
        <v>12413234000</v>
      </c>
      <c r="H350" s="308">
        <f>+H351+H357+H369+H375</f>
        <v>25149117000</v>
      </c>
      <c r="I350" s="360">
        <f>+G350+H350</f>
        <v>37562351000</v>
      </c>
      <c r="J350" s="308">
        <f>J351+J357+J369+J375</f>
        <v>0</v>
      </c>
      <c r="K350" s="308">
        <f>+K352</f>
        <v>0</v>
      </c>
      <c r="L350" s="360">
        <f t="shared" ref="L350:L364" si="217">+J350+K350</f>
        <v>0</v>
      </c>
      <c r="M350" s="360">
        <f t="shared" ref="M350:M364" si="218">+I350+L350</f>
        <v>37562351000</v>
      </c>
      <c r="N350" s="359">
        <f t="shared" ref="N350:N355" si="219">+F350-M350</f>
        <v>315046854400</v>
      </c>
      <c r="P350" s="361"/>
      <c r="R350" s="321"/>
      <c r="S350" s="362"/>
      <c r="T350" s="362"/>
      <c r="U350" s="350"/>
    </row>
    <row r="351" spans="1:21" s="319" customFormat="1" ht="32.25" hidden="1" customHeight="1" x14ac:dyDescent="0.25">
      <c r="A351" s="275">
        <v>21</v>
      </c>
      <c r="B351" s="314"/>
      <c r="C351" s="314" t="s">
        <v>280</v>
      </c>
      <c r="D351" s="315"/>
      <c r="E351" s="348" t="s">
        <v>279</v>
      </c>
      <c r="F351" s="317">
        <f t="shared" ref="F351:H355" si="220">+F352</f>
        <v>0</v>
      </c>
      <c r="G351" s="318">
        <f t="shared" si="220"/>
        <v>0</v>
      </c>
      <c r="H351" s="318">
        <f>+H352</f>
        <v>0</v>
      </c>
      <c r="I351" s="318">
        <f>+G351+H351</f>
        <v>0</v>
      </c>
      <c r="J351" s="318">
        <f>+J352</f>
        <v>0</v>
      </c>
      <c r="K351" s="318">
        <f>+K352</f>
        <v>0</v>
      </c>
      <c r="L351" s="318">
        <f t="shared" si="217"/>
        <v>0</v>
      </c>
      <c r="M351" s="318">
        <f>+I351+L351</f>
        <v>0</v>
      </c>
      <c r="N351" s="317">
        <f>+F351-M351</f>
        <v>0</v>
      </c>
      <c r="P351" s="320"/>
      <c r="R351" s="321"/>
      <c r="S351" s="349"/>
      <c r="T351" s="349"/>
      <c r="U351" s="350"/>
    </row>
    <row r="352" spans="1:21" s="329" customFormat="1" ht="18" hidden="1" customHeight="1" x14ac:dyDescent="0.25">
      <c r="A352" s="323"/>
      <c r="B352" s="324"/>
      <c r="C352" s="324"/>
      <c r="D352" s="325" t="s">
        <v>207</v>
      </c>
      <c r="E352" s="326" t="s">
        <v>262</v>
      </c>
      <c r="F352" s="327">
        <f t="shared" si="220"/>
        <v>0</v>
      </c>
      <c r="G352" s="328">
        <f t="shared" si="220"/>
        <v>0</v>
      </c>
      <c r="H352" s="328">
        <f t="shared" si="220"/>
        <v>0</v>
      </c>
      <c r="I352" s="328">
        <f t="shared" ref="I352:I368" si="221">+G352+H352</f>
        <v>0</v>
      </c>
      <c r="J352" s="328">
        <f>+J353</f>
        <v>0</v>
      </c>
      <c r="K352" s="328">
        <f>+K353</f>
        <v>0</v>
      </c>
      <c r="L352" s="328">
        <f t="shared" si="217"/>
        <v>0</v>
      </c>
      <c r="M352" s="328">
        <f t="shared" si="218"/>
        <v>0</v>
      </c>
      <c r="N352" s="327">
        <f t="shared" si="219"/>
        <v>0</v>
      </c>
      <c r="P352" s="330"/>
      <c r="R352" s="331"/>
      <c r="S352" s="351"/>
      <c r="T352" s="351"/>
      <c r="U352" s="333"/>
    </row>
    <row r="353" spans="1:21" s="381" customFormat="1" ht="18" hidden="1" customHeight="1" x14ac:dyDescent="0.25">
      <c r="A353" s="384"/>
      <c r="B353" s="335"/>
      <c r="C353" s="335"/>
      <c r="D353" s="335" t="s">
        <v>281</v>
      </c>
      <c r="E353" s="335" t="s">
        <v>282</v>
      </c>
      <c r="F353" s="337">
        <f t="shared" si="220"/>
        <v>0</v>
      </c>
      <c r="G353" s="338">
        <f t="shared" si="220"/>
        <v>0</v>
      </c>
      <c r="H353" s="338">
        <f t="shared" si="220"/>
        <v>0</v>
      </c>
      <c r="I353" s="338">
        <f>+G353+H353</f>
        <v>0</v>
      </c>
      <c r="J353" s="338">
        <f>+J354+J363</f>
        <v>0</v>
      </c>
      <c r="K353" s="338">
        <f>+K354+K363</f>
        <v>0</v>
      </c>
      <c r="L353" s="338">
        <f t="shared" si="217"/>
        <v>0</v>
      </c>
      <c r="M353" s="338">
        <f>+I353+L353</f>
        <v>0</v>
      </c>
      <c r="N353" s="405">
        <f t="shared" si="219"/>
        <v>0</v>
      </c>
      <c r="P353" s="340"/>
      <c r="S353" s="347"/>
      <c r="T353" s="347"/>
      <c r="U353" s="382"/>
    </row>
    <row r="354" spans="1:21" s="339" customFormat="1" ht="18" hidden="1" customHeight="1" x14ac:dyDescent="0.25">
      <c r="A354" s="334"/>
      <c r="B354" s="335"/>
      <c r="C354" s="335"/>
      <c r="D354" s="335" t="s">
        <v>283</v>
      </c>
      <c r="E354" s="336" t="s">
        <v>284</v>
      </c>
      <c r="F354" s="337">
        <f t="shared" si="220"/>
        <v>0</v>
      </c>
      <c r="G354" s="338">
        <f t="shared" si="220"/>
        <v>0</v>
      </c>
      <c r="H354" s="338">
        <f t="shared" si="220"/>
        <v>0</v>
      </c>
      <c r="I354" s="338">
        <f t="shared" si="221"/>
        <v>0</v>
      </c>
      <c r="J354" s="338">
        <f>+J355</f>
        <v>0</v>
      </c>
      <c r="K354" s="338">
        <f>+K355</f>
        <v>0</v>
      </c>
      <c r="L354" s="338">
        <f t="shared" si="217"/>
        <v>0</v>
      </c>
      <c r="M354" s="338">
        <f t="shared" si="218"/>
        <v>0</v>
      </c>
      <c r="N354" s="337">
        <f t="shared" si="219"/>
        <v>0</v>
      </c>
      <c r="P354" s="340"/>
      <c r="S354" s="347"/>
      <c r="T354" s="347"/>
      <c r="U354" s="342"/>
    </row>
    <row r="355" spans="1:21" s="339" customFormat="1" ht="31.5" hidden="1" customHeight="1" x14ac:dyDescent="0.25">
      <c r="A355" s="334"/>
      <c r="B355" s="335"/>
      <c r="C355" s="335"/>
      <c r="D355" s="335" t="s">
        <v>412</v>
      </c>
      <c r="E355" s="391" t="s">
        <v>413</v>
      </c>
      <c r="F355" s="337">
        <f t="shared" si="220"/>
        <v>0</v>
      </c>
      <c r="G355" s="344">
        <f t="shared" si="220"/>
        <v>0</v>
      </c>
      <c r="H355" s="344">
        <f t="shared" si="220"/>
        <v>0</v>
      </c>
      <c r="I355" s="344">
        <f t="shared" si="221"/>
        <v>0</v>
      </c>
      <c r="J355" s="344">
        <f>+J356</f>
        <v>0</v>
      </c>
      <c r="K355" s="344">
        <f>+K356</f>
        <v>0</v>
      </c>
      <c r="L355" s="344">
        <f t="shared" si="217"/>
        <v>0</v>
      </c>
      <c r="M355" s="344">
        <f t="shared" si="218"/>
        <v>0</v>
      </c>
      <c r="N355" s="337">
        <f t="shared" si="219"/>
        <v>0</v>
      </c>
      <c r="P355" s="340"/>
      <c r="S355" s="347"/>
      <c r="T355" s="347"/>
      <c r="U355" s="342"/>
    </row>
    <row r="356" spans="1:21" s="153" customFormat="1" ht="33.75" hidden="1" customHeight="1" x14ac:dyDescent="0.25">
      <c r="A356" s="353"/>
      <c r="B356" s="355"/>
      <c r="C356" s="355"/>
      <c r="D356" s="355" t="s">
        <v>414</v>
      </c>
      <c r="E356" s="402" t="s">
        <v>413</v>
      </c>
      <c r="F356" s="356"/>
      <c r="G356" s="406"/>
      <c r="H356" s="406"/>
      <c r="I356" s="406">
        <f t="shared" si="221"/>
        <v>0</v>
      </c>
      <c r="J356" s="357"/>
      <c r="K356" s="406"/>
      <c r="L356" s="406">
        <f t="shared" si="217"/>
        <v>0</v>
      </c>
      <c r="M356" s="406">
        <f t="shared" si="218"/>
        <v>0</v>
      </c>
      <c r="N356" s="356">
        <f>+F356-M356</f>
        <v>0</v>
      </c>
      <c r="P356" s="200"/>
      <c r="S356" s="221"/>
      <c r="T356" s="221"/>
      <c r="U356" s="254"/>
    </row>
    <row r="357" spans="1:21" s="319" customFormat="1" ht="18" customHeight="1" x14ac:dyDescent="0.25">
      <c r="A357" s="276">
        <v>21</v>
      </c>
      <c r="B357" s="305"/>
      <c r="C357" s="305" t="s">
        <v>285</v>
      </c>
      <c r="D357" s="363"/>
      <c r="E357" s="364" t="s">
        <v>286</v>
      </c>
      <c r="F357" s="307">
        <f>+F358</f>
        <v>325031788200</v>
      </c>
      <c r="G357" s="308">
        <f t="shared" ref="G357:H358" si="222">+G358</f>
        <v>12413234000</v>
      </c>
      <c r="H357" s="308">
        <f>+H358</f>
        <v>25149117000</v>
      </c>
      <c r="I357" s="308">
        <f t="shared" si="221"/>
        <v>37562351000</v>
      </c>
      <c r="J357" s="308">
        <f t="shared" ref="J357:K358" si="223">+J358</f>
        <v>0</v>
      </c>
      <c r="K357" s="308">
        <f t="shared" si="223"/>
        <v>0</v>
      </c>
      <c r="L357" s="308">
        <f t="shared" si="217"/>
        <v>0</v>
      </c>
      <c r="M357" s="308">
        <f>+I357+L357</f>
        <v>37562351000</v>
      </c>
      <c r="N357" s="307">
        <f>+F357-M357</f>
        <v>287469437200</v>
      </c>
      <c r="P357" s="320"/>
      <c r="R357" s="321"/>
      <c r="S357" s="349"/>
      <c r="T357" s="349"/>
      <c r="U357" s="350"/>
    </row>
    <row r="358" spans="1:21" s="329" customFormat="1" ht="18" customHeight="1" x14ac:dyDescent="0.25">
      <c r="A358" s="323"/>
      <c r="B358" s="324"/>
      <c r="C358" s="324"/>
      <c r="D358" s="325" t="s">
        <v>287</v>
      </c>
      <c r="E358" s="326" t="s">
        <v>288</v>
      </c>
      <c r="F358" s="327">
        <f>+F359</f>
        <v>325031788200</v>
      </c>
      <c r="G358" s="328">
        <f t="shared" si="222"/>
        <v>12413234000</v>
      </c>
      <c r="H358" s="328">
        <f t="shared" si="222"/>
        <v>25149117000</v>
      </c>
      <c r="I358" s="328">
        <f t="shared" si="221"/>
        <v>37562351000</v>
      </c>
      <c r="J358" s="328">
        <f t="shared" si="223"/>
        <v>0</v>
      </c>
      <c r="K358" s="328">
        <f t="shared" si="223"/>
        <v>0</v>
      </c>
      <c r="L358" s="328">
        <f t="shared" si="217"/>
        <v>0</v>
      </c>
      <c r="M358" s="328">
        <f t="shared" ref="M358" si="224">+I358+L358</f>
        <v>37562351000</v>
      </c>
      <c r="N358" s="327">
        <f t="shared" ref="N358:N366" si="225">+F358-M358</f>
        <v>287469437200</v>
      </c>
      <c r="P358" s="330"/>
      <c r="R358" s="331"/>
      <c r="S358" s="351"/>
      <c r="T358" s="351"/>
      <c r="U358" s="333"/>
    </row>
    <row r="359" spans="1:21" s="381" customFormat="1" ht="18" customHeight="1" x14ac:dyDescent="0.25">
      <c r="A359" s="384"/>
      <c r="B359" s="335"/>
      <c r="C359" s="335"/>
      <c r="D359" s="335" t="s">
        <v>289</v>
      </c>
      <c r="E359" s="335" t="s">
        <v>290</v>
      </c>
      <c r="F359" s="337">
        <f>+F363+F360</f>
        <v>325031788200</v>
      </c>
      <c r="G359" s="338">
        <f>+G363+G360</f>
        <v>12413234000</v>
      </c>
      <c r="H359" s="338">
        <f>+H363+H360</f>
        <v>25149117000</v>
      </c>
      <c r="I359" s="338">
        <f t="shared" si="221"/>
        <v>37562351000</v>
      </c>
      <c r="J359" s="338">
        <f>+J363+J360</f>
        <v>0</v>
      </c>
      <c r="K359" s="338">
        <f>+K363+K360</f>
        <v>0</v>
      </c>
      <c r="L359" s="338">
        <f>+J359+K359</f>
        <v>0</v>
      </c>
      <c r="M359" s="338">
        <f>+I359+L359</f>
        <v>37562351000</v>
      </c>
      <c r="N359" s="405">
        <f t="shared" si="225"/>
        <v>287469437200</v>
      </c>
      <c r="P359" s="340"/>
      <c r="S359" s="347"/>
      <c r="T359" s="347"/>
      <c r="U359" s="382"/>
    </row>
    <row r="360" spans="1:21" s="339" customFormat="1" ht="18" customHeight="1" x14ac:dyDescent="0.25">
      <c r="A360" s="366"/>
      <c r="B360" s="367"/>
      <c r="C360" s="367"/>
      <c r="D360" s="367" t="s">
        <v>291</v>
      </c>
      <c r="E360" s="407" t="s">
        <v>292</v>
      </c>
      <c r="F360" s="370">
        <f t="shared" ref="F360:H361" si="226">+F361</f>
        <v>540000000</v>
      </c>
      <c r="G360" s="408">
        <f t="shared" si="226"/>
        <v>0</v>
      </c>
      <c r="H360" s="408">
        <f t="shared" si="226"/>
        <v>0</v>
      </c>
      <c r="I360" s="408">
        <f t="shared" si="221"/>
        <v>0</v>
      </c>
      <c r="J360" s="408">
        <f>+J361</f>
        <v>0</v>
      </c>
      <c r="K360" s="408">
        <f>+K361</f>
        <v>0</v>
      </c>
      <c r="L360" s="408">
        <f>+J360+K360</f>
        <v>0</v>
      </c>
      <c r="M360" s="408">
        <f>+I360+L360</f>
        <v>0</v>
      </c>
      <c r="N360" s="370">
        <f t="shared" si="225"/>
        <v>540000000</v>
      </c>
      <c r="P360" s="340"/>
      <c r="S360" s="347"/>
      <c r="T360" s="347"/>
      <c r="U360" s="342"/>
    </row>
    <row r="361" spans="1:21" s="339" customFormat="1" ht="32.25" customHeight="1" x14ac:dyDescent="0.25">
      <c r="A361" s="366"/>
      <c r="B361" s="367"/>
      <c r="C361" s="367"/>
      <c r="D361" s="367" t="s">
        <v>293</v>
      </c>
      <c r="E361" s="369" t="s">
        <v>295</v>
      </c>
      <c r="F361" s="370">
        <f t="shared" si="226"/>
        <v>540000000</v>
      </c>
      <c r="G361" s="371">
        <f t="shared" si="226"/>
        <v>0</v>
      </c>
      <c r="H361" s="371">
        <f t="shared" si="226"/>
        <v>0</v>
      </c>
      <c r="I361" s="371">
        <f t="shared" si="221"/>
        <v>0</v>
      </c>
      <c r="J361" s="371">
        <f>+J362</f>
        <v>0</v>
      </c>
      <c r="K361" s="371">
        <f>+K362</f>
        <v>0</v>
      </c>
      <c r="L361" s="371">
        <f>+J361+K361</f>
        <v>0</v>
      </c>
      <c r="M361" s="371">
        <f>+I361+L361</f>
        <v>0</v>
      </c>
      <c r="N361" s="370">
        <f t="shared" si="225"/>
        <v>540000000</v>
      </c>
      <c r="P361" s="340"/>
      <c r="S361" s="347"/>
      <c r="T361" s="347"/>
      <c r="U361" s="342"/>
    </row>
    <row r="362" spans="1:21" s="339" customFormat="1" ht="21.75" customHeight="1" x14ac:dyDescent="0.25">
      <c r="A362" s="366"/>
      <c r="B362" s="367"/>
      <c r="C362" s="367"/>
      <c r="D362" s="367" t="s">
        <v>294</v>
      </c>
      <c r="E362" s="369" t="s">
        <v>295</v>
      </c>
      <c r="F362" s="370">
        <v>540000000</v>
      </c>
      <c r="G362" s="408"/>
      <c r="H362" s="408"/>
      <c r="I362" s="408">
        <f t="shared" si="221"/>
        <v>0</v>
      </c>
      <c r="J362" s="371"/>
      <c r="K362" s="408"/>
      <c r="L362" s="408">
        <f>+J362+K362</f>
        <v>0</v>
      </c>
      <c r="M362" s="408">
        <f>+I362+L362</f>
        <v>0</v>
      </c>
      <c r="N362" s="409">
        <f t="shared" si="225"/>
        <v>540000000</v>
      </c>
      <c r="P362" s="340"/>
      <c r="S362" s="347"/>
      <c r="T362" s="347"/>
      <c r="U362" s="342"/>
    </row>
    <row r="363" spans="1:21" s="339" customFormat="1" ht="18" customHeight="1" x14ac:dyDescent="0.25">
      <c r="A363" s="334"/>
      <c r="B363" s="335"/>
      <c r="C363" s="335"/>
      <c r="D363" s="335" t="s">
        <v>296</v>
      </c>
      <c r="E363" s="336" t="s">
        <v>298</v>
      </c>
      <c r="F363" s="337">
        <f>+F364+F366</f>
        <v>324491788200</v>
      </c>
      <c r="G363" s="338">
        <f>+G364+G366</f>
        <v>12413234000</v>
      </c>
      <c r="H363" s="338">
        <f>+H364+H366</f>
        <v>25149117000</v>
      </c>
      <c r="I363" s="338">
        <f t="shared" si="221"/>
        <v>37562351000</v>
      </c>
      <c r="J363" s="338">
        <f>+J364+J366</f>
        <v>0</v>
      </c>
      <c r="K363" s="338">
        <f>+K364+K366</f>
        <v>0</v>
      </c>
      <c r="L363" s="338">
        <f t="shared" si="217"/>
        <v>0</v>
      </c>
      <c r="M363" s="338">
        <f t="shared" si="218"/>
        <v>37562351000</v>
      </c>
      <c r="N363" s="337">
        <f t="shared" si="225"/>
        <v>286929437200</v>
      </c>
      <c r="P363" s="340"/>
      <c r="S363" s="347"/>
      <c r="T363" s="347"/>
      <c r="U363" s="342"/>
    </row>
    <row r="364" spans="1:21" s="339" customFormat="1" ht="32.25" customHeight="1" x14ac:dyDescent="0.25">
      <c r="A364" s="334"/>
      <c r="B364" s="335"/>
      <c r="C364" s="335"/>
      <c r="D364" s="335" t="s">
        <v>297</v>
      </c>
      <c r="E364" s="391" t="s">
        <v>300</v>
      </c>
      <c r="F364" s="337">
        <f>F365</f>
        <v>268985638200</v>
      </c>
      <c r="G364" s="344">
        <f>+G365</f>
        <v>12413234000</v>
      </c>
      <c r="H364" s="344">
        <f>+H365</f>
        <v>25149117000</v>
      </c>
      <c r="I364" s="338">
        <f t="shared" si="221"/>
        <v>37562351000</v>
      </c>
      <c r="J364" s="344">
        <f>+J365</f>
        <v>0</v>
      </c>
      <c r="K364" s="344">
        <f>+K365</f>
        <v>0</v>
      </c>
      <c r="L364" s="338">
        <f t="shared" si="217"/>
        <v>0</v>
      </c>
      <c r="M364" s="344">
        <f t="shared" si="218"/>
        <v>37562351000</v>
      </c>
      <c r="N364" s="337">
        <f t="shared" si="225"/>
        <v>231423287200</v>
      </c>
      <c r="P364" s="340"/>
      <c r="S364" s="347"/>
      <c r="T364" s="347"/>
      <c r="U364" s="342"/>
    </row>
    <row r="365" spans="1:21" s="339" customFormat="1" ht="20.25" customHeight="1" x14ac:dyDescent="0.25">
      <c r="A365" s="366"/>
      <c r="B365" s="367"/>
      <c r="C365" s="367"/>
      <c r="D365" s="367" t="s">
        <v>299</v>
      </c>
      <c r="E365" s="369" t="s">
        <v>300</v>
      </c>
      <c r="F365" s="370">
        <v>268985638200</v>
      </c>
      <c r="G365" s="408">
        <v>12413234000</v>
      </c>
      <c r="H365" s="408">
        <f>18942500000+6206617000</f>
        <v>25149117000</v>
      </c>
      <c r="I365" s="408">
        <f t="shared" si="221"/>
        <v>37562351000</v>
      </c>
      <c r="J365" s="371"/>
      <c r="K365" s="408"/>
      <c r="L365" s="408">
        <f>J365+K365</f>
        <v>0</v>
      </c>
      <c r="M365" s="408">
        <f>+I365+L365</f>
        <v>37562351000</v>
      </c>
      <c r="N365" s="409">
        <f t="shared" si="225"/>
        <v>231423287200</v>
      </c>
      <c r="P365" s="340"/>
      <c r="S365" s="345"/>
      <c r="T365" s="455">
        <f>18942500000+6206617000</f>
        <v>25149117000</v>
      </c>
      <c r="U365" s="342"/>
    </row>
    <row r="366" spans="1:21" s="339" customFormat="1" ht="32.25" customHeight="1" x14ac:dyDescent="0.25">
      <c r="A366" s="334"/>
      <c r="B366" s="335"/>
      <c r="C366" s="335"/>
      <c r="D366" s="335" t="s">
        <v>301</v>
      </c>
      <c r="E366" s="391" t="s">
        <v>303</v>
      </c>
      <c r="F366" s="337">
        <f>F367+F368</f>
        <v>55506150000</v>
      </c>
      <c r="G366" s="344">
        <f>+G367</f>
        <v>0</v>
      </c>
      <c r="H366" s="338">
        <f>+H367</f>
        <v>0</v>
      </c>
      <c r="I366" s="338">
        <f>+G366+H366</f>
        <v>0</v>
      </c>
      <c r="J366" s="344">
        <f>+J367</f>
        <v>0</v>
      </c>
      <c r="K366" s="344">
        <f>+K367</f>
        <v>0</v>
      </c>
      <c r="L366" s="344">
        <f>+J366+K366</f>
        <v>0</v>
      </c>
      <c r="M366" s="344">
        <f t="shared" ref="M366" si="227">+I366+L366</f>
        <v>0</v>
      </c>
      <c r="N366" s="337">
        <f t="shared" si="225"/>
        <v>55506150000</v>
      </c>
      <c r="P366" s="340"/>
      <c r="S366" s="345"/>
      <c r="T366" s="345"/>
      <c r="U366" s="342"/>
    </row>
    <row r="367" spans="1:21" s="153" customFormat="1" ht="21.75" customHeight="1" x14ac:dyDescent="0.25">
      <c r="A367" s="372"/>
      <c r="B367" s="373"/>
      <c r="C367" s="373"/>
      <c r="D367" s="373" t="s">
        <v>480</v>
      </c>
      <c r="E367" s="375" t="s">
        <v>481</v>
      </c>
      <c r="F367" s="376">
        <v>70000000</v>
      </c>
      <c r="G367" s="477"/>
      <c r="H367" s="477"/>
      <c r="I367" s="477">
        <f t="shared" si="221"/>
        <v>0</v>
      </c>
      <c r="J367" s="377"/>
      <c r="K367" s="477"/>
      <c r="L367" s="477">
        <f>J367+K367</f>
        <v>0</v>
      </c>
      <c r="M367" s="477">
        <f>+I367+L367</f>
        <v>0</v>
      </c>
      <c r="N367" s="409">
        <f>+F367-M367</f>
        <v>70000000</v>
      </c>
      <c r="P367" s="200"/>
      <c r="S367" s="410"/>
      <c r="T367" s="410"/>
      <c r="U367" s="254"/>
    </row>
    <row r="368" spans="1:21" s="153" customFormat="1" ht="21.75" customHeight="1" x14ac:dyDescent="0.25">
      <c r="A368" s="372"/>
      <c r="B368" s="373"/>
      <c r="C368" s="373"/>
      <c r="D368" s="373" t="s">
        <v>482</v>
      </c>
      <c r="E368" s="375" t="s">
        <v>483</v>
      </c>
      <c r="F368" s="376">
        <v>55436150000</v>
      </c>
      <c r="G368" s="477"/>
      <c r="H368" s="477"/>
      <c r="I368" s="477">
        <f t="shared" si="221"/>
        <v>0</v>
      </c>
      <c r="J368" s="377"/>
      <c r="K368" s="477"/>
      <c r="L368" s="477">
        <f>J368+K368</f>
        <v>0</v>
      </c>
      <c r="M368" s="477">
        <f>+I368+L368</f>
        <v>0</v>
      </c>
      <c r="N368" s="409">
        <f>+F368-M368</f>
        <v>55436150000</v>
      </c>
      <c r="P368" s="200"/>
      <c r="S368" s="410"/>
      <c r="T368" s="410"/>
      <c r="U368" s="254"/>
    </row>
    <row r="369" spans="1:21" s="319" customFormat="1" ht="18" customHeight="1" x14ac:dyDescent="0.25">
      <c r="A369" s="276">
        <v>22</v>
      </c>
      <c r="B369" s="305"/>
      <c r="C369" s="305" t="s">
        <v>304</v>
      </c>
      <c r="D369" s="363"/>
      <c r="E369" s="364" t="s">
        <v>305</v>
      </c>
      <c r="F369" s="307">
        <f t="shared" ref="F369:H372" si="228">+F370</f>
        <v>8000000000</v>
      </c>
      <c r="G369" s="308">
        <f t="shared" si="228"/>
        <v>0</v>
      </c>
      <c r="H369" s="308">
        <f t="shared" si="228"/>
        <v>0</v>
      </c>
      <c r="I369" s="308">
        <f>+G369+H369</f>
        <v>0</v>
      </c>
      <c r="J369" s="308">
        <f t="shared" ref="J369:K373" si="229">+J370</f>
        <v>0</v>
      </c>
      <c r="K369" s="308">
        <f t="shared" si="229"/>
        <v>0</v>
      </c>
      <c r="L369" s="308">
        <f>+J369+K369</f>
        <v>0</v>
      </c>
      <c r="M369" s="308">
        <f>+I369+L369</f>
        <v>0</v>
      </c>
      <c r="N369" s="307">
        <f>+F369-M369</f>
        <v>8000000000</v>
      </c>
      <c r="P369" s="320"/>
      <c r="R369" s="321"/>
      <c r="S369" s="411"/>
      <c r="T369" s="411"/>
      <c r="U369" s="350"/>
    </row>
    <row r="370" spans="1:21" s="329" customFormat="1" ht="18" customHeight="1" x14ac:dyDescent="0.25">
      <c r="A370" s="323"/>
      <c r="B370" s="324"/>
      <c r="C370" s="324"/>
      <c r="D370" s="325" t="s">
        <v>306</v>
      </c>
      <c r="E370" s="326" t="s">
        <v>307</v>
      </c>
      <c r="F370" s="327">
        <f t="shared" si="228"/>
        <v>8000000000</v>
      </c>
      <c r="G370" s="328">
        <f t="shared" si="228"/>
        <v>0</v>
      </c>
      <c r="H370" s="328">
        <f t="shared" si="228"/>
        <v>0</v>
      </c>
      <c r="I370" s="328">
        <f>+G370+H370</f>
        <v>0</v>
      </c>
      <c r="J370" s="328">
        <f t="shared" si="229"/>
        <v>0</v>
      </c>
      <c r="K370" s="328">
        <f t="shared" si="229"/>
        <v>0</v>
      </c>
      <c r="L370" s="328">
        <f>+J370+K370</f>
        <v>0</v>
      </c>
      <c r="M370" s="328">
        <f t="shared" ref="M370:M373" si="230">+I370+L370</f>
        <v>0</v>
      </c>
      <c r="N370" s="327">
        <f t="shared" ref="N370:N373" si="231">+F370-M370</f>
        <v>8000000000</v>
      </c>
      <c r="P370" s="330"/>
      <c r="R370" s="331"/>
      <c r="S370" s="332"/>
      <c r="T370" s="332"/>
      <c r="U370" s="333"/>
    </row>
    <row r="371" spans="1:21" s="381" customFormat="1" ht="18" customHeight="1" x14ac:dyDescent="0.25">
      <c r="A371" s="384"/>
      <c r="B371" s="335"/>
      <c r="C371" s="335"/>
      <c r="D371" s="335" t="s">
        <v>308</v>
      </c>
      <c r="E371" s="335" t="s">
        <v>307</v>
      </c>
      <c r="F371" s="337">
        <f t="shared" si="228"/>
        <v>8000000000</v>
      </c>
      <c r="G371" s="338">
        <f t="shared" si="228"/>
        <v>0</v>
      </c>
      <c r="H371" s="338">
        <f t="shared" si="228"/>
        <v>0</v>
      </c>
      <c r="I371" s="338">
        <f>+G371+H371</f>
        <v>0</v>
      </c>
      <c r="J371" s="338">
        <f t="shared" si="229"/>
        <v>0</v>
      </c>
      <c r="K371" s="338">
        <f t="shared" si="229"/>
        <v>0</v>
      </c>
      <c r="L371" s="338">
        <f>+J371+K371</f>
        <v>0</v>
      </c>
      <c r="M371" s="338">
        <f t="shared" si="230"/>
        <v>0</v>
      </c>
      <c r="N371" s="405">
        <f t="shared" si="231"/>
        <v>8000000000</v>
      </c>
      <c r="P371" s="340"/>
      <c r="S371" s="412"/>
      <c r="T371" s="412"/>
      <c r="U371" s="382"/>
    </row>
    <row r="372" spans="1:21" s="339" customFormat="1" ht="18" customHeight="1" x14ac:dyDescent="0.25">
      <c r="A372" s="334"/>
      <c r="B372" s="335"/>
      <c r="C372" s="335"/>
      <c r="D372" s="335" t="s">
        <v>309</v>
      </c>
      <c r="E372" s="336" t="s">
        <v>307</v>
      </c>
      <c r="F372" s="337">
        <f t="shared" si="228"/>
        <v>8000000000</v>
      </c>
      <c r="G372" s="338">
        <f t="shared" si="228"/>
        <v>0</v>
      </c>
      <c r="H372" s="338">
        <f t="shared" si="228"/>
        <v>0</v>
      </c>
      <c r="I372" s="338">
        <f>+G372+H372</f>
        <v>0</v>
      </c>
      <c r="J372" s="338">
        <f t="shared" si="229"/>
        <v>0</v>
      </c>
      <c r="K372" s="338">
        <f t="shared" si="229"/>
        <v>0</v>
      </c>
      <c r="L372" s="338">
        <f>+J372+K372</f>
        <v>0</v>
      </c>
      <c r="M372" s="338">
        <f t="shared" si="230"/>
        <v>0</v>
      </c>
      <c r="N372" s="337">
        <f t="shared" si="231"/>
        <v>8000000000</v>
      </c>
      <c r="P372" s="340"/>
      <c r="S372" s="341"/>
      <c r="T372" s="341"/>
      <c r="U372" s="342"/>
    </row>
    <row r="373" spans="1:21" s="339" customFormat="1" ht="17.25" customHeight="1" x14ac:dyDescent="0.25">
      <c r="A373" s="334"/>
      <c r="B373" s="335"/>
      <c r="C373" s="335"/>
      <c r="D373" s="335" t="s">
        <v>310</v>
      </c>
      <c r="E373" s="391" t="s">
        <v>307</v>
      </c>
      <c r="F373" s="337">
        <f>F374</f>
        <v>8000000000</v>
      </c>
      <c r="G373" s="344">
        <f>+G374</f>
        <v>0</v>
      </c>
      <c r="H373" s="344">
        <f>+H374</f>
        <v>0</v>
      </c>
      <c r="I373" s="338">
        <f>+G373+H373</f>
        <v>0</v>
      </c>
      <c r="J373" s="344">
        <f t="shared" si="229"/>
        <v>0</v>
      </c>
      <c r="K373" s="344">
        <f t="shared" si="229"/>
        <v>0</v>
      </c>
      <c r="L373" s="338">
        <f>+J373+K373</f>
        <v>0</v>
      </c>
      <c r="M373" s="344">
        <f t="shared" si="230"/>
        <v>0</v>
      </c>
      <c r="N373" s="337">
        <f t="shared" si="231"/>
        <v>8000000000</v>
      </c>
      <c r="P373" s="340"/>
      <c r="S373" s="345"/>
      <c r="T373" s="345"/>
      <c r="U373" s="342"/>
    </row>
    <row r="374" spans="1:21" s="153" customFormat="1" ht="20.25" customHeight="1" x14ac:dyDescent="0.25">
      <c r="A374" s="353"/>
      <c r="B374" s="355"/>
      <c r="C374" s="355"/>
      <c r="D374" s="355" t="s">
        <v>311</v>
      </c>
      <c r="E374" s="402" t="s">
        <v>307</v>
      </c>
      <c r="F374" s="356">
        <v>8000000000</v>
      </c>
      <c r="G374" s="406"/>
      <c r="H374" s="406"/>
      <c r="I374" s="406">
        <f t="shared" ref="I374:I383" si="232">+G374+H374</f>
        <v>0</v>
      </c>
      <c r="J374" s="357"/>
      <c r="K374" s="406"/>
      <c r="L374" s="406">
        <f>J374+K374</f>
        <v>0</v>
      </c>
      <c r="M374" s="406">
        <f>+I374+L374</f>
        <v>0</v>
      </c>
      <c r="N374" s="405">
        <f>+F374-M374</f>
        <v>8000000000</v>
      </c>
      <c r="P374" s="200"/>
      <c r="S374" s="410"/>
      <c r="T374" s="410"/>
      <c r="U374" s="254"/>
    </row>
    <row r="375" spans="1:21" s="319" customFormat="1" ht="18" customHeight="1" x14ac:dyDescent="0.25">
      <c r="A375" s="276">
        <v>23</v>
      </c>
      <c r="B375" s="305"/>
      <c r="C375" s="305" t="s">
        <v>320</v>
      </c>
      <c r="D375" s="363"/>
      <c r="E375" s="364" t="s">
        <v>312</v>
      </c>
      <c r="F375" s="307">
        <f t="shared" ref="F375:H376" si="233">+F376</f>
        <v>19577417200</v>
      </c>
      <c r="G375" s="308">
        <f t="shared" si="233"/>
        <v>0</v>
      </c>
      <c r="H375" s="308">
        <f t="shared" si="233"/>
        <v>0</v>
      </c>
      <c r="I375" s="308">
        <f t="shared" si="232"/>
        <v>0</v>
      </c>
      <c r="J375" s="308">
        <f>+J376</f>
        <v>0</v>
      </c>
      <c r="K375" s="308">
        <f>+K376</f>
        <v>0</v>
      </c>
      <c r="L375" s="308">
        <f>+J375+K375</f>
        <v>0</v>
      </c>
      <c r="M375" s="308">
        <f>+I375+L375</f>
        <v>0</v>
      </c>
      <c r="N375" s="307">
        <f>+F375-M375</f>
        <v>19577417200</v>
      </c>
      <c r="P375" s="320"/>
      <c r="R375" s="321"/>
      <c r="S375" s="411"/>
      <c r="T375" s="411"/>
      <c r="U375" s="350"/>
    </row>
    <row r="376" spans="1:21" s="329" customFormat="1" ht="18" customHeight="1" x14ac:dyDescent="0.25">
      <c r="A376" s="323"/>
      <c r="B376" s="324"/>
      <c r="C376" s="324"/>
      <c r="D376" s="325" t="s">
        <v>287</v>
      </c>
      <c r="E376" s="326" t="s">
        <v>288</v>
      </c>
      <c r="F376" s="327">
        <f t="shared" si="233"/>
        <v>19577417200</v>
      </c>
      <c r="G376" s="328">
        <f t="shared" si="233"/>
        <v>0</v>
      </c>
      <c r="H376" s="328">
        <f t="shared" si="233"/>
        <v>0</v>
      </c>
      <c r="I376" s="328">
        <f t="shared" si="232"/>
        <v>0</v>
      </c>
      <c r="J376" s="328">
        <f>+J377</f>
        <v>0</v>
      </c>
      <c r="K376" s="328">
        <f>+K377</f>
        <v>0</v>
      </c>
      <c r="L376" s="328">
        <f>+J376+K376</f>
        <v>0</v>
      </c>
      <c r="M376" s="328">
        <f t="shared" ref="M376:M379" si="234">+I376+L376</f>
        <v>0</v>
      </c>
      <c r="N376" s="327">
        <f t="shared" ref="N376:N379" si="235">+F376-M376</f>
        <v>19577417200</v>
      </c>
      <c r="P376" s="330"/>
      <c r="R376" s="331"/>
      <c r="S376" s="332"/>
      <c r="T376" s="332"/>
      <c r="U376" s="333"/>
    </row>
    <row r="377" spans="1:21" s="381" customFormat="1" ht="18" customHeight="1" x14ac:dyDescent="0.25">
      <c r="A377" s="384"/>
      <c r="B377" s="335"/>
      <c r="C377" s="335"/>
      <c r="D377" s="335" t="s">
        <v>313</v>
      </c>
      <c r="E377" s="335" t="s">
        <v>415</v>
      </c>
      <c r="F377" s="337">
        <f>+F378+F381</f>
        <v>19577417200</v>
      </c>
      <c r="G377" s="338">
        <f>+G378+G381</f>
        <v>0</v>
      </c>
      <c r="H377" s="338">
        <f>+H378+H381</f>
        <v>0</v>
      </c>
      <c r="I377" s="338">
        <f t="shared" si="232"/>
        <v>0</v>
      </c>
      <c r="J377" s="338">
        <f>+J378+J381</f>
        <v>0</v>
      </c>
      <c r="K377" s="338">
        <f>+K378+K381</f>
        <v>0</v>
      </c>
      <c r="L377" s="338">
        <f>+J377+K377</f>
        <v>0</v>
      </c>
      <c r="M377" s="338">
        <f t="shared" si="234"/>
        <v>0</v>
      </c>
      <c r="N377" s="405">
        <f t="shared" si="235"/>
        <v>19577417200</v>
      </c>
      <c r="P377" s="340"/>
      <c r="S377" s="412"/>
      <c r="T377" s="412"/>
      <c r="U377" s="382"/>
    </row>
    <row r="378" spans="1:21" s="339" customFormat="1" ht="31.5" customHeight="1" x14ac:dyDescent="0.25">
      <c r="A378" s="334"/>
      <c r="B378" s="335"/>
      <c r="C378" s="335"/>
      <c r="D378" s="335" t="s">
        <v>314</v>
      </c>
      <c r="E378" s="413" t="s">
        <v>416</v>
      </c>
      <c r="F378" s="337">
        <f>+F379</f>
        <v>18835000000</v>
      </c>
      <c r="G378" s="338">
        <f>+G379</f>
        <v>0</v>
      </c>
      <c r="H378" s="338">
        <f>+H379</f>
        <v>0</v>
      </c>
      <c r="I378" s="338">
        <f t="shared" si="232"/>
        <v>0</v>
      </c>
      <c r="J378" s="338">
        <f>+J379</f>
        <v>0</v>
      </c>
      <c r="K378" s="338">
        <f>+K379</f>
        <v>0</v>
      </c>
      <c r="L378" s="338">
        <f>+J378+K378</f>
        <v>0</v>
      </c>
      <c r="M378" s="338">
        <f t="shared" si="234"/>
        <v>0</v>
      </c>
      <c r="N378" s="337">
        <f t="shared" si="235"/>
        <v>18835000000</v>
      </c>
      <c r="P378" s="340"/>
      <c r="S378" s="341"/>
      <c r="T378" s="341"/>
      <c r="U378" s="342"/>
    </row>
    <row r="379" spans="1:21" s="339" customFormat="1" ht="17.25" customHeight="1" x14ac:dyDescent="0.25">
      <c r="A379" s="334"/>
      <c r="B379" s="335"/>
      <c r="C379" s="335"/>
      <c r="D379" s="335" t="s">
        <v>315</v>
      </c>
      <c r="E379" s="391" t="s">
        <v>417</v>
      </c>
      <c r="F379" s="337">
        <f>F380</f>
        <v>18835000000</v>
      </c>
      <c r="G379" s="344">
        <f>+G380</f>
        <v>0</v>
      </c>
      <c r="H379" s="344">
        <f>+H380</f>
        <v>0</v>
      </c>
      <c r="I379" s="338">
        <f t="shared" si="232"/>
        <v>0</v>
      </c>
      <c r="J379" s="344">
        <f>+J380</f>
        <v>0</v>
      </c>
      <c r="K379" s="344">
        <f>+K380</f>
        <v>0</v>
      </c>
      <c r="L379" s="338">
        <f>+J379+K379</f>
        <v>0</v>
      </c>
      <c r="M379" s="344">
        <f t="shared" si="234"/>
        <v>0</v>
      </c>
      <c r="N379" s="337">
        <f t="shared" si="235"/>
        <v>18835000000</v>
      </c>
      <c r="P379" s="340"/>
      <c r="S379" s="345"/>
      <c r="T379" s="345"/>
      <c r="U379" s="342"/>
    </row>
    <row r="380" spans="1:21" s="339" customFormat="1" ht="20.25" customHeight="1" x14ac:dyDescent="0.25">
      <c r="A380" s="334"/>
      <c r="B380" s="335"/>
      <c r="C380" s="335"/>
      <c r="D380" s="335" t="s">
        <v>316</v>
      </c>
      <c r="E380" s="391" t="s">
        <v>417</v>
      </c>
      <c r="F380" s="337">
        <v>18835000000</v>
      </c>
      <c r="G380" s="338"/>
      <c r="H380" s="338"/>
      <c r="I380" s="338">
        <f t="shared" si="232"/>
        <v>0</v>
      </c>
      <c r="J380" s="344"/>
      <c r="K380" s="338"/>
      <c r="L380" s="338">
        <f>J380+K380</f>
        <v>0</v>
      </c>
      <c r="M380" s="338">
        <f>+I380+L380</f>
        <v>0</v>
      </c>
      <c r="N380" s="405">
        <f>+F380-M380</f>
        <v>18835000000</v>
      </c>
      <c r="P380" s="340"/>
      <c r="S380" s="345"/>
      <c r="T380" s="345"/>
      <c r="U380" s="342"/>
    </row>
    <row r="381" spans="1:21" s="339" customFormat="1" ht="20.25" customHeight="1" x14ac:dyDescent="0.25">
      <c r="A381" s="334"/>
      <c r="B381" s="335"/>
      <c r="C381" s="335"/>
      <c r="D381" s="335" t="s">
        <v>317</v>
      </c>
      <c r="E381" s="413" t="s">
        <v>418</v>
      </c>
      <c r="F381" s="337">
        <f>+F382</f>
        <v>742417200</v>
      </c>
      <c r="G381" s="338">
        <f>+G382</f>
        <v>0</v>
      </c>
      <c r="H381" s="338">
        <f>+H382</f>
        <v>0</v>
      </c>
      <c r="I381" s="338">
        <f t="shared" si="232"/>
        <v>0</v>
      </c>
      <c r="J381" s="338">
        <f>+J382</f>
        <v>0</v>
      </c>
      <c r="K381" s="338">
        <f>+K382</f>
        <v>0</v>
      </c>
      <c r="L381" s="338">
        <f>+J381+K381</f>
        <v>0</v>
      </c>
      <c r="M381" s="338">
        <f t="shared" ref="M381:M382" si="236">+I381+L381</f>
        <v>0</v>
      </c>
      <c r="N381" s="337">
        <f t="shared" ref="N381:N382" si="237">+F381-M381</f>
        <v>742417200</v>
      </c>
      <c r="P381" s="340"/>
      <c r="S381" s="341"/>
      <c r="T381" s="341"/>
      <c r="U381" s="342"/>
    </row>
    <row r="382" spans="1:21" s="339" customFormat="1" ht="17.25" customHeight="1" x14ac:dyDescent="0.25">
      <c r="A382" s="334"/>
      <c r="B382" s="335"/>
      <c r="C382" s="335"/>
      <c r="D382" s="335" t="s">
        <v>318</v>
      </c>
      <c r="E382" s="391" t="s">
        <v>418</v>
      </c>
      <c r="F382" s="337">
        <f>F383</f>
        <v>742417200</v>
      </c>
      <c r="G382" s="344">
        <f>+G383</f>
        <v>0</v>
      </c>
      <c r="H382" s="344">
        <f>+H383</f>
        <v>0</v>
      </c>
      <c r="I382" s="338">
        <f t="shared" si="232"/>
        <v>0</v>
      </c>
      <c r="J382" s="344">
        <f>+J383</f>
        <v>0</v>
      </c>
      <c r="K382" s="344">
        <f>+K383</f>
        <v>0</v>
      </c>
      <c r="L382" s="338">
        <f>+J382+K382</f>
        <v>0</v>
      </c>
      <c r="M382" s="344">
        <f t="shared" si="236"/>
        <v>0</v>
      </c>
      <c r="N382" s="337">
        <f t="shared" si="237"/>
        <v>742417200</v>
      </c>
      <c r="P382" s="340"/>
      <c r="S382" s="345"/>
      <c r="T382" s="345"/>
      <c r="U382" s="342"/>
    </row>
    <row r="383" spans="1:21" ht="20.25" customHeight="1" x14ac:dyDescent="0.25">
      <c r="A383" s="301"/>
      <c r="B383" s="414"/>
      <c r="C383" s="414"/>
      <c r="D383" s="414" t="s">
        <v>319</v>
      </c>
      <c r="E383" s="415" t="s">
        <v>418</v>
      </c>
      <c r="F383" s="416">
        <v>742417200</v>
      </c>
      <c r="G383" s="417"/>
      <c r="H383" s="417"/>
      <c r="I383" s="417">
        <f t="shared" si="232"/>
        <v>0</v>
      </c>
      <c r="J383" s="35"/>
      <c r="K383" s="417"/>
      <c r="L383" s="417">
        <f>J383+K383</f>
        <v>0</v>
      </c>
      <c r="M383" s="417">
        <f>+I383+L383</f>
        <v>0</v>
      </c>
      <c r="N383" s="418">
        <f>+F383-M383</f>
        <v>742417200</v>
      </c>
      <c r="S383" s="419"/>
      <c r="T383" s="419"/>
      <c r="U383" s="420"/>
    </row>
    <row r="384" spans="1:21" ht="18" customHeight="1" x14ac:dyDescent="0.25">
      <c r="A384" s="302"/>
      <c r="B384" s="421"/>
      <c r="C384" s="421"/>
      <c r="D384" s="421"/>
      <c r="E384" s="421"/>
      <c r="F384" s="422"/>
      <c r="G384" s="423"/>
      <c r="H384" s="423"/>
      <c r="I384" s="423"/>
      <c r="J384" s="423"/>
      <c r="K384" s="423"/>
      <c r="L384" s="423"/>
      <c r="M384" s="423"/>
      <c r="N384" s="422"/>
      <c r="U384" s="420"/>
    </row>
    <row r="385" spans="1:21" ht="18" customHeight="1" x14ac:dyDescent="0.25">
      <c r="A385" s="301"/>
      <c r="B385" s="414"/>
      <c r="C385" s="414"/>
      <c r="D385" s="414"/>
      <c r="E385" s="414" t="s">
        <v>41</v>
      </c>
      <c r="F385" s="35"/>
      <c r="G385" s="35"/>
      <c r="H385" s="35"/>
      <c r="I385" s="35"/>
      <c r="J385" s="35"/>
      <c r="K385" s="35"/>
      <c r="L385" s="35"/>
      <c r="M385" s="35"/>
      <c r="N385" s="416"/>
      <c r="U385" s="420"/>
    </row>
    <row r="386" spans="1:21" ht="18" customHeight="1" x14ac:dyDescent="0.25">
      <c r="A386" s="301"/>
      <c r="B386" s="414"/>
      <c r="C386" s="414"/>
      <c r="D386" s="414"/>
      <c r="E386" s="414" t="s">
        <v>21</v>
      </c>
      <c r="F386" s="35"/>
      <c r="G386" s="35">
        <f>+G17</f>
        <v>19588610336</v>
      </c>
      <c r="H386" s="35">
        <f>+H17</f>
        <v>28967363516</v>
      </c>
      <c r="I386" s="35">
        <f>+I17</f>
        <v>48555973852</v>
      </c>
      <c r="J386" s="35">
        <f>+J17</f>
        <v>460031431</v>
      </c>
      <c r="K386" s="35">
        <f>+K17</f>
        <v>316277418</v>
      </c>
      <c r="L386" s="35">
        <f t="shared" ref="L386:L391" si="238">+J386+K386</f>
        <v>776308849</v>
      </c>
      <c r="M386" s="35">
        <f>+I386+L386</f>
        <v>49332282701</v>
      </c>
      <c r="N386" s="416"/>
      <c r="U386" s="420"/>
    </row>
    <row r="387" spans="1:21" ht="18" customHeight="1" x14ac:dyDescent="0.25">
      <c r="A387" s="301"/>
      <c r="B387" s="414"/>
      <c r="C387" s="414"/>
      <c r="D387" s="414"/>
      <c r="E387" s="414" t="s">
        <v>42</v>
      </c>
      <c r="F387" s="35"/>
      <c r="G387" s="35">
        <f>+SUM(G388:G401)</f>
        <v>216030070</v>
      </c>
      <c r="H387" s="35">
        <f>+SUM(H388:H401)</f>
        <v>128141081</v>
      </c>
      <c r="I387" s="35">
        <f>+G387+H387</f>
        <v>344171151</v>
      </c>
      <c r="J387" s="35">
        <f>+SUM(J388:J401)</f>
        <v>13556719</v>
      </c>
      <c r="K387" s="35">
        <f>+SUM(K388:K401)</f>
        <v>15516612</v>
      </c>
      <c r="L387" s="35">
        <f>+J387+K387</f>
        <v>29073331</v>
      </c>
      <c r="M387" s="424">
        <f>+I387+L387</f>
        <v>373244482</v>
      </c>
      <c r="N387" s="416"/>
      <c r="P387" s="294">
        <f>+M386+M387</f>
        <v>49705527183</v>
      </c>
      <c r="U387" s="420"/>
    </row>
    <row r="388" spans="1:21" ht="18" customHeight="1" x14ac:dyDescent="0.25">
      <c r="A388" s="301"/>
      <c r="B388" s="414"/>
      <c r="C388" s="414"/>
      <c r="D388" s="414"/>
      <c r="E388" s="425" t="s">
        <v>24</v>
      </c>
      <c r="F388" s="35"/>
      <c r="G388" s="35">
        <v>1563375</v>
      </c>
      <c r="H388" s="35">
        <f>9864825+5452499+14852935+1694550</f>
        <v>31864809</v>
      </c>
      <c r="I388" s="35">
        <f>+G388+H388</f>
        <v>33428184</v>
      </c>
      <c r="J388" s="35">
        <v>7301255</v>
      </c>
      <c r="K388" s="35">
        <f>1804545+1486486+1981982+808649+204640+566203+167775+530180+336937+354279+910721+770000</f>
        <v>9922397</v>
      </c>
      <c r="L388" s="35">
        <f t="shared" si="238"/>
        <v>17223652</v>
      </c>
      <c r="M388" s="35">
        <f t="shared" ref="M388:M391" si="239">+I388+L388</f>
        <v>50651836</v>
      </c>
      <c r="N388" s="416"/>
      <c r="U388" s="420"/>
    </row>
    <row r="389" spans="1:21" ht="18" customHeight="1" x14ac:dyDescent="0.25">
      <c r="A389" s="301"/>
      <c r="B389" s="414"/>
      <c r="C389" s="414"/>
      <c r="D389" s="414"/>
      <c r="E389" s="425" t="s">
        <v>22</v>
      </c>
      <c r="F389" s="35"/>
      <c r="G389" s="35">
        <v>23082264</v>
      </c>
      <c r="H389" s="35">
        <v>289559</v>
      </c>
      <c r="I389" s="35">
        <f>+G389+H389</f>
        <v>23371823</v>
      </c>
      <c r="J389" s="35">
        <v>0</v>
      </c>
      <c r="K389" s="35"/>
      <c r="L389" s="35">
        <f t="shared" si="238"/>
        <v>0</v>
      </c>
      <c r="M389" s="35">
        <f t="shared" si="239"/>
        <v>23371823</v>
      </c>
      <c r="N389" s="416"/>
      <c r="U389" s="420"/>
    </row>
    <row r="390" spans="1:21" ht="18" customHeight="1" x14ac:dyDescent="0.25">
      <c r="A390" s="299"/>
      <c r="B390" s="426"/>
      <c r="C390" s="426"/>
      <c r="D390" s="426"/>
      <c r="E390" s="427" t="s">
        <v>25</v>
      </c>
      <c r="F390" s="236"/>
      <c r="G390" s="236">
        <v>0</v>
      </c>
      <c r="H390" s="236">
        <f>1345203+743523+2025400</f>
        <v>4114126</v>
      </c>
      <c r="I390" s="236">
        <f>+G390+H390</f>
        <v>4114126</v>
      </c>
      <c r="J390" s="236">
        <v>1027898</v>
      </c>
      <c r="K390" s="236">
        <f>214865+110270+27905+77209+22878+27027+214865</f>
        <v>695019</v>
      </c>
      <c r="L390" s="236">
        <f t="shared" si="238"/>
        <v>1722917</v>
      </c>
      <c r="M390" s="236">
        <f t="shared" si="239"/>
        <v>5837043</v>
      </c>
      <c r="N390" s="428"/>
      <c r="Q390" s="298"/>
      <c r="U390" s="420"/>
    </row>
    <row r="391" spans="1:21" ht="18" customHeight="1" x14ac:dyDescent="0.25">
      <c r="A391" s="301"/>
      <c r="B391" s="414"/>
      <c r="C391" s="414"/>
      <c r="D391" s="414"/>
      <c r="E391" s="425" t="s">
        <v>26</v>
      </c>
      <c r="F391" s="35"/>
      <c r="G391" s="35">
        <v>2842500</v>
      </c>
      <c r="H391" s="35">
        <v>3081000</v>
      </c>
      <c r="I391" s="35">
        <f>+G391+H391</f>
        <v>5923500</v>
      </c>
      <c r="J391" s="35">
        <v>1032566</v>
      </c>
      <c r="K391" s="35">
        <f>360909+270270+360360+96396+61261+64414+165586+140000</f>
        <v>1519196</v>
      </c>
      <c r="L391" s="35">
        <f t="shared" si="238"/>
        <v>2551762</v>
      </c>
      <c r="M391" s="35">
        <f t="shared" si="239"/>
        <v>8475262</v>
      </c>
      <c r="N391" s="416"/>
      <c r="U391" s="420"/>
    </row>
    <row r="392" spans="1:21" ht="18" customHeight="1" x14ac:dyDescent="0.25">
      <c r="A392" s="301"/>
      <c r="B392" s="414"/>
      <c r="C392" s="414"/>
      <c r="D392" s="414"/>
      <c r="E392" s="425" t="s">
        <v>40</v>
      </c>
      <c r="F392" s="35"/>
      <c r="G392" s="35"/>
      <c r="H392" s="35"/>
      <c r="I392" s="35"/>
      <c r="J392" s="35"/>
      <c r="K392" s="35"/>
      <c r="L392" s="35"/>
      <c r="M392" s="35"/>
      <c r="N392" s="416"/>
      <c r="U392" s="420"/>
    </row>
    <row r="393" spans="1:21" ht="18" customHeight="1" x14ac:dyDescent="0.25">
      <c r="A393" s="301"/>
      <c r="B393" s="414"/>
      <c r="C393" s="414"/>
      <c r="D393" s="414"/>
      <c r="E393" s="425" t="s">
        <v>321</v>
      </c>
      <c r="F393" s="35"/>
      <c r="G393" s="35">
        <v>0</v>
      </c>
      <c r="H393" s="35"/>
      <c r="I393" s="35">
        <f>+G393+H393</f>
        <v>0</v>
      </c>
      <c r="J393" s="35">
        <v>0</v>
      </c>
      <c r="K393" s="35"/>
      <c r="L393" s="35">
        <f>+J393+K393</f>
        <v>0</v>
      </c>
      <c r="M393" s="35">
        <f>+I393+L393</f>
        <v>0</v>
      </c>
      <c r="N393" s="416"/>
      <c r="U393" s="420"/>
    </row>
    <row r="394" spans="1:21" ht="18" customHeight="1" x14ac:dyDescent="0.25">
      <c r="A394" s="301"/>
      <c r="B394" s="414"/>
      <c r="C394" s="414"/>
      <c r="D394" s="414"/>
      <c r="E394" s="425" t="s">
        <v>322</v>
      </c>
      <c r="F394" s="35"/>
      <c r="G394" s="35">
        <v>110747944</v>
      </c>
      <c r="H394" s="35">
        <f>51518800+2851410</f>
        <v>54370210</v>
      </c>
      <c r="I394" s="35">
        <f t="shared" ref="I394:I400" si="240">+G394+H394</f>
        <v>165118154</v>
      </c>
      <c r="J394" s="35">
        <v>0</v>
      </c>
      <c r="K394" s="35"/>
      <c r="L394" s="35">
        <f>+J394+K394</f>
        <v>0</v>
      </c>
      <c r="M394" s="35">
        <f t="shared" ref="M394:M400" si="241">+I394+L394</f>
        <v>165118154</v>
      </c>
      <c r="N394" s="416"/>
      <c r="U394" s="420"/>
    </row>
    <row r="395" spans="1:21" ht="18" customHeight="1" x14ac:dyDescent="0.25">
      <c r="A395" s="301"/>
      <c r="B395" s="414"/>
      <c r="C395" s="414"/>
      <c r="D395" s="414"/>
      <c r="E395" s="425" t="s">
        <v>323</v>
      </c>
      <c r="F395" s="35"/>
      <c r="G395" s="35">
        <v>30427009</v>
      </c>
      <c r="H395" s="35">
        <v>11405655</v>
      </c>
      <c r="I395" s="35">
        <f t="shared" si="240"/>
        <v>41832664</v>
      </c>
      <c r="J395" s="35"/>
      <c r="K395" s="35"/>
      <c r="L395" s="35"/>
      <c r="M395" s="35">
        <f t="shared" si="241"/>
        <v>41832664</v>
      </c>
      <c r="N395" s="416"/>
      <c r="U395" s="420"/>
    </row>
    <row r="396" spans="1:21" ht="18" customHeight="1" x14ac:dyDescent="0.25">
      <c r="A396" s="301"/>
      <c r="B396" s="414"/>
      <c r="C396" s="414"/>
      <c r="D396" s="414"/>
      <c r="E396" s="425" t="s">
        <v>324</v>
      </c>
      <c r="F396" s="35"/>
      <c r="G396" s="35">
        <v>1163735</v>
      </c>
      <c r="H396" s="35">
        <v>566504</v>
      </c>
      <c r="I396" s="35">
        <f t="shared" si="240"/>
        <v>1730239</v>
      </c>
      <c r="J396" s="35"/>
      <c r="K396" s="35"/>
      <c r="L396" s="35"/>
      <c r="M396" s="35">
        <f t="shared" si="241"/>
        <v>1730239</v>
      </c>
      <c r="N396" s="416"/>
      <c r="U396" s="420"/>
    </row>
    <row r="397" spans="1:21" ht="18" customHeight="1" x14ac:dyDescent="0.25">
      <c r="A397" s="301"/>
      <c r="B397" s="414"/>
      <c r="C397" s="414"/>
      <c r="D397" s="414"/>
      <c r="E397" s="425" t="s">
        <v>325</v>
      </c>
      <c r="F397" s="35"/>
      <c r="G397" s="35">
        <v>3491205</v>
      </c>
      <c r="H397" s="35">
        <v>1699511</v>
      </c>
      <c r="I397" s="35">
        <f t="shared" si="240"/>
        <v>5190716</v>
      </c>
      <c r="J397" s="35"/>
      <c r="K397" s="35"/>
      <c r="L397" s="35"/>
      <c r="M397" s="35">
        <f t="shared" si="241"/>
        <v>5190716</v>
      </c>
      <c r="N397" s="416"/>
      <c r="U397" s="420"/>
    </row>
    <row r="398" spans="1:21" ht="18" customHeight="1" x14ac:dyDescent="0.25">
      <c r="A398" s="301"/>
      <c r="B398" s="414"/>
      <c r="C398" s="414"/>
      <c r="D398" s="414"/>
      <c r="E398" s="425" t="s">
        <v>326</v>
      </c>
      <c r="F398" s="35"/>
      <c r="G398" s="35">
        <v>42712038</v>
      </c>
      <c r="H398" s="35">
        <v>20749707</v>
      </c>
      <c r="I398" s="35">
        <f t="shared" si="240"/>
        <v>63461745</v>
      </c>
      <c r="J398" s="35"/>
      <c r="K398" s="35"/>
      <c r="L398" s="35"/>
      <c r="M398" s="35">
        <f t="shared" si="241"/>
        <v>63461745</v>
      </c>
      <c r="N398" s="416"/>
      <c r="U398" s="420"/>
    </row>
    <row r="399" spans="1:21" ht="18" customHeight="1" x14ac:dyDescent="0.25">
      <c r="A399" s="299"/>
      <c r="B399" s="426"/>
      <c r="C399" s="426"/>
      <c r="D399" s="426"/>
      <c r="E399" s="427" t="s">
        <v>327</v>
      </c>
      <c r="F399" s="236"/>
      <c r="G399" s="236"/>
      <c r="H399" s="236"/>
      <c r="I399" s="236"/>
      <c r="J399" s="236">
        <v>4195000</v>
      </c>
      <c r="K399" s="236">
        <f>1590000+200000+1590000</f>
        <v>3380000</v>
      </c>
      <c r="L399" s="236">
        <f>+J399+K399</f>
        <v>7575000</v>
      </c>
      <c r="M399" s="236">
        <f t="shared" si="241"/>
        <v>7575000</v>
      </c>
      <c r="N399" s="428"/>
      <c r="U399" s="420"/>
    </row>
    <row r="400" spans="1:21" ht="18" customHeight="1" x14ac:dyDescent="0.25">
      <c r="A400" s="301"/>
      <c r="B400" s="414"/>
      <c r="C400" s="414"/>
      <c r="D400" s="414"/>
      <c r="E400" s="425" t="s">
        <v>426</v>
      </c>
      <c r="F400" s="35"/>
      <c r="G400" s="35"/>
      <c r="H400" s="35"/>
      <c r="I400" s="35">
        <f t="shared" si="240"/>
        <v>0</v>
      </c>
      <c r="J400" s="35"/>
      <c r="K400" s="35"/>
      <c r="L400" s="35"/>
      <c r="M400" s="35">
        <f t="shared" si="241"/>
        <v>0</v>
      </c>
      <c r="N400" s="416"/>
      <c r="U400" s="420"/>
    </row>
    <row r="401" spans="1:21" ht="18" customHeight="1" x14ac:dyDescent="0.25">
      <c r="A401" s="301"/>
      <c r="B401" s="414"/>
      <c r="C401" s="414"/>
      <c r="D401" s="414"/>
      <c r="E401" s="414" t="s">
        <v>23</v>
      </c>
      <c r="F401" s="35"/>
      <c r="G401" s="35"/>
      <c r="H401" s="35"/>
      <c r="I401" s="35"/>
      <c r="J401" s="35"/>
      <c r="K401" s="35"/>
      <c r="L401" s="35"/>
      <c r="M401" s="35"/>
      <c r="N401" s="416"/>
      <c r="U401" s="420"/>
    </row>
    <row r="402" spans="1:21" ht="18" customHeight="1" x14ac:dyDescent="0.25">
      <c r="A402" s="301"/>
      <c r="B402" s="414"/>
      <c r="C402" s="414"/>
      <c r="D402" s="414"/>
      <c r="E402" s="429" t="s">
        <v>27</v>
      </c>
      <c r="F402" s="423"/>
      <c r="G402" s="430"/>
      <c r="H402" s="430">
        <v>0</v>
      </c>
      <c r="I402" s="430">
        <v>0</v>
      </c>
      <c r="J402" s="430">
        <v>0</v>
      </c>
      <c r="K402" s="430">
        <v>0</v>
      </c>
      <c r="L402" s="430">
        <v>0</v>
      </c>
      <c r="M402" s="430">
        <v>0</v>
      </c>
      <c r="N402" s="422"/>
      <c r="Q402" s="298"/>
      <c r="U402" s="420"/>
    </row>
    <row r="403" spans="1:21" ht="18" customHeight="1" x14ac:dyDescent="0.25">
      <c r="A403" s="301"/>
      <c r="B403" s="414"/>
      <c r="C403" s="414"/>
      <c r="D403" s="414"/>
      <c r="E403" s="414"/>
      <c r="F403" s="35"/>
      <c r="G403" s="35"/>
      <c r="H403" s="35"/>
      <c r="I403" s="35"/>
      <c r="J403" s="35"/>
      <c r="K403" s="35"/>
      <c r="L403" s="35"/>
      <c r="M403" s="35"/>
      <c r="N403" s="416"/>
      <c r="U403" s="420"/>
    </row>
    <row r="404" spans="1:21" ht="18" customHeight="1" x14ac:dyDescent="0.25">
      <c r="A404" s="301"/>
      <c r="B404" s="414"/>
      <c r="C404" s="414"/>
      <c r="D404" s="414"/>
      <c r="E404" s="414" t="s">
        <v>328</v>
      </c>
      <c r="F404" s="35"/>
      <c r="G404" s="35"/>
      <c r="H404" s="35"/>
      <c r="I404" s="35"/>
      <c r="J404" s="35"/>
      <c r="K404" s="35"/>
      <c r="L404" s="35"/>
      <c r="M404" s="35"/>
      <c r="N404" s="416"/>
      <c r="U404" s="420"/>
    </row>
    <row r="405" spans="1:21" ht="18" customHeight="1" x14ac:dyDescent="0.25">
      <c r="A405" s="301"/>
      <c r="B405" s="414"/>
      <c r="C405" s="414"/>
      <c r="D405" s="414"/>
      <c r="E405" s="414" t="s">
        <v>21</v>
      </c>
      <c r="F405" s="35"/>
      <c r="G405" s="35">
        <f>+G386</f>
        <v>19588610336</v>
      </c>
      <c r="H405" s="424">
        <f>+H386</f>
        <v>28967363516</v>
      </c>
      <c r="I405" s="35">
        <f t="shared" ref="I405:L405" si="242">+I386</f>
        <v>48555973852</v>
      </c>
      <c r="J405" s="35">
        <f t="shared" si="242"/>
        <v>460031431</v>
      </c>
      <c r="K405" s="35">
        <f t="shared" si="242"/>
        <v>316277418</v>
      </c>
      <c r="L405" s="35">
        <f t="shared" si="242"/>
        <v>776308849</v>
      </c>
      <c r="M405" s="35">
        <f>+M386</f>
        <v>49332282701</v>
      </c>
      <c r="N405" s="416"/>
      <c r="O405" s="431"/>
      <c r="U405" s="420"/>
    </row>
    <row r="406" spans="1:21" ht="18" customHeight="1" x14ac:dyDescent="0.25">
      <c r="A406" s="301"/>
      <c r="B406" s="414"/>
      <c r="C406" s="414"/>
      <c r="D406" s="414"/>
      <c r="E406" s="414" t="s">
        <v>42</v>
      </c>
      <c r="F406" s="35"/>
      <c r="G406" s="35">
        <f>+SUM(G407:G420)</f>
        <v>216030070</v>
      </c>
      <c r="H406" s="35">
        <f>+SUM(H407:H420)</f>
        <v>128141081</v>
      </c>
      <c r="I406" s="35">
        <f>+G406+H406</f>
        <v>344171151</v>
      </c>
      <c r="J406" s="35">
        <f>+SUM(J407:J420)</f>
        <v>13556719</v>
      </c>
      <c r="K406" s="35">
        <f>+SUM(K407:K420)</f>
        <v>15516612</v>
      </c>
      <c r="L406" s="35">
        <f>+J406+K406</f>
        <v>29073331</v>
      </c>
      <c r="M406" s="424">
        <f>+I406+L406</f>
        <v>373244482</v>
      </c>
      <c r="N406" s="416"/>
      <c r="U406" s="420"/>
    </row>
    <row r="407" spans="1:21" ht="18" customHeight="1" x14ac:dyDescent="0.25">
      <c r="A407" s="301"/>
      <c r="B407" s="414"/>
      <c r="C407" s="414"/>
      <c r="D407" s="414"/>
      <c r="E407" s="425" t="s">
        <v>24</v>
      </c>
      <c r="F407" s="35"/>
      <c r="G407" s="35">
        <v>1563375</v>
      </c>
      <c r="H407" s="35">
        <f>9864825+5452499+14852935+1694550</f>
        <v>31864809</v>
      </c>
      <c r="I407" s="35">
        <f>+G407+H407</f>
        <v>33428184</v>
      </c>
      <c r="J407" s="35">
        <v>7301255</v>
      </c>
      <c r="K407" s="35">
        <f>1804545+1486486+1981982+808649+204640+566203+167775+530180+336937+354279+910721+770000</f>
        <v>9922397</v>
      </c>
      <c r="L407" s="35">
        <f>+J407+K407</f>
        <v>17223652</v>
      </c>
      <c r="M407" s="35">
        <f>+I407+L407</f>
        <v>50651836</v>
      </c>
      <c r="N407" s="416"/>
      <c r="U407" s="420"/>
    </row>
    <row r="408" spans="1:21" ht="18" customHeight="1" x14ac:dyDescent="0.25">
      <c r="A408" s="301"/>
      <c r="B408" s="414"/>
      <c r="C408" s="414"/>
      <c r="D408" s="414"/>
      <c r="E408" s="425" t="s">
        <v>22</v>
      </c>
      <c r="F408" s="35"/>
      <c r="G408" s="35">
        <v>23082264</v>
      </c>
      <c r="H408" s="35">
        <v>289559</v>
      </c>
      <c r="I408" s="35">
        <f>+G408+H408</f>
        <v>23371823</v>
      </c>
      <c r="J408" s="35">
        <v>0</v>
      </c>
      <c r="K408" s="35"/>
      <c r="L408" s="35">
        <f>+J408+K408</f>
        <v>0</v>
      </c>
      <c r="M408" s="35">
        <f>+I408+L408</f>
        <v>23371823</v>
      </c>
      <c r="N408" s="416"/>
      <c r="U408" s="420"/>
    </row>
    <row r="409" spans="1:21" ht="18" customHeight="1" x14ac:dyDescent="0.25">
      <c r="A409" s="301"/>
      <c r="B409" s="414"/>
      <c r="C409" s="414"/>
      <c r="D409" s="414"/>
      <c r="E409" s="425" t="s">
        <v>25</v>
      </c>
      <c r="F409" s="35"/>
      <c r="G409" s="35">
        <v>0</v>
      </c>
      <c r="H409" s="236">
        <f>1345203+743523+2025400</f>
        <v>4114126</v>
      </c>
      <c r="I409" s="35">
        <f>+G409+H409</f>
        <v>4114126</v>
      </c>
      <c r="J409" s="35">
        <v>1027898</v>
      </c>
      <c r="K409" s="236">
        <f>214865+110270+27905+77209+22878+27027+214865</f>
        <v>695019</v>
      </c>
      <c r="L409" s="35">
        <f>+J409+K409</f>
        <v>1722917</v>
      </c>
      <c r="M409" s="35">
        <f>+I409+L409</f>
        <v>5837043</v>
      </c>
      <c r="N409" s="416"/>
      <c r="U409" s="420"/>
    </row>
    <row r="410" spans="1:21" ht="18" customHeight="1" x14ac:dyDescent="0.25">
      <c r="A410" s="301"/>
      <c r="B410" s="414"/>
      <c r="C410" s="414"/>
      <c r="D410" s="414"/>
      <c r="E410" s="425" t="s">
        <v>26</v>
      </c>
      <c r="F410" s="35"/>
      <c r="G410" s="35">
        <v>2842500</v>
      </c>
      <c r="H410" s="35">
        <v>3081000</v>
      </c>
      <c r="I410" s="35">
        <f>+G410+H410</f>
        <v>5923500</v>
      </c>
      <c r="J410" s="35">
        <v>1032566</v>
      </c>
      <c r="K410" s="35">
        <f>360909+270270+360360+96396+61261+64414+165586+140000</f>
        <v>1519196</v>
      </c>
      <c r="L410" s="35">
        <f>+J410+K410</f>
        <v>2551762</v>
      </c>
      <c r="M410" s="35">
        <f>+I410+L410</f>
        <v>8475262</v>
      </c>
      <c r="N410" s="416"/>
      <c r="U410" s="420"/>
    </row>
    <row r="411" spans="1:21" ht="18" customHeight="1" x14ac:dyDescent="0.25">
      <c r="A411" s="301"/>
      <c r="B411" s="414"/>
      <c r="C411" s="414"/>
      <c r="D411" s="414"/>
      <c r="E411" s="425" t="s">
        <v>40</v>
      </c>
      <c r="F411" s="35"/>
      <c r="G411" s="35"/>
      <c r="H411" s="35"/>
      <c r="I411" s="35"/>
      <c r="J411" s="35"/>
      <c r="K411" s="35"/>
      <c r="L411" s="35"/>
      <c r="M411" s="35"/>
      <c r="N411" s="416"/>
      <c r="U411" s="420"/>
    </row>
    <row r="412" spans="1:21" ht="18" customHeight="1" x14ac:dyDescent="0.25">
      <c r="A412" s="301"/>
      <c r="B412" s="414"/>
      <c r="C412" s="414"/>
      <c r="D412" s="414"/>
      <c r="E412" s="425" t="s">
        <v>321</v>
      </c>
      <c r="F412" s="35"/>
      <c r="G412" s="35">
        <v>0</v>
      </c>
      <c r="H412" s="35"/>
      <c r="I412" s="35">
        <f>+G412+H412</f>
        <v>0</v>
      </c>
      <c r="J412" s="35">
        <v>0</v>
      </c>
      <c r="K412" s="35"/>
      <c r="L412" s="35">
        <f>+J412+K412</f>
        <v>0</v>
      </c>
      <c r="M412" s="35">
        <f t="shared" ref="M412:M419" si="243">+I412+L412</f>
        <v>0</v>
      </c>
      <c r="N412" s="416"/>
      <c r="U412" s="420"/>
    </row>
    <row r="413" spans="1:21" ht="18" customHeight="1" x14ac:dyDescent="0.25">
      <c r="A413" s="301"/>
      <c r="B413" s="414"/>
      <c r="C413" s="414"/>
      <c r="D413" s="414"/>
      <c r="E413" s="425" t="s">
        <v>322</v>
      </c>
      <c r="F413" s="35"/>
      <c r="G413" s="35">
        <v>110747944</v>
      </c>
      <c r="H413" s="35">
        <f>51518800+2851410</f>
        <v>54370210</v>
      </c>
      <c r="I413" s="35">
        <f t="shared" ref="I413:I419" si="244">+G413+H413</f>
        <v>165118154</v>
      </c>
      <c r="J413" s="35"/>
      <c r="K413" s="35"/>
      <c r="L413" s="35"/>
      <c r="M413" s="35">
        <f t="shared" si="243"/>
        <v>165118154</v>
      </c>
      <c r="N413" s="416"/>
      <c r="U413" s="420"/>
    </row>
    <row r="414" spans="1:21" ht="18" customHeight="1" x14ac:dyDescent="0.25">
      <c r="A414" s="301"/>
      <c r="B414" s="414"/>
      <c r="C414" s="414"/>
      <c r="D414" s="414"/>
      <c r="E414" s="425" t="s">
        <v>323</v>
      </c>
      <c r="F414" s="35"/>
      <c r="G414" s="35">
        <v>30427009</v>
      </c>
      <c r="H414" s="35">
        <v>11405655</v>
      </c>
      <c r="I414" s="35">
        <f t="shared" si="244"/>
        <v>41832664</v>
      </c>
      <c r="J414" s="35"/>
      <c r="K414" s="35"/>
      <c r="L414" s="35"/>
      <c r="M414" s="35">
        <f t="shared" si="243"/>
        <v>41832664</v>
      </c>
      <c r="N414" s="416"/>
      <c r="U414" s="420"/>
    </row>
    <row r="415" spans="1:21" ht="18" customHeight="1" x14ac:dyDescent="0.25">
      <c r="A415" s="301"/>
      <c r="B415" s="414"/>
      <c r="C415" s="414"/>
      <c r="D415" s="414"/>
      <c r="E415" s="425" t="s">
        <v>324</v>
      </c>
      <c r="F415" s="35"/>
      <c r="G415" s="35">
        <v>1163735</v>
      </c>
      <c r="H415" s="35">
        <v>566504</v>
      </c>
      <c r="I415" s="35">
        <f t="shared" si="244"/>
        <v>1730239</v>
      </c>
      <c r="J415" s="35"/>
      <c r="K415" s="35"/>
      <c r="L415" s="35"/>
      <c r="M415" s="35">
        <f t="shared" si="243"/>
        <v>1730239</v>
      </c>
      <c r="N415" s="416"/>
      <c r="U415" s="420"/>
    </row>
    <row r="416" spans="1:21" ht="18" customHeight="1" x14ac:dyDescent="0.25">
      <c r="A416" s="301"/>
      <c r="B416" s="414"/>
      <c r="C416" s="414"/>
      <c r="D416" s="414"/>
      <c r="E416" s="425" t="s">
        <v>325</v>
      </c>
      <c r="F416" s="35"/>
      <c r="G416" s="35">
        <v>3491205</v>
      </c>
      <c r="H416" s="35">
        <v>1699511</v>
      </c>
      <c r="I416" s="35">
        <f t="shared" si="244"/>
        <v>5190716</v>
      </c>
      <c r="J416" s="35"/>
      <c r="K416" s="35"/>
      <c r="L416" s="35"/>
      <c r="M416" s="35">
        <f t="shared" si="243"/>
        <v>5190716</v>
      </c>
      <c r="N416" s="416"/>
      <c r="U416" s="420"/>
    </row>
    <row r="417" spans="1:21" ht="18" customHeight="1" x14ac:dyDescent="0.25">
      <c r="A417" s="301"/>
      <c r="B417" s="414"/>
      <c r="C417" s="414"/>
      <c r="D417" s="414"/>
      <c r="E417" s="425" t="s">
        <v>326</v>
      </c>
      <c r="F417" s="35"/>
      <c r="G417" s="35">
        <v>42712038</v>
      </c>
      <c r="H417" s="35">
        <v>20749707</v>
      </c>
      <c r="I417" s="35">
        <f t="shared" si="244"/>
        <v>63461745</v>
      </c>
      <c r="J417" s="35"/>
      <c r="K417" s="35"/>
      <c r="L417" s="35"/>
      <c r="M417" s="35">
        <f t="shared" si="243"/>
        <v>63461745</v>
      </c>
      <c r="N417" s="416"/>
      <c r="U417" s="420"/>
    </row>
    <row r="418" spans="1:21" ht="18" customHeight="1" x14ac:dyDescent="0.25">
      <c r="A418" s="301"/>
      <c r="B418" s="414"/>
      <c r="C418" s="414"/>
      <c r="D418" s="414"/>
      <c r="E418" s="425" t="s">
        <v>327</v>
      </c>
      <c r="F418" s="35"/>
      <c r="G418" s="35"/>
      <c r="H418" s="236"/>
      <c r="I418" s="35"/>
      <c r="J418" s="35">
        <v>4195000</v>
      </c>
      <c r="K418" s="236">
        <f>1590000+200000+1590000</f>
        <v>3380000</v>
      </c>
      <c r="L418" s="35">
        <f>+J418+K418</f>
        <v>7575000</v>
      </c>
      <c r="M418" s="35">
        <f t="shared" si="243"/>
        <v>7575000</v>
      </c>
      <c r="N418" s="416"/>
      <c r="U418" s="420"/>
    </row>
    <row r="419" spans="1:21" ht="18" customHeight="1" x14ac:dyDescent="0.25">
      <c r="A419" s="301"/>
      <c r="B419" s="414"/>
      <c r="C419" s="414"/>
      <c r="D419" s="414"/>
      <c r="E419" s="425" t="s">
        <v>426</v>
      </c>
      <c r="F419" s="35"/>
      <c r="G419" s="35"/>
      <c r="H419" s="35"/>
      <c r="I419" s="35">
        <f t="shared" si="244"/>
        <v>0</v>
      </c>
      <c r="J419" s="35"/>
      <c r="K419" s="35"/>
      <c r="L419" s="35"/>
      <c r="M419" s="35">
        <f t="shared" si="243"/>
        <v>0</v>
      </c>
      <c r="N419" s="416"/>
      <c r="U419" s="420"/>
    </row>
    <row r="420" spans="1:21" ht="18" customHeight="1" x14ac:dyDescent="0.25">
      <c r="A420" s="301"/>
      <c r="B420" s="414"/>
      <c r="C420" s="414"/>
      <c r="D420" s="414"/>
      <c r="E420" s="414" t="s">
        <v>23</v>
      </c>
      <c r="F420" s="35"/>
      <c r="G420" s="35"/>
      <c r="H420" s="35"/>
      <c r="I420" s="35"/>
      <c r="J420" s="35"/>
      <c r="K420" s="35"/>
      <c r="L420" s="35"/>
      <c r="M420" s="35"/>
      <c r="N420" s="416"/>
      <c r="U420" s="420"/>
    </row>
    <row r="421" spans="1:21" ht="18" customHeight="1" x14ac:dyDescent="0.25">
      <c r="A421" s="301"/>
      <c r="B421" s="414"/>
      <c r="C421" s="414"/>
      <c r="D421" s="414"/>
      <c r="E421" s="429" t="s">
        <v>27</v>
      </c>
      <c r="F421" s="423"/>
      <c r="G421" s="430" t="s">
        <v>49</v>
      </c>
      <c r="H421" s="430" t="s">
        <v>49</v>
      </c>
      <c r="I421" s="430" t="s">
        <v>49</v>
      </c>
      <c r="J421" s="430" t="s">
        <v>49</v>
      </c>
      <c r="K421" s="430" t="s">
        <v>49</v>
      </c>
      <c r="L421" s="430" t="s">
        <v>49</v>
      </c>
      <c r="M421" s="430" t="s">
        <v>49</v>
      </c>
      <c r="N421" s="422"/>
      <c r="U421" s="420"/>
    </row>
    <row r="422" spans="1:21" ht="18" customHeight="1" x14ac:dyDescent="0.25">
      <c r="A422" s="301"/>
      <c r="B422" s="414"/>
      <c r="C422" s="414"/>
      <c r="D422" s="414"/>
      <c r="E422" s="414"/>
      <c r="F422" s="416"/>
      <c r="G422" s="416"/>
      <c r="H422" s="416"/>
      <c r="I422" s="416"/>
      <c r="J422" s="416"/>
      <c r="K422" s="416"/>
      <c r="L422" s="416"/>
      <c r="M422" s="416"/>
      <c r="N422" s="416"/>
      <c r="U422" s="420"/>
    </row>
    <row r="423" spans="1:21" ht="18" customHeight="1" x14ac:dyDescent="0.25">
      <c r="A423" s="432"/>
      <c r="B423" s="432"/>
      <c r="C423" s="432"/>
      <c r="D423" s="432"/>
      <c r="E423" s="429" t="s">
        <v>28</v>
      </c>
      <c r="F423" s="422"/>
      <c r="G423" s="422">
        <v>0</v>
      </c>
      <c r="H423" s="422">
        <v>0</v>
      </c>
      <c r="I423" s="422">
        <v>0</v>
      </c>
      <c r="J423" s="422">
        <v>0</v>
      </c>
      <c r="K423" s="422">
        <v>0</v>
      </c>
      <c r="L423" s="422">
        <v>0</v>
      </c>
      <c r="M423" s="422">
        <v>0</v>
      </c>
      <c r="N423" s="422"/>
      <c r="U423" s="420"/>
    </row>
    <row r="424" spans="1:21" ht="18" customHeight="1" x14ac:dyDescent="0.25">
      <c r="U424" s="420"/>
    </row>
    <row r="425" spans="1:21" ht="18" customHeight="1" x14ac:dyDescent="0.25">
      <c r="A425" s="537" t="s">
        <v>52</v>
      </c>
      <c r="B425" s="537"/>
      <c r="C425" s="537"/>
      <c r="D425" s="537"/>
      <c r="L425" s="539" t="s">
        <v>488</v>
      </c>
      <c r="M425" s="539"/>
      <c r="N425" s="539"/>
      <c r="U425" s="420"/>
    </row>
    <row r="426" spans="1:21" ht="18" customHeight="1" x14ac:dyDescent="0.25">
      <c r="A426" s="537" t="s">
        <v>59</v>
      </c>
      <c r="B426" s="537"/>
      <c r="C426" s="537"/>
      <c r="D426" s="537"/>
      <c r="U426" s="420"/>
    </row>
    <row r="427" spans="1:21" ht="18" customHeight="1" x14ac:dyDescent="0.25">
      <c r="A427" s="537" t="s">
        <v>60</v>
      </c>
      <c r="B427" s="537"/>
      <c r="C427" s="537"/>
      <c r="D427" s="537"/>
      <c r="E427" s="434" t="s">
        <v>38</v>
      </c>
      <c r="F427" s="538" t="s">
        <v>39</v>
      </c>
      <c r="G427" s="538"/>
      <c r="H427" s="538"/>
      <c r="I427" s="435"/>
      <c r="J427" s="435"/>
      <c r="K427" s="435"/>
      <c r="L427" s="538" t="s">
        <v>422</v>
      </c>
      <c r="M427" s="538"/>
      <c r="N427" s="538"/>
      <c r="U427" s="420"/>
    </row>
    <row r="428" spans="1:21" ht="18" customHeight="1" x14ac:dyDescent="0.25">
      <c r="A428" s="537" t="s">
        <v>53</v>
      </c>
      <c r="B428" s="537"/>
      <c r="C428" s="537"/>
      <c r="D428" s="537"/>
      <c r="E428" s="434" t="s">
        <v>330</v>
      </c>
      <c r="F428" s="538" t="s">
        <v>54</v>
      </c>
      <c r="G428" s="538"/>
      <c r="H428" s="538"/>
      <c r="I428" s="435"/>
      <c r="J428" s="435"/>
      <c r="K428" s="435"/>
      <c r="L428" s="538" t="s">
        <v>330</v>
      </c>
      <c r="M428" s="538"/>
      <c r="N428" s="538"/>
      <c r="U428" s="420"/>
    </row>
    <row r="429" spans="1:21" ht="18" customHeight="1" x14ac:dyDescent="0.25">
      <c r="A429" s="472"/>
      <c r="B429" s="436"/>
      <c r="C429" s="436"/>
      <c r="D429" s="436"/>
      <c r="E429" s="472"/>
      <c r="G429" s="473"/>
      <c r="H429" s="438"/>
      <c r="I429" s="438"/>
      <c r="K429" s="438"/>
      <c r="L429" s="438"/>
      <c r="M429" s="438"/>
      <c r="N429" s="438"/>
      <c r="U429" s="420"/>
    </row>
    <row r="430" spans="1:21" ht="18" customHeight="1" x14ac:dyDescent="0.25">
      <c r="A430" s="472"/>
      <c r="B430" s="436"/>
      <c r="C430" s="436"/>
      <c r="D430" s="436"/>
      <c r="E430" s="472"/>
      <c r="G430" s="438"/>
      <c r="H430" s="438"/>
      <c r="K430" s="438"/>
      <c r="L430" s="438"/>
      <c r="M430" s="438"/>
    </row>
    <row r="431" spans="1:21" ht="18" customHeight="1" x14ac:dyDescent="0.25">
      <c r="A431" s="439"/>
      <c r="B431" s="436"/>
      <c r="C431" s="436"/>
      <c r="D431" s="436"/>
      <c r="E431" s="472"/>
      <c r="G431" s="438"/>
      <c r="H431" s="438"/>
      <c r="K431" s="438"/>
      <c r="L431" s="438"/>
      <c r="M431" s="438"/>
    </row>
    <row r="432" spans="1:21" ht="18" customHeight="1" x14ac:dyDescent="0.25">
      <c r="A432" s="537" t="s">
        <v>56</v>
      </c>
      <c r="B432" s="537"/>
      <c r="C432" s="537"/>
      <c r="D432" s="537"/>
      <c r="E432" s="472" t="s">
        <v>421</v>
      </c>
      <c r="F432" s="539" t="s">
        <v>51</v>
      </c>
      <c r="G432" s="539"/>
      <c r="H432" s="539"/>
      <c r="I432" s="161"/>
      <c r="J432" s="161"/>
      <c r="K432" s="161"/>
      <c r="L432" s="539" t="s">
        <v>423</v>
      </c>
      <c r="M432" s="539"/>
      <c r="N432" s="539"/>
    </row>
    <row r="433" spans="1:14" ht="18" customHeight="1" x14ac:dyDescent="0.25">
      <c r="A433" s="537" t="s">
        <v>29</v>
      </c>
      <c r="B433" s="537"/>
      <c r="C433" s="537"/>
      <c r="D433" s="537"/>
      <c r="E433" s="472" t="s">
        <v>419</v>
      </c>
      <c r="F433" s="540" t="s">
        <v>58</v>
      </c>
      <c r="G433" s="540"/>
      <c r="H433" s="540"/>
      <c r="I433" s="161"/>
      <c r="J433" s="161"/>
      <c r="K433" s="161"/>
      <c r="L433" s="540" t="s">
        <v>425</v>
      </c>
      <c r="M433" s="540"/>
      <c r="N433" s="540"/>
    </row>
    <row r="434" spans="1:14" ht="18" customHeight="1" x14ac:dyDescent="0.25">
      <c r="A434" s="537" t="s">
        <v>57</v>
      </c>
      <c r="B434" s="537"/>
      <c r="C434" s="537"/>
      <c r="D434" s="537"/>
      <c r="E434" s="472" t="s">
        <v>420</v>
      </c>
      <c r="F434" s="539" t="s">
        <v>47</v>
      </c>
      <c r="G434" s="539"/>
      <c r="H434" s="539"/>
      <c r="I434" s="161"/>
      <c r="J434" s="161"/>
      <c r="K434" s="161"/>
      <c r="L434" s="539" t="s">
        <v>424</v>
      </c>
      <c r="M434" s="539"/>
      <c r="N434" s="539"/>
    </row>
  </sheetData>
  <mergeCells count="33"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  <mergeCell ref="B17:D17"/>
    <mergeCell ref="A426:D426"/>
    <mergeCell ref="A427:D427"/>
    <mergeCell ref="F427:H427"/>
    <mergeCell ref="L427:N427"/>
    <mergeCell ref="A425:D425"/>
    <mergeCell ref="L425:N425"/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</mergeCells>
  <printOptions horizontalCentered="1"/>
  <pageMargins left="0.59055118110236227" right="0.19685039370078741" top="0.39370078740157483" bottom="0.19685039370078741" header="0.31496062992125984" footer="0.31496062992125984"/>
  <pageSetup paperSize="258" scale="56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U434"/>
  <sheetViews>
    <sheetView showGridLines="0" view="pageBreakPreview" zoomScale="90" zoomScaleNormal="85" zoomScaleSheetLayoutView="90" workbookViewId="0">
      <pane xSplit="4" ySplit="16" topLeftCell="H17" activePane="bottomRight" state="frozen"/>
      <selection activeCell="H365" sqref="H365"/>
      <selection pane="topRight" activeCell="H365" sqref="H365"/>
      <selection pane="bottomLeft" activeCell="H365" sqref="H365"/>
      <selection pane="bottomRight" activeCell="H365" sqref="H365"/>
    </sheetView>
  </sheetViews>
  <sheetFormatPr defaultRowHeight="15" customHeight="1" x14ac:dyDescent="0.25"/>
  <cols>
    <col min="1" max="1" width="6" style="1" customWidth="1"/>
    <col min="2" max="2" width="11.5703125" style="1" customWidth="1"/>
    <col min="3" max="3" width="13.7109375" style="1" customWidth="1"/>
    <col min="4" max="4" width="15.85546875" style="1" customWidth="1"/>
    <col min="5" max="5" width="68.5703125" style="1" customWidth="1"/>
    <col min="6" max="6" width="18.140625" style="1" customWidth="1"/>
    <col min="7" max="7" width="16.85546875" style="1" customWidth="1"/>
    <col min="8" max="8" width="15.85546875" style="1" customWidth="1"/>
    <col min="9" max="9" width="18.7109375" style="1" customWidth="1"/>
    <col min="10" max="10" width="15" style="1" customWidth="1"/>
    <col min="11" max="11" width="14" style="1" customWidth="1"/>
    <col min="12" max="12" width="15.140625" style="1" customWidth="1"/>
    <col min="13" max="13" width="16.7109375" style="1" customWidth="1"/>
    <col min="14" max="14" width="19.28515625" style="1" customWidth="1"/>
    <col min="15" max="15" width="4.28515625" style="1" customWidth="1"/>
    <col min="16" max="16" width="18.42578125" style="188" customWidth="1"/>
    <col min="17" max="17" width="14.85546875" style="1" customWidth="1"/>
    <col min="18" max="18" width="15.42578125" style="1" customWidth="1"/>
    <col min="19" max="19" width="20.140625" style="207" customWidth="1"/>
    <col min="20" max="20" width="25.7109375" style="207" customWidth="1"/>
    <col min="21" max="21" width="26.140625" style="1" customWidth="1"/>
    <col min="22" max="16384" width="9.140625" style="1"/>
  </cols>
  <sheetData>
    <row r="1" spans="1:18" ht="1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</row>
    <row r="2" spans="1:18" ht="15" hidden="1" customHeight="1" x14ac:dyDescent="0.25">
      <c r="A2" s="503" t="s">
        <v>1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</row>
    <row r="3" spans="1:18" ht="15" hidden="1" customHeight="1" x14ac:dyDescent="0.25">
      <c r="A3" s="503" t="s">
        <v>2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1:18" ht="15" hidden="1" customHeight="1" x14ac:dyDescent="0.25"/>
    <row r="5" spans="1:18" ht="15" hidden="1" customHeight="1" x14ac:dyDescent="0.25"/>
    <row r="6" spans="1:18" ht="15" hidden="1" customHeight="1" x14ac:dyDescent="0.25">
      <c r="A6" s="1" t="s">
        <v>3</v>
      </c>
      <c r="D6" s="1" t="s">
        <v>45</v>
      </c>
    </row>
    <row r="7" spans="1:18" ht="15" hidden="1" customHeight="1" x14ac:dyDescent="0.25">
      <c r="A7" s="1" t="s">
        <v>4</v>
      </c>
      <c r="D7" s="1" t="s">
        <v>55</v>
      </c>
    </row>
    <row r="8" spans="1:18" ht="15" hidden="1" customHeight="1" x14ac:dyDescent="0.25">
      <c r="A8" s="1" t="s">
        <v>5</v>
      </c>
      <c r="D8" s="504" t="s">
        <v>50</v>
      </c>
      <c r="E8" s="504"/>
      <c r="F8" s="504"/>
    </row>
    <row r="9" spans="1:18" ht="15" hidden="1" customHeight="1" x14ac:dyDescent="0.25">
      <c r="A9" s="1" t="s">
        <v>6</v>
      </c>
      <c r="D9" s="1" t="s">
        <v>449</v>
      </c>
      <c r="R9" s="2"/>
    </row>
    <row r="10" spans="1:18" ht="15" hidden="1" customHeight="1" x14ac:dyDescent="0.25">
      <c r="A10" s="1" t="s">
        <v>7</v>
      </c>
      <c r="D10" s="1" t="s">
        <v>489</v>
      </c>
      <c r="R10" s="2"/>
    </row>
    <row r="11" spans="1:18" ht="15" hidden="1" customHeight="1" x14ac:dyDescent="0.25">
      <c r="R11" s="2"/>
    </row>
    <row r="12" spans="1:18" ht="15" hidden="1" customHeight="1" x14ac:dyDescent="0.25">
      <c r="R12" s="2"/>
    </row>
    <row r="13" spans="1:18" ht="15" customHeight="1" x14ac:dyDescent="0.25">
      <c r="A13" s="505" t="s">
        <v>37</v>
      </c>
      <c r="B13" s="507" t="s">
        <v>10</v>
      </c>
      <c r="C13" s="508"/>
      <c r="D13" s="509"/>
      <c r="E13" s="513" t="s">
        <v>8</v>
      </c>
      <c r="F13" s="513" t="s">
        <v>9</v>
      </c>
      <c r="G13" s="515" t="s">
        <v>14</v>
      </c>
      <c r="H13" s="515"/>
      <c r="I13" s="515"/>
      <c r="J13" s="515" t="s">
        <v>15</v>
      </c>
      <c r="K13" s="515"/>
      <c r="L13" s="515"/>
      <c r="M13" s="513" t="s">
        <v>17</v>
      </c>
      <c r="N13" s="513" t="s">
        <v>16</v>
      </c>
      <c r="R13" s="2"/>
    </row>
    <row r="14" spans="1:18" ht="15" customHeight="1" x14ac:dyDescent="0.25">
      <c r="A14" s="506"/>
      <c r="B14" s="510"/>
      <c r="C14" s="511"/>
      <c r="D14" s="512"/>
      <c r="E14" s="513"/>
      <c r="F14" s="514"/>
      <c r="G14" s="468" t="s">
        <v>11</v>
      </c>
      <c r="H14" s="468" t="s">
        <v>12</v>
      </c>
      <c r="I14" s="468" t="s">
        <v>13</v>
      </c>
      <c r="J14" s="468" t="s">
        <v>11</v>
      </c>
      <c r="K14" s="468" t="s">
        <v>12</v>
      </c>
      <c r="L14" s="468" t="s">
        <v>13</v>
      </c>
      <c r="M14" s="513"/>
      <c r="N14" s="513"/>
      <c r="R14" s="3"/>
    </row>
    <row r="15" spans="1:18" ht="15" customHeight="1" x14ac:dyDescent="0.25">
      <c r="A15" s="4"/>
      <c r="B15" s="497">
        <v>1</v>
      </c>
      <c r="C15" s="498"/>
      <c r="D15" s="499"/>
      <c r="E15" s="469">
        <v>2</v>
      </c>
      <c r="F15" s="469">
        <v>3</v>
      </c>
      <c r="G15" s="469">
        <v>7</v>
      </c>
      <c r="H15" s="469">
        <v>8</v>
      </c>
      <c r="I15" s="469" t="s">
        <v>18</v>
      </c>
      <c r="J15" s="469">
        <v>10</v>
      </c>
      <c r="K15" s="469">
        <v>11</v>
      </c>
      <c r="L15" s="469" t="s">
        <v>19</v>
      </c>
      <c r="M15" s="469" t="s">
        <v>155</v>
      </c>
      <c r="N15" s="469" t="s">
        <v>36</v>
      </c>
    </row>
    <row r="16" spans="1:18" ht="15" customHeight="1" x14ac:dyDescent="0.25">
      <c r="A16" s="8"/>
      <c r="B16" s="500"/>
      <c r="C16" s="501"/>
      <c r="D16" s="502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21" ht="17.100000000000001" customHeight="1" x14ac:dyDescent="0.25">
      <c r="A17" s="99"/>
      <c r="B17" s="494" t="s">
        <v>20</v>
      </c>
      <c r="C17" s="495"/>
      <c r="D17" s="496"/>
      <c r="E17" s="99"/>
      <c r="F17" s="100">
        <f>+F18+F47+F122+F138+F239+F247+F298+F350</f>
        <v>428263811167</v>
      </c>
      <c r="G17" s="100">
        <f>+G18+G47+G122+G138+G239+G247+G298+G350</f>
        <v>48555973852</v>
      </c>
      <c r="H17" s="100">
        <f>+H18+H47+H122+H138+H239+H247+H298+H350</f>
        <v>12206513922</v>
      </c>
      <c r="I17" s="100">
        <f>+G17+H17</f>
        <v>60762487774</v>
      </c>
      <c r="J17" s="100">
        <f>+J18+J47+J122+J138+J239+J247+J298+J350</f>
        <v>776308849</v>
      </c>
      <c r="K17" s="100">
        <f>+K18+K47+K122+K138+K239+K247+K298+K350</f>
        <v>117840763</v>
      </c>
      <c r="L17" s="100">
        <f>+J17+K17</f>
        <v>894149612</v>
      </c>
      <c r="M17" s="100">
        <f>+I17+L17</f>
        <v>61656637386</v>
      </c>
      <c r="N17" s="100">
        <f>+F17-M17</f>
        <v>366607173781</v>
      </c>
      <c r="R17" s="3"/>
      <c r="U17" s="188">
        <f>178000000+33460000+79728000+22342995000+29162378+3014333670+6242819000+179060000+4822000000+316799545+177216575</f>
        <v>37415574168</v>
      </c>
    </row>
    <row r="18" spans="1:21" s="114" customFormat="1" ht="18" customHeight="1" x14ac:dyDescent="0.25">
      <c r="A18" s="109"/>
      <c r="B18" s="110" t="s">
        <v>336</v>
      </c>
      <c r="C18" s="110"/>
      <c r="D18" s="110"/>
      <c r="E18" s="111" t="s">
        <v>335</v>
      </c>
      <c r="F18" s="112">
        <f>+F19+F32</f>
        <v>276269500</v>
      </c>
      <c r="G18" s="113">
        <f>+G19+G32</f>
        <v>0</v>
      </c>
      <c r="H18" s="113">
        <f>+H19+H32</f>
        <v>0</v>
      </c>
      <c r="I18" s="113">
        <f>+G18+H18</f>
        <v>0</v>
      </c>
      <c r="J18" s="113">
        <f>+J19+J32</f>
        <v>72996000</v>
      </c>
      <c r="K18" s="113">
        <f>+K19+K32</f>
        <v>4500000</v>
      </c>
      <c r="L18" s="113">
        <f>+J18+K18</f>
        <v>77496000</v>
      </c>
      <c r="M18" s="113">
        <f>+I18+L18</f>
        <v>77496000</v>
      </c>
      <c r="N18" s="112">
        <f>+F18-M18</f>
        <v>198773500</v>
      </c>
      <c r="P18" s="189">
        <f>+N19+N32+N48+N113+N123+N139+N165+N173+N184+N206+N240+N248+N256+N269+N278+N299+N312+N331+N337+N343+N351+N357+N369+N375</f>
        <v>366607173781</v>
      </c>
      <c r="Q18" s="114" t="s">
        <v>332</v>
      </c>
      <c r="R18" s="115"/>
      <c r="S18" s="238" t="s">
        <v>427</v>
      </c>
      <c r="T18" s="208"/>
    </row>
    <row r="19" spans="1:21" s="121" customFormat="1" ht="18" customHeight="1" x14ac:dyDescent="0.25">
      <c r="A19" s="154">
        <v>1</v>
      </c>
      <c r="B19" s="155"/>
      <c r="C19" s="155" t="s">
        <v>61</v>
      </c>
      <c r="D19" s="156"/>
      <c r="E19" s="157" t="s">
        <v>62</v>
      </c>
      <c r="F19" s="158">
        <f t="shared" ref="F19:H20" si="0">+F20</f>
        <v>117975500</v>
      </c>
      <c r="G19" s="159">
        <f t="shared" si="0"/>
        <v>0</v>
      </c>
      <c r="H19" s="159">
        <f t="shared" si="0"/>
        <v>0</v>
      </c>
      <c r="I19" s="159">
        <f>+G19+H19</f>
        <v>0</v>
      </c>
      <c r="J19" s="159">
        <f>+J20</f>
        <v>44157500</v>
      </c>
      <c r="K19" s="159">
        <f>+K20</f>
        <v>0</v>
      </c>
      <c r="L19" s="159">
        <f>+J19+K19</f>
        <v>44157500</v>
      </c>
      <c r="M19" s="159">
        <f>+I19+L19</f>
        <v>44157500</v>
      </c>
      <c r="N19" s="158">
        <f>+F19-M19</f>
        <v>73818000</v>
      </c>
      <c r="P19" s="190"/>
      <c r="R19" s="122"/>
      <c r="S19" s="209">
        <f>SUM(S24:S361)</f>
        <v>117840763</v>
      </c>
      <c r="T19" s="209">
        <f>SUM(T24:T434)</f>
        <v>12206513922</v>
      </c>
    </row>
    <row r="20" spans="1:21" s="107" customFormat="1" ht="18" customHeight="1" x14ac:dyDescent="0.25">
      <c r="A20" s="101"/>
      <c r="B20" s="102"/>
      <c r="C20" s="102"/>
      <c r="D20" s="103" t="s">
        <v>207</v>
      </c>
      <c r="E20" s="104" t="s">
        <v>262</v>
      </c>
      <c r="F20" s="105">
        <f t="shared" si="0"/>
        <v>117975500</v>
      </c>
      <c r="G20" s="106">
        <f t="shared" si="0"/>
        <v>0</v>
      </c>
      <c r="H20" s="106">
        <f t="shared" si="0"/>
        <v>0</v>
      </c>
      <c r="I20" s="106">
        <f>+G20+H20</f>
        <v>0</v>
      </c>
      <c r="J20" s="106">
        <f>+J21</f>
        <v>44157500</v>
      </c>
      <c r="K20" s="106">
        <f>+K21</f>
        <v>0</v>
      </c>
      <c r="L20" s="106">
        <f t="shared" ref="L20:L28" si="1">+J20+K20</f>
        <v>44157500</v>
      </c>
      <c r="M20" s="106">
        <f>+I20+L20</f>
        <v>44157500</v>
      </c>
      <c r="N20" s="105">
        <f>+F20-M20</f>
        <v>73818000</v>
      </c>
      <c r="P20" s="191"/>
      <c r="R20" s="108"/>
      <c r="S20" s="278"/>
      <c r="T20" s="278"/>
      <c r="U20" s="241"/>
    </row>
    <row r="21" spans="1:21" s="49" customFormat="1" ht="18" customHeight="1" x14ac:dyDescent="0.25">
      <c r="A21" s="44"/>
      <c r="B21" s="45"/>
      <c r="C21" s="45"/>
      <c r="D21" s="45" t="s">
        <v>63</v>
      </c>
      <c r="E21" s="46" t="s">
        <v>30</v>
      </c>
      <c r="F21" s="47">
        <f>+F22+F29</f>
        <v>117975500</v>
      </c>
      <c r="G21" s="48">
        <f>+G22+G29</f>
        <v>0</v>
      </c>
      <c r="H21" s="48">
        <f>+H22+H29</f>
        <v>0</v>
      </c>
      <c r="I21" s="48">
        <f>+G21+H21</f>
        <v>0</v>
      </c>
      <c r="J21" s="48">
        <f>+J22+J29</f>
        <v>44157500</v>
      </c>
      <c r="K21" s="48">
        <f>+K22+K29</f>
        <v>0</v>
      </c>
      <c r="L21" s="48">
        <f>+J21+K21</f>
        <v>44157500</v>
      </c>
      <c r="M21" s="48">
        <f>+I21+L21</f>
        <v>44157500</v>
      </c>
      <c r="N21" s="47">
        <f>+F21-M21</f>
        <v>73818000</v>
      </c>
      <c r="P21" s="192">
        <f>H386+H387+K386+K387</f>
        <v>12656079209</v>
      </c>
      <c r="Q21" s="49" t="s">
        <v>334</v>
      </c>
      <c r="S21" s="279"/>
      <c r="T21" s="279"/>
      <c r="U21" s="242"/>
    </row>
    <row r="22" spans="1:21" s="55" customFormat="1" ht="18" customHeight="1" x14ac:dyDescent="0.25">
      <c r="A22" s="50"/>
      <c r="B22" s="51"/>
      <c r="C22" s="51"/>
      <c r="D22" s="51" t="s">
        <v>263</v>
      </c>
      <c r="E22" s="52" t="s">
        <v>264</v>
      </c>
      <c r="F22" s="53">
        <f>+F23</f>
        <v>65295500</v>
      </c>
      <c r="G22" s="54">
        <f>+G23</f>
        <v>0</v>
      </c>
      <c r="H22" s="54">
        <f>+H23</f>
        <v>0</v>
      </c>
      <c r="I22" s="54">
        <f t="shared" ref="I22:I31" si="2">+G22+H22</f>
        <v>0</v>
      </c>
      <c r="J22" s="54">
        <f>+J23</f>
        <v>31587500</v>
      </c>
      <c r="K22" s="54">
        <f>+K23</f>
        <v>0</v>
      </c>
      <c r="L22" s="54">
        <f t="shared" si="1"/>
        <v>31587500</v>
      </c>
      <c r="M22" s="54">
        <f t="shared" ref="M22:M31" si="3">+I22+L22</f>
        <v>31587500</v>
      </c>
      <c r="N22" s="53">
        <f t="shared" ref="N22:N31" si="4">+F22-M22</f>
        <v>33708000</v>
      </c>
      <c r="P22" s="193">
        <f>+H17+K17</f>
        <v>12324354685</v>
      </c>
      <c r="Q22" s="49" t="s">
        <v>333</v>
      </c>
      <c r="S22" s="279"/>
      <c r="T22" s="279"/>
      <c r="U22" s="243"/>
    </row>
    <row r="23" spans="1:21" s="49" customFormat="1" ht="18" customHeight="1" x14ac:dyDescent="0.25">
      <c r="A23" s="56"/>
      <c r="B23" s="57"/>
      <c r="C23" s="57"/>
      <c r="D23" s="57" t="s">
        <v>64</v>
      </c>
      <c r="E23" s="57" t="s">
        <v>65</v>
      </c>
      <c r="F23" s="58">
        <f>SUM(F24:F28)</f>
        <v>65295500</v>
      </c>
      <c r="G23" s="59">
        <f>SUM(G24:G28)</f>
        <v>0</v>
      </c>
      <c r="H23" s="59">
        <f>SUM(H24:H28)</f>
        <v>0</v>
      </c>
      <c r="I23" s="60">
        <f>+G23+H23</f>
        <v>0</v>
      </c>
      <c r="J23" s="60">
        <f>+SUM(J24:J28)</f>
        <v>31587500</v>
      </c>
      <c r="K23" s="60">
        <f>+SUM(K24:K28)</f>
        <v>0</v>
      </c>
      <c r="L23" s="60">
        <f>+J23+K23</f>
        <v>31587500</v>
      </c>
      <c r="M23" s="60">
        <f>+I23+L23</f>
        <v>31587500</v>
      </c>
      <c r="N23" s="58">
        <f>+F23-M23</f>
        <v>33708000</v>
      </c>
      <c r="P23" s="192"/>
      <c r="S23" s="279"/>
      <c r="T23" s="279"/>
      <c r="U23" s="242"/>
    </row>
    <row r="24" spans="1:21" s="65" customFormat="1" ht="18" customHeight="1" x14ac:dyDescent="0.25">
      <c r="A24" s="61"/>
      <c r="B24" s="62"/>
      <c r="C24" s="62"/>
      <c r="D24" s="62" t="s">
        <v>66</v>
      </c>
      <c r="E24" s="62" t="s">
        <v>67</v>
      </c>
      <c r="F24" s="63">
        <v>7554500</v>
      </c>
      <c r="G24" s="64"/>
      <c r="H24" s="64"/>
      <c r="I24" s="64">
        <f t="shared" si="2"/>
        <v>0</v>
      </c>
      <c r="J24" s="64">
        <v>7554500</v>
      </c>
      <c r="K24" s="64"/>
      <c r="L24" s="64">
        <f t="shared" si="1"/>
        <v>7554500</v>
      </c>
      <c r="M24" s="64">
        <f>+I24+L24</f>
        <v>7554500</v>
      </c>
      <c r="N24" s="63">
        <f t="shared" si="4"/>
        <v>0</v>
      </c>
      <c r="P24" s="194"/>
      <c r="S24" s="280"/>
      <c r="T24" s="280"/>
      <c r="U24" s="244"/>
    </row>
    <row r="25" spans="1:21" s="65" customFormat="1" ht="18" customHeight="1" x14ac:dyDescent="0.25">
      <c r="A25" s="61"/>
      <c r="B25" s="62"/>
      <c r="C25" s="62"/>
      <c r="D25" s="62" t="s">
        <v>337</v>
      </c>
      <c r="E25" s="62" t="s">
        <v>338</v>
      </c>
      <c r="F25" s="63">
        <v>6408000</v>
      </c>
      <c r="G25" s="64"/>
      <c r="H25" s="64"/>
      <c r="I25" s="64">
        <f>+G25+H25</f>
        <v>0</v>
      </c>
      <c r="J25" s="64">
        <v>6408000</v>
      </c>
      <c r="K25" s="64"/>
      <c r="L25" s="64">
        <f t="shared" si="1"/>
        <v>6408000</v>
      </c>
      <c r="M25" s="64">
        <f t="shared" si="3"/>
        <v>6408000</v>
      </c>
      <c r="N25" s="63">
        <f t="shared" si="4"/>
        <v>0</v>
      </c>
      <c r="P25" s="194"/>
      <c r="S25" s="280"/>
      <c r="T25" s="280"/>
      <c r="U25" s="244"/>
    </row>
    <row r="26" spans="1:21" s="65" customFormat="1" ht="18" customHeight="1" x14ac:dyDescent="0.25">
      <c r="A26" s="61"/>
      <c r="B26" s="62"/>
      <c r="C26" s="62"/>
      <c r="D26" s="62" t="s">
        <v>68</v>
      </c>
      <c r="E26" s="62" t="s">
        <v>69</v>
      </c>
      <c r="F26" s="63">
        <v>44208000</v>
      </c>
      <c r="G26" s="64"/>
      <c r="H26" s="64"/>
      <c r="I26" s="64">
        <f t="shared" si="2"/>
        <v>0</v>
      </c>
      <c r="J26" s="64">
        <v>17625000</v>
      </c>
      <c r="K26" s="64"/>
      <c r="L26" s="64">
        <f t="shared" si="1"/>
        <v>17625000</v>
      </c>
      <c r="M26" s="64">
        <f t="shared" si="3"/>
        <v>17625000</v>
      </c>
      <c r="N26" s="63">
        <f t="shared" si="4"/>
        <v>26583000</v>
      </c>
      <c r="P26" s="194">
        <f>5440000000+63000000+730000000+7470000000+6242819000+3024665072+31328939+4570000000+12239500000+3046850000+197720000+310724118</f>
        <v>43366607129</v>
      </c>
      <c r="Q26" s="65" t="s">
        <v>428</v>
      </c>
      <c r="S26" s="280"/>
      <c r="T26" s="280"/>
      <c r="U26" s="244"/>
    </row>
    <row r="27" spans="1:21" s="65" customFormat="1" ht="18" customHeight="1" x14ac:dyDescent="0.25">
      <c r="A27" s="61"/>
      <c r="B27" s="62"/>
      <c r="C27" s="62"/>
      <c r="D27" s="62" t="s">
        <v>339</v>
      </c>
      <c r="E27" s="62" t="s">
        <v>340</v>
      </c>
      <c r="F27" s="63">
        <v>2125000</v>
      </c>
      <c r="G27" s="64"/>
      <c r="H27" s="64"/>
      <c r="I27" s="64"/>
      <c r="J27" s="64"/>
      <c r="K27" s="64"/>
      <c r="L27" s="64">
        <f t="shared" si="1"/>
        <v>0</v>
      </c>
      <c r="M27" s="64">
        <f t="shared" si="3"/>
        <v>0</v>
      </c>
      <c r="N27" s="63">
        <f t="shared" si="4"/>
        <v>2125000</v>
      </c>
      <c r="P27" s="194"/>
      <c r="S27" s="280"/>
      <c r="T27" s="280"/>
      <c r="U27" s="244"/>
    </row>
    <row r="28" spans="1:21" s="65" customFormat="1" ht="18" customHeight="1" x14ac:dyDescent="0.25">
      <c r="A28" s="61"/>
      <c r="B28" s="62"/>
      <c r="C28" s="62"/>
      <c r="D28" s="62" t="s">
        <v>70</v>
      </c>
      <c r="E28" s="62" t="s">
        <v>33</v>
      </c>
      <c r="F28" s="63">
        <v>5000000</v>
      </c>
      <c r="G28" s="64"/>
      <c r="H28" s="64"/>
      <c r="I28" s="64"/>
      <c r="J28" s="64"/>
      <c r="K28" s="64"/>
      <c r="L28" s="64">
        <f t="shared" si="1"/>
        <v>0</v>
      </c>
      <c r="M28" s="64">
        <f t="shared" si="3"/>
        <v>0</v>
      </c>
      <c r="N28" s="63">
        <f t="shared" si="4"/>
        <v>5000000</v>
      </c>
      <c r="P28" s="194"/>
      <c r="S28" s="280"/>
      <c r="T28" s="280"/>
      <c r="U28" s="244"/>
    </row>
    <row r="29" spans="1:21" s="55" customFormat="1" ht="18" customHeight="1" x14ac:dyDescent="0.25">
      <c r="A29" s="50"/>
      <c r="B29" s="51"/>
      <c r="C29" s="51"/>
      <c r="D29" s="51" t="s">
        <v>271</v>
      </c>
      <c r="E29" s="52" t="s">
        <v>272</v>
      </c>
      <c r="F29" s="53">
        <f>+F30</f>
        <v>52680000</v>
      </c>
      <c r="G29" s="54">
        <f>+G30</f>
        <v>0</v>
      </c>
      <c r="H29" s="54">
        <f>+H30</f>
        <v>0</v>
      </c>
      <c r="I29" s="54">
        <f>+G29+H29</f>
        <v>0</v>
      </c>
      <c r="J29" s="54">
        <f>+J30</f>
        <v>12570000</v>
      </c>
      <c r="K29" s="54">
        <f>+K30</f>
        <v>0</v>
      </c>
      <c r="L29" s="54">
        <f>+J29+K29</f>
        <v>12570000</v>
      </c>
      <c r="M29" s="54">
        <f>+I29+L29</f>
        <v>12570000</v>
      </c>
      <c r="N29" s="53">
        <f t="shared" si="4"/>
        <v>40110000</v>
      </c>
      <c r="P29" s="195"/>
      <c r="S29" s="279"/>
      <c r="T29" s="279"/>
      <c r="U29" s="243"/>
    </row>
    <row r="30" spans="1:21" s="49" customFormat="1" ht="18" customHeight="1" x14ac:dyDescent="0.25">
      <c r="A30" s="56"/>
      <c r="B30" s="57"/>
      <c r="C30" s="57"/>
      <c r="D30" s="57" t="s">
        <v>81</v>
      </c>
      <c r="E30" s="57" t="s">
        <v>31</v>
      </c>
      <c r="F30" s="58">
        <f>SUM(F31:F31)</f>
        <v>52680000</v>
      </c>
      <c r="G30" s="59">
        <f>+G31</f>
        <v>0</v>
      </c>
      <c r="H30" s="60">
        <f>+SUM(H31:H31)</f>
        <v>0</v>
      </c>
      <c r="I30" s="60">
        <f t="shared" si="2"/>
        <v>0</v>
      </c>
      <c r="J30" s="60">
        <f>+SUM(J31:J31)</f>
        <v>12570000</v>
      </c>
      <c r="K30" s="60">
        <f>+SUM(K31:K31)</f>
        <v>0</v>
      </c>
      <c r="L30" s="60">
        <f>+J30+K30</f>
        <v>12570000</v>
      </c>
      <c r="M30" s="60">
        <f t="shared" si="3"/>
        <v>12570000</v>
      </c>
      <c r="N30" s="58">
        <f t="shared" si="4"/>
        <v>40110000</v>
      </c>
      <c r="P30" s="192"/>
      <c r="S30" s="279"/>
      <c r="T30" s="279"/>
      <c r="U30" s="242"/>
    </row>
    <row r="31" spans="1:21" s="65" customFormat="1" ht="18" customHeight="1" x14ac:dyDescent="0.25">
      <c r="A31" s="61"/>
      <c r="B31" s="62"/>
      <c r="C31" s="62"/>
      <c r="D31" s="62" t="s">
        <v>82</v>
      </c>
      <c r="E31" s="62" t="s">
        <v>83</v>
      </c>
      <c r="F31" s="63">
        <v>52680000</v>
      </c>
      <c r="G31" s="64"/>
      <c r="H31" s="64"/>
      <c r="I31" s="64">
        <f t="shared" si="2"/>
        <v>0</v>
      </c>
      <c r="J31" s="64">
        <v>12570000</v>
      </c>
      <c r="K31" s="64"/>
      <c r="L31" s="64">
        <f t="shared" ref="L31" si="5">+J31+K31</f>
        <v>12570000</v>
      </c>
      <c r="M31" s="64">
        <f t="shared" si="3"/>
        <v>12570000</v>
      </c>
      <c r="N31" s="63">
        <f t="shared" si="4"/>
        <v>40110000</v>
      </c>
      <c r="P31" s="194"/>
      <c r="S31" s="280"/>
      <c r="T31" s="282"/>
      <c r="U31" s="244"/>
    </row>
    <row r="32" spans="1:21" s="121" customFormat="1" ht="32.25" customHeight="1" x14ac:dyDescent="0.25">
      <c r="A32" s="154">
        <v>2</v>
      </c>
      <c r="B32" s="155"/>
      <c r="C32" s="155" t="s">
        <v>79</v>
      </c>
      <c r="D32" s="156"/>
      <c r="E32" s="164" t="s">
        <v>80</v>
      </c>
      <c r="F32" s="158">
        <f t="shared" ref="F32:H33" si="6">+F33</f>
        <v>158294000</v>
      </c>
      <c r="G32" s="159">
        <f t="shared" si="6"/>
        <v>0</v>
      </c>
      <c r="H32" s="159">
        <f t="shared" si="6"/>
        <v>0</v>
      </c>
      <c r="I32" s="159">
        <f>+G32+H32</f>
        <v>0</v>
      </c>
      <c r="J32" s="159">
        <f>+J33</f>
        <v>28838500</v>
      </c>
      <c r="K32" s="159">
        <f>+K33</f>
        <v>4500000</v>
      </c>
      <c r="L32" s="159">
        <f>+J32+K32</f>
        <v>33338500</v>
      </c>
      <c r="M32" s="159">
        <f>+I32+L32</f>
        <v>33338500</v>
      </c>
      <c r="N32" s="158">
        <f>+F32-M32</f>
        <v>124955500</v>
      </c>
      <c r="P32" s="190"/>
      <c r="R32" s="122"/>
      <c r="S32" s="283"/>
      <c r="T32" s="283"/>
      <c r="U32" s="246"/>
    </row>
    <row r="33" spans="1:21" s="107" customFormat="1" ht="18" customHeight="1" x14ac:dyDescent="0.25">
      <c r="A33" s="101"/>
      <c r="B33" s="102"/>
      <c r="C33" s="102"/>
      <c r="D33" s="103" t="s">
        <v>207</v>
      </c>
      <c r="E33" s="104" t="s">
        <v>262</v>
      </c>
      <c r="F33" s="105">
        <f t="shared" si="6"/>
        <v>158294000</v>
      </c>
      <c r="G33" s="106">
        <f t="shared" si="6"/>
        <v>0</v>
      </c>
      <c r="H33" s="106">
        <f t="shared" si="6"/>
        <v>0</v>
      </c>
      <c r="I33" s="106">
        <f t="shared" ref="I33:I37" si="7">+G33+H33</f>
        <v>0</v>
      </c>
      <c r="J33" s="106">
        <f>+J34</f>
        <v>28838500</v>
      </c>
      <c r="K33" s="106">
        <f>+K34</f>
        <v>4500000</v>
      </c>
      <c r="L33" s="106">
        <f t="shared" ref="L33:L35" si="8">+J33+K33</f>
        <v>33338500</v>
      </c>
      <c r="M33" s="106">
        <f>+I33+L33</f>
        <v>33338500</v>
      </c>
      <c r="N33" s="105">
        <f t="shared" ref="N33:N36" si="9">+F33-M33</f>
        <v>124955500</v>
      </c>
      <c r="P33" s="191"/>
      <c r="R33" s="108"/>
      <c r="S33" s="284"/>
      <c r="T33" s="284"/>
      <c r="U33" s="241"/>
    </row>
    <row r="34" spans="1:21" s="49" customFormat="1" ht="18" customHeight="1" x14ac:dyDescent="0.25">
      <c r="A34" s="44"/>
      <c r="B34" s="45"/>
      <c r="C34" s="45"/>
      <c r="D34" s="45" t="s">
        <v>63</v>
      </c>
      <c r="E34" s="46" t="s">
        <v>30</v>
      </c>
      <c r="F34" s="47">
        <f>+F35+F42</f>
        <v>158294000</v>
      </c>
      <c r="G34" s="48">
        <f>+G35+G42</f>
        <v>0</v>
      </c>
      <c r="H34" s="48">
        <f>+H35+H42</f>
        <v>0</v>
      </c>
      <c r="I34" s="48">
        <f t="shared" si="7"/>
        <v>0</v>
      </c>
      <c r="J34" s="48">
        <f>+J35+J42</f>
        <v>28838500</v>
      </c>
      <c r="K34" s="48">
        <f>+K35+K42</f>
        <v>4500000</v>
      </c>
      <c r="L34" s="48">
        <f t="shared" si="8"/>
        <v>33338500</v>
      </c>
      <c r="M34" s="48">
        <f t="shared" ref="M34:M35" si="10">+I34+L34</f>
        <v>33338500</v>
      </c>
      <c r="N34" s="47">
        <f t="shared" si="9"/>
        <v>124955500</v>
      </c>
      <c r="P34" s="192"/>
      <c r="S34" s="282"/>
      <c r="T34" s="282"/>
      <c r="U34" s="242"/>
    </row>
    <row r="35" spans="1:21" s="55" customFormat="1" ht="18" customHeight="1" x14ac:dyDescent="0.25">
      <c r="A35" s="50"/>
      <c r="B35" s="51"/>
      <c r="C35" s="51"/>
      <c r="D35" s="51" t="s">
        <v>263</v>
      </c>
      <c r="E35" s="52" t="s">
        <v>264</v>
      </c>
      <c r="F35" s="53">
        <f t="shared" ref="F35" si="11">+F36</f>
        <v>76694000</v>
      </c>
      <c r="G35" s="54">
        <f>+G36</f>
        <v>0</v>
      </c>
      <c r="H35" s="54">
        <f>+H36</f>
        <v>0</v>
      </c>
      <c r="I35" s="54">
        <f t="shared" si="7"/>
        <v>0</v>
      </c>
      <c r="J35" s="54">
        <f>+J36</f>
        <v>15938500</v>
      </c>
      <c r="K35" s="54">
        <f>+K36</f>
        <v>0</v>
      </c>
      <c r="L35" s="54">
        <f t="shared" si="8"/>
        <v>15938500</v>
      </c>
      <c r="M35" s="54">
        <f t="shared" si="10"/>
        <v>15938500</v>
      </c>
      <c r="N35" s="53">
        <f t="shared" si="9"/>
        <v>60755500</v>
      </c>
      <c r="P35" s="195"/>
      <c r="S35" s="282"/>
      <c r="T35" s="282"/>
      <c r="U35" s="243"/>
    </row>
    <row r="36" spans="1:21" s="49" customFormat="1" ht="18" customHeight="1" x14ac:dyDescent="0.25">
      <c r="A36" s="56"/>
      <c r="B36" s="57"/>
      <c r="C36" s="57"/>
      <c r="D36" s="57" t="s">
        <v>64</v>
      </c>
      <c r="E36" s="57" t="s">
        <v>65</v>
      </c>
      <c r="F36" s="58">
        <f>SUM(F37:F41)</f>
        <v>76694000</v>
      </c>
      <c r="G36" s="59">
        <f>SUM(G37:G41)</f>
        <v>0</v>
      </c>
      <c r="H36" s="59">
        <f>SUM(H37:H41)</f>
        <v>0</v>
      </c>
      <c r="I36" s="60">
        <f t="shared" si="7"/>
        <v>0</v>
      </c>
      <c r="J36" s="60">
        <f>SUM(J37:J41)</f>
        <v>15938500</v>
      </c>
      <c r="K36" s="60">
        <f>SUM(K37:K41)</f>
        <v>0</v>
      </c>
      <c r="L36" s="60">
        <f>+J36+K36</f>
        <v>15938500</v>
      </c>
      <c r="M36" s="60">
        <f>+I36+L36</f>
        <v>15938500</v>
      </c>
      <c r="N36" s="58">
        <f t="shared" si="9"/>
        <v>60755500</v>
      </c>
      <c r="P36" s="192"/>
      <c r="S36" s="282"/>
      <c r="T36" s="282"/>
      <c r="U36" s="242"/>
    </row>
    <row r="37" spans="1:21" s="65" customFormat="1" ht="18" customHeight="1" x14ac:dyDescent="0.25">
      <c r="A37" s="61"/>
      <c r="B37" s="66"/>
      <c r="C37" s="62"/>
      <c r="D37" s="62" t="s">
        <v>66</v>
      </c>
      <c r="E37" s="62" t="s">
        <v>67</v>
      </c>
      <c r="F37" s="63">
        <v>8160000</v>
      </c>
      <c r="G37" s="64"/>
      <c r="H37" s="64"/>
      <c r="I37" s="64">
        <f t="shared" si="7"/>
        <v>0</v>
      </c>
      <c r="J37" s="64">
        <v>8160000</v>
      </c>
      <c r="K37" s="64"/>
      <c r="L37" s="64">
        <f t="shared" ref="L37" si="12">+J37+K37</f>
        <v>8160000</v>
      </c>
      <c r="M37" s="64">
        <f t="shared" ref="M37" si="13">+I37+L37</f>
        <v>8160000</v>
      </c>
      <c r="N37" s="63">
        <f>+F37-M37</f>
        <v>0</v>
      </c>
      <c r="P37" s="194"/>
      <c r="S37" s="282"/>
      <c r="T37" s="282"/>
      <c r="U37" s="244"/>
    </row>
    <row r="38" spans="1:21" s="65" customFormat="1" ht="18" customHeight="1" x14ac:dyDescent="0.25">
      <c r="A38" s="61"/>
      <c r="B38" s="66"/>
      <c r="C38" s="62"/>
      <c r="D38" s="62" t="s">
        <v>337</v>
      </c>
      <c r="E38" s="62" t="s">
        <v>338</v>
      </c>
      <c r="F38" s="63">
        <v>5112000</v>
      </c>
      <c r="G38" s="64"/>
      <c r="H38" s="64"/>
      <c r="I38" s="64"/>
      <c r="J38" s="64">
        <v>0</v>
      </c>
      <c r="K38" s="64"/>
      <c r="L38" s="64">
        <f>+J38+K38</f>
        <v>0</v>
      </c>
      <c r="M38" s="64">
        <f>+I38+L38</f>
        <v>0</v>
      </c>
      <c r="N38" s="63">
        <f>+F38-M38</f>
        <v>5112000</v>
      </c>
      <c r="P38" s="194"/>
      <c r="S38" s="282"/>
      <c r="T38" s="282"/>
      <c r="U38" s="244"/>
    </row>
    <row r="39" spans="1:21" s="65" customFormat="1" ht="18" customHeight="1" x14ac:dyDescent="0.25">
      <c r="A39" s="61"/>
      <c r="B39" s="66"/>
      <c r="C39" s="62"/>
      <c r="D39" s="62" t="s">
        <v>68</v>
      </c>
      <c r="E39" s="62" t="s">
        <v>69</v>
      </c>
      <c r="F39" s="63">
        <v>36414000</v>
      </c>
      <c r="G39" s="64"/>
      <c r="H39" s="64"/>
      <c r="I39" s="64"/>
      <c r="J39" s="64">
        <v>5713500</v>
      </c>
      <c r="K39" s="64"/>
      <c r="L39" s="64">
        <f t="shared" ref="L39:L41" si="14">+J39+K39</f>
        <v>5713500</v>
      </c>
      <c r="M39" s="64">
        <f t="shared" ref="M39:M41" si="15">+I39+L39</f>
        <v>5713500</v>
      </c>
      <c r="N39" s="63">
        <f t="shared" ref="N39:N45" si="16">+F39-M39</f>
        <v>30700500</v>
      </c>
      <c r="P39" s="194"/>
      <c r="S39" s="282"/>
      <c r="T39" s="282"/>
      <c r="U39" s="244"/>
    </row>
    <row r="40" spans="1:21" s="65" customFormat="1" ht="18" customHeight="1" x14ac:dyDescent="0.25">
      <c r="A40" s="61"/>
      <c r="B40" s="66"/>
      <c r="C40" s="62"/>
      <c r="D40" s="62" t="s">
        <v>339</v>
      </c>
      <c r="E40" s="62" t="s">
        <v>340</v>
      </c>
      <c r="F40" s="63">
        <v>12008000</v>
      </c>
      <c r="G40" s="64"/>
      <c r="H40" s="64"/>
      <c r="I40" s="64"/>
      <c r="J40" s="64">
        <v>2065000</v>
      </c>
      <c r="K40" s="64"/>
      <c r="L40" s="64">
        <f t="shared" si="14"/>
        <v>2065000</v>
      </c>
      <c r="M40" s="64">
        <f t="shared" si="15"/>
        <v>2065000</v>
      </c>
      <c r="N40" s="63">
        <f t="shared" si="16"/>
        <v>9943000</v>
      </c>
      <c r="P40" s="194"/>
      <c r="S40" s="282"/>
      <c r="T40" s="282"/>
      <c r="U40" s="244"/>
    </row>
    <row r="41" spans="1:21" s="65" customFormat="1" ht="18" customHeight="1" x14ac:dyDescent="0.25">
      <c r="A41" s="61"/>
      <c r="B41" s="66"/>
      <c r="C41" s="62"/>
      <c r="D41" s="62" t="s">
        <v>70</v>
      </c>
      <c r="E41" s="62" t="s">
        <v>33</v>
      </c>
      <c r="F41" s="63">
        <v>15000000</v>
      </c>
      <c r="G41" s="64"/>
      <c r="H41" s="64"/>
      <c r="I41" s="64">
        <f>+G41+H41</f>
        <v>0</v>
      </c>
      <c r="J41" s="64"/>
      <c r="K41" s="64"/>
      <c r="L41" s="64">
        <f t="shared" si="14"/>
        <v>0</v>
      </c>
      <c r="M41" s="64">
        <f t="shared" si="15"/>
        <v>0</v>
      </c>
      <c r="N41" s="63">
        <f t="shared" si="16"/>
        <v>15000000</v>
      </c>
      <c r="P41" s="194"/>
      <c r="S41" s="282"/>
      <c r="T41" s="282"/>
      <c r="U41" s="244"/>
    </row>
    <row r="42" spans="1:21" s="55" customFormat="1" ht="18" customHeight="1" x14ac:dyDescent="0.25">
      <c r="A42" s="50"/>
      <c r="B42" s="51"/>
      <c r="C42" s="51"/>
      <c r="D42" s="51" t="s">
        <v>271</v>
      </c>
      <c r="E42" s="52" t="s">
        <v>272</v>
      </c>
      <c r="F42" s="53">
        <f>+F43</f>
        <v>81600000</v>
      </c>
      <c r="G42" s="54">
        <f>+G43</f>
        <v>0</v>
      </c>
      <c r="H42" s="54">
        <f>+H43</f>
        <v>0</v>
      </c>
      <c r="I42" s="54">
        <f t="shared" ref="I42:I45" si="17">+G42+H42</f>
        <v>0</v>
      </c>
      <c r="J42" s="54">
        <f>+J43</f>
        <v>12900000</v>
      </c>
      <c r="K42" s="54">
        <f>+K43</f>
        <v>4500000</v>
      </c>
      <c r="L42" s="54">
        <f>+J42+K42</f>
        <v>17400000</v>
      </c>
      <c r="M42" s="54">
        <f>+I42+L42</f>
        <v>17400000</v>
      </c>
      <c r="N42" s="53">
        <f t="shared" si="16"/>
        <v>64200000</v>
      </c>
      <c r="P42" s="195"/>
      <c r="S42" s="282"/>
      <c r="T42" s="282"/>
      <c r="U42" s="243"/>
    </row>
    <row r="43" spans="1:21" s="49" customFormat="1" ht="18" customHeight="1" x14ac:dyDescent="0.25">
      <c r="A43" s="56"/>
      <c r="B43" s="57"/>
      <c r="C43" s="57"/>
      <c r="D43" s="57" t="s">
        <v>81</v>
      </c>
      <c r="E43" s="57" t="s">
        <v>31</v>
      </c>
      <c r="F43" s="58">
        <f>SUM(F44:F45)</f>
        <v>81600000</v>
      </c>
      <c r="G43" s="59">
        <f>+G45</f>
        <v>0</v>
      </c>
      <c r="H43" s="60">
        <f>+SUM(H45:H45)</f>
        <v>0</v>
      </c>
      <c r="I43" s="60">
        <f t="shared" si="17"/>
        <v>0</v>
      </c>
      <c r="J43" s="60">
        <f>+SUM(J45:J45)</f>
        <v>12900000</v>
      </c>
      <c r="K43" s="60">
        <f>+SUM(K44:K45)</f>
        <v>4500000</v>
      </c>
      <c r="L43" s="60">
        <f t="shared" ref="L43:L45" si="18">+J43+K43</f>
        <v>17400000</v>
      </c>
      <c r="M43" s="60">
        <f t="shared" ref="M43:M45" si="19">+I43+L43</f>
        <v>17400000</v>
      </c>
      <c r="N43" s="58">
        <f t="shared" si="16"/>
        <v>64200000</v>
      </c>
      <c r="P43" s="192"/>
      <c r="S43" s="282"/>
      <c r="T43" s="282"/>
      <c r="U43" s="242"/>
    </row>
    <row r="44" spans="1:21" s="65" customFormat="1" ht="18" customHeight="1" x14ac:dyDescent="0.25">
      <c r="A44" s="61"/>
      <c r="B44" s="62"/>
      <c r="C44" s="62"/>
      <c r="D44" s="62" t="s">
        <v>451</v>
      </c>
      <c r="E44" s="62" t="s">
        <v>452</v>
      </c>
      <c r="F44" s="63">
        <v>30000000</v>
      </c>
      <c r="G44" s="64"/>
      <c r="H44" s="64"/>
      <c r="I44" s="64">
        <f t="shared" si="17"/>
        <v>0</v>
      </c>
      <c r="J44" s="64"/>
      <c r="K44" s="64">
        <f>3000000+1500000</f>
        <v>4500000</v>
      </c>
      <c r="L44" s="64">
        <f t="shared" si="18"/>
        <v>4500000</v>
      </c>
      <c r="M44" s="64">
        <f t="shared" si="19"/>
        <v>4500000</v>
      </c>
      <c r="N44" s="63">
        <f t="shared" si="16"/>
        <v>25500000</v>
      </c>
      <c r="P44" s="194"/>
      <c r="S44" s="281">
        <v>4500000</v>
      </c>
      <c r="T44" s="282"/>
      <c r="U44" s="244"/>
    </row>
    <row r="45" spans="1:21" s="65" customFormat="1" ht="18" customHeight="1" x14ac:dyDescent="0.25">
      <c r="A45" s="61"/>
      <c r="B45" s="62"/>
      <c r="C45" s="62"/>
      <c r="D45" s="62" t="s">
        <v>82</v>
      </c>
      <c r="E45" s="62" t="s">
        <v>83</v>
      </c>
      <c r="F45" s="63">
        <v>51600000</v>
      </c>
      <c r="G45" s="64"/>
      <c r="H45" s="64"/>
      <c r="I45" s="64">
        <f t="shared" si="17"/>
        <v>0</v>
      </c>
      <c r="J45" s="64">
        <v>12900000</v>
      </c>
      <c r="K45" s="64"/>
      <c r="L45" s="64">
        <f t="shared" si="18"/>
        <v>12900000</v>
      </c>
      <c r="M45" s="64">
        <f t="shared" si="19"/>
        <v>12900000</v>
      </c>
      <c r="N45" s="63">
        <f t="shared" si="16"/>
        <v>38700000</v>
      </c>
      <c r="P45" s="194"/>
      <c r="S45" s="280"/>
      <c r="T45" s="282"/>
      <c r="U45" s="244"/>
    </row>
    <row r="46" spans="1:21" s="134" customFormat="1" ht="18" customHeight="1" x14ac:dyDescent="0.25">
      <c r="A46" s="129"/>
      <c r="B46" s="130"/>
      <c r="C46" s="130"/>
      <c r="D46" s="131"/>
      <c r="E46" s="131"/>
      <c r="F46" s="132"/>
      <c r="G46" s="133"/>
      <c r="H46" s="133"/>
      <c r="I46" s="133"/>
      <c r="J46" s="133"/>
      <c r="K46" s="133"/>
      <c r="L46" s="133"/>
      <c r="M46" s="133"/>
      <c r="N46" s="132"/>
      <c r="P46" s="197"/>
      <c r="S46" s="286"/>
      <c r="T46" s="286"/>
      <c r="U46" s="247"/>
    </row>
    <row r="47" spans="1:21" s="137" customFormat="1" ht="18" customHeight="1" x14ac:dyDescent="0.25">
      <c r="A47" s="109"/>
      <c r="B47" s="110" t="s">
        <v>407</v>
      </c>
      <c r="C47" s="110"/>
      <c r="D47" s="110"/>
      <c r="E47" s="110" t="s">
        <v>408</v>
      </c>
      <c r="F47" s="135">
        <f>+F48+F113</f>
        <v>27970445142</v>
      </c>
      <c r="G47" s="136">
        <f>+G48</f>
        <v>1227550574</v>
      </c>
      <c r="H47" s="136">
        <f>+H48+H113</f>
        <v>2751918884</v>
      </c>
      <c r="I47" s="136">
        <f>+G47+H47</f>
        <v>3979469458</v>
      </c>
      <c r="J47" s="136">
        <f>+J114</f>
        <v>2990625</v>
      </c>
      <c r="K47" s="136">
        <f>+K114</f>
        <v>2950125</v>
      </c>
      <c r="L47" s="136">
        <f>+J47+K47</f>
        <v>5940750</v>
      </c>
      <c r="M47" s="136">
        <f>+I47+L47</f>
        <v>3985410208</v>
      </c>
      <c r="N47" s="135">
        <f>+F47-M47</f>
        <v>23985034934</v>
      </c>
      <c r="P47" s="198"/>
      <c r="R47" s="138"/>
      <c r="S47" s="287"/>
      <c r="T47" s="287"/>
      <c r="U47" s="248"/>
    </row>
    <row r="48" spans="1:21" s="121" customFormat="1" ht="18" customHeight="1" x14ac:dyDescent="0.25">
      <c r="A48" s="116">
        <v>3</v>
      </c>
      <c r="B48" s="117"/>
      <c r="C48" s="117" t="s">
        <v>156</v>
      </c>
      <c r="D48" s="118"/>
      <c r="E48" s="128" t="s">
        <v>157</v>
      </c>
      <c r="F48" s="119">
        <f>+F49</f>
        <v>27939292142</v>
      </c>
      <c r="G48" s="120">
        <f>+G49</f>
        <v>1227550574</v>
      </c>
      <c r="H48" s="120">
        <f>+H49</f>
        <v>2751918884</v>
      </c>
      <c r="I48" s="120">
        <f>+G48+H48</f>
        <v>3979469458</v>
      </c>
      <c r="J48" s="120">
        <f>+J49</f>
        <v>0</v>
      </c>
      <c r="K48" s="120">
        <f>+K49</f>
        <v>0</v>
      </c>
      <c r="L48" s="120">
        <f>+J48+K48</f>
        <v>0</v>
      </c>
      <c r="M48" s="120">
        <f>+I48+L48</f>
        <v>3979469458</v>
      </c>
      <c r="N48" s="119">
        <f>+F48-M48</f>
        <v>23959822684</v>
      </c>
      <c r="P48" s="190"/>
      <c r="R48" s="122"/>
      <c r="S48" s="283"/>
      <c r="T48" s="283"/>
      <c r="U48" s="246"/>
    </row>
    <row r="49" spans="1:21" s="107" customFormat="1" ht="18" customHeight="1" x14ac:dyDescent="0.25">
      <c r="A49" s="101"/>
      <c r="B49" s="102"/>
      <c r="C49" s="102"/>
      <c r="D49" s="103" t="s">
        <v>207</v>
      </c>
      <c r="E49" s="104" t="s">
        <v>262</v>
      </c>
      <c r="F49" s="105">
        <f t="shared" ref="F49" si="20">+F50</f>
        <v>27939292142</v>
      </c>
      <c r="G49" s="106">
        <f>+G50</f>
        <v>1227550574</v>
      </c>
      <c r="H49" s="106">
        <f>+H50</f>
        <v>2751918884</v>
      </c>
      <c r="I49" s="106">
        <f t="shared" ref="I49:I50" si="21">+G49+H49</f>
        <v>3979469458</v>
      </c>
      <c r="J49" s="106"/>
      <c r="K49" s="106">
        <f>+K50</f>
        <v>0</v>
      </c>
      <c r="L49" s="106">
        <f t="shared" ref="L49:L112" si="22">+J49+K49</f>
        <v>0</v>
      </c>
      <c r="M49" s="106">
        <f t="shared" ref="M49:M72" si="23">+I49+L49</f>
        <v>3979469458</v>
      </c>
      <c r="N49" s="105">
        <f t="shared" ref="N49:N54" si="24">+F49-M49</f>
        <v>23959822684</v>
      </c>
      <c r="P49" s="191"/>
      <c r="R49" s="108"/>
      <c r="S49" s="284"/>
      <c r="T49" s="284"/>
      <c r="U49" s="241"/>
    </row>
    <row r="50" spans="1:21" s="49" customFormat="1" ht="18" customHeight="1" x14ac:dyDescent="0.25">
      <c r="A50" s="44"/>
      <c r="B50" s="45"/>
      <c r="C50" s="45"/>
      <c r="D50" s="69" t="s">
        <v>158</v>
      </c>
      <c r="E50" s="45" t="s">
        <v>159</v>
      </c>
      <c r="F50" s="47">
        <f>F51+F76+F83+F101</f>
        <v>27939292142</v>
      </c>
      <c r="G50" s="70">
        <f>+G51+G83+G101+G76</f>
        <v>1227550574</v>
      </c>
      <c r="H50" s="70">
        <f>+H51+H83+H101+H76</f>
        <v>2751918884</v>
      </c>
      <c r="I50" s="70">
        <f t="shared" si="21"/>
        <v>3979469458</v>
      </c>
      <c r="J50" s="70"/>
      <c r="K50" s="70">
        <f>+K51+K76+K83+K101</f>
        <v>0</v>
      </c>
      <c r="L50" s="70">
        <f t="shared" si="22"/>
        <v>0</v>
      </c>
      <c r="M50" s="70">
        <f t="shared" si="23"/>
        <v>3979469458</v>
      </c>
      <c r="N50" s="47">
        <f t="shared" si="24"/>
        <v>23959822684</v>
      </c>
      <c r="P50" s="192"/>
      <c r="S50" s="282"/>
      <c r="T50" s="282"/>
      <c r="U50" s="242"/>
    </row>
    <row r="51" spans="1:21" s="55" customFormat="1" ht="18" customHeight="1" x14ac:dyDescent="0.25">
      <c r="A51" s="50"/>
      <c r="B51" s="51"/>
      <c r="C51" s="51"/>
      <c r="D51" s="71" t="s">
        <v>208</v>
      </c>
      <c r="E51" s="51" t="s">
        <v>209</v>
      </c>
      <c r="F51" s="53">
        <f>F52+F54+F56+F58+F60+F62+F64+F66+F68+F70+F72+F74</f>
        <v>15098272502</v>
      </c>
      <c r="G51" s="72">
        <f>+G52+G54+G56+G58+G60+G62+G64+G66+G68+G70+G72+G74</f>
        <v>957131786</v>
      </c>
      <c r="H51" s="72">
        <f>+H52+H54+H56+H58+H60+H62+H64+H66+H68+H70+H72+H74</f>
        <v>621695383</v>
      </c>
      <c r="I51" s="72">
        <f>+G51+H51</f>
        <v>1578827169</v>
      </c>
      <c r="J51" s="72"/>
      <c r="K51" s="72">
        <f>+K52+K54+K56+K58+K60+K62+K64+K66+K68+K70+K72+K74</f>
        <v>0</v>
      </c>
      <c r="L51" s="72">
        <f t="shared" si="22"/>
        <v>0</v>
      </c>
      <c r="M51" s="72">
        <f t="shared" si="23"/>
        <v>1578827169</v>
      </c>
      <c r="N51" s="53">
        <f t="shared" si="24"/>
        <v>13519445333</v>
      </c>
      <c r="P51" s="195"/>
      <c r="S51" s="282"/>
      <c r="T51" s="282"/>
      <c r="U51" s="243"/>
    </row>
    <row r="52" spans="1:21" s="49" customFormat="1" ht="18" customHeight="1" x14ac:dyDescent="0.25">
      <c r="A52" s="56"/>
      <c r="B52" s="57"/>
      <c r="C52" s="57"/>
      <c r="D52" s="73" t="s">
        <v>160</v>
      </c>
      <c r="E52" s="57" t="s">
        <v>162</v>
      </c>
      <c r="F52" s="58">
        <f>+F53</f>
        <v>13525507924</v>
      </c>
      <c r="G52" s="59">
        <f>+G53</f>
        <v>720932900</v>
      </c>
      <c r="H52" s="59">
        <f>+H53</f>
        <v>475305000</v>
      </c>
      <c r="I52" s="59">
        <f t="shared" ref="I52" si="25">+G52+H52</f>
        <v>1196237900</v>
      </c>
      <c r="J52" s="59"/>
      <c r="K52" s="59">
        <f>+K53</f>
        <v>0</v>
      </c>
      <c r="L52" s="59">
        <f>+J52+K52</f>
        <v>0</v>
      </c>
      <c r="M52" s="59">
        <f t="shared" si="23"/>
        <v>1196237900</v>
      </c>
      <c r="N52" s="58">
        <f t="shared" si="24"/>
        <v>12329270024</v>
      </c>
      <c r="P52" s="192"/>
      <c r="S52" s="282"/>
      <c r="T52" s="282"/>
      <c r="U52" s="242"/>
    </row>
    <row r="53" spans="1:21" s="49" customFormat="1" ht="18" customHeight="1" x14ac:dyDescent="0.25">
      <c r="A53" s="61"/>
      <c r="B53" s="62"/>
      <c r="C53" s="62"/>
      <c r="D53" s="74" t="s">
        <v>161</v>
      </c>
      <c r="E53" s="62" t="s">
        <v>163</v>
      </c>
      <c r="F53" s="63">
        <v>13525507924</v>
      </c>
      <c r="G53" s="75">
        <v>720932900</v>
      </c>
      <c r="H53" s="75">
        <f>236043300+239261700</f>
        <v>475305000</v>
      </c>
      <c r="I53" s="75">
        <f>+G53+H53</f>
        <v>1196237900</v>
      </c>
      <c r="J53" s="75"/>
      <c r="K53" s="75"/>
      <c r="L53" s="75">
        <f t="shared" si="22"/>
        <v>0</v>
      </c>
      <c r="M53" s="75">
        <f t="shared" si="23"/>
        <v>1196237900</v>
      </c>
      <c r="N53" s="63">
        <f t="shared" si="24"/>
        <v>12329270024</v>
      </c>
      <c r="P53" s="192"/>
      <c r="S53" s="282"/>
      <c r="T53" s="281">
        <f>236043300+239261700</f>
        <v>475305000</v>
      </c>
      <c r="U53" s="242"/>
    </row>
    <row r="54" spans="1:21" s="49" customFormat="1" ht="18" customHeight="1" x14ac:dyDescent="0.25">
      <c r="A54" s="56"/>
      <c r="B54" s="57"/>
      <c r="C54" s="57"/>
      <c r="D54" s="73" t="s">
        <v>164</v>
      </c>
      <c r="E54" s="57" t="s">
        <v>166</v>
      </c>
      <c r="F54" s="58">
        <f>+F55</f>
        <v>401878814</v>
      </c>
      <c r="G54" s="59">
        <f>+G55</f>
        <v>72338938</v>
      </c>
      <c r="H54" s="59">
        <f>+H55</f>
        <v>46809828</v>
      </c>
      <c r="I54" s="59">
        <f t="shared" ref="I54:I73" si="26">+G54+H54</f>
        <v>119148766</v>
      </c>
      <c r="J54" s="59"/>
      <c r="K54" s="59">
        <f>+K55</f>
        <v>0</v>
      </c>
      <c r="L54" s="59">
        <f>+J54+K54</f>
        <v>0</v>
      </c>
      <c r="M54" s="59">
        <f t="shared" si="23"/>
        <v>119148766</v>
      </c>
      <c r="N54" s="58">
        <f t="shared" si="24"/>
        <v>282730048</v>
      </c>
      <c r="P54" s="192"/>
      <c r="S54" s="282"/>
      <c r="T54" s="281"/>
      <c r="U54" s="242"/>
    </row>
    <row r="55" spans="1:21" s="49" customFormat="1" ht="18" customHeight="1" x14ac:dyDescent="0.25">
      <c r="A55" s="61"/>
      <c r="B55" s="62"/>
      <c r="C55" s="62"/>
      <c r="D55" s="74" t="s">
        <v>165</v>
      </c>
      <c r="E55" s="62" t="s">
        <v>167</v>
      </c>
      <c r="F55" s="63">
        <v>401878814</v>
      </c>
      <c r="G55" s="75">
        <v>72338938</v>
      </c>
      <c r="H55" s="75">
        <f>23328042+23481786</f>
        <v>46809828</v>
      </c>
      <c r="I55" s="75">
        <f t="shared" si="26"/>
        <v>119148766</v>
      </c>
      <c r="J55" s="75"/>
      <c r="K55" s="75"/>
      <c r="L55" s="75">
        <f t="shared" si="22"/>
        <v>0</v>
      </c>
      <c r="M55" s="75">
        <f t="shared" si="23"/>
        <v>119148766</v>
      </c>
      <c r="N55" s="63">
        <f>+F55-M55</f>
        <v>282730048</v>
      </c>
      <c r="P55" s="192"/>
      <c r="S55" s="282"/>
      <c r="T55" s="281">
        <f>23328042+23481786</f>
        <v>46809828</v>
      </c>
      <c r="U55" s="242"/>
    </row>
    <row r="56" spans="1:21" s="49" customFormat="1" ht="18" customHeight="1" x14ac:dyDescent="0.25">
      <c r="A56" s="56"/>
      <c r="B56" s="57"/>
      <c r="C56" s="57"/>
      <c r="D56" s="73" t="s">
        <v>168</v>
      </c>
      <c r="E56" s="57" t="s">
        <v>170</v>
      </c>
      <c r="F56" s="58">
        <f>+F57</f>
        <v>290052000</v>
      </c>
      <c r="G56" s="59">
        <f>+G57</f>
        <v>52875000</v>
      </c>
      <c r="H56" s="59">
        <f>+H57</f>
        <v>34530000</v>
      </c>
      <c r="I56" s="59">
        <f t="shared" si="26"/>
        <v>87405000</v>
      </c>
      <c r="J56" s="59"/>
      <c r="K56" s="59">
        <f>+K57</f>
        <v>0</v>
      </c>
      <c r="L56" s="59">
        <f t="shared" si="22"/>
        <v>0</v>
      </c>
      <c r="M56" s="59">
        <f t="shared" si="23"/>
        <v>87405000</v>
      </c>
      <c r="N56" s="58">
        <f t="shared" ref="N56:N58" si="27">+F56-M56</f>
        <v>202647000</v>
      </c>
      <c r="P56" s="192"/>
      <c r="S56" s="282"/>
      <c r="T56" s="281"/>
      <c r="U56" s="242"/>
    </row>
    <row r="57" spans="1:21" s="49" customFormat="1" ht="18" customHeight="1" x14ac:dyDescent="0.25">
      <c r="A57" s="61"/>
      <c r="B57" s="62"/>
      <c r="C57" s="62"/>
      <c r="D57" s="74" t="s">
        <v>169</v>
      </c>
      <c r="E57" s="62" t="s">
        <v>171</v>
      </c>
      <c r="F57" s="63">
        <v>290052000</v>
      </c>
      <c r="G57" s="75">
        <v>52875000</v>
      </c>
      <c r="H57" s="75">
        <f>17265000+17265000</f>
        <v>34530000</v>
      </c>
      <c r="I57" s="75">
        <f t="shared" si="26"/>
        <v>87405000</v>
      </c>
      <c r="J57" s="75"/>
      <c r="K57" s="75"/>
      <c r="L57" s="75">
        <f t="shared" si="22"/>
        <v>0</v>
      </c>
      <c r="M57" s="75">
        <f t="shared" si="23"/>
        <v>87405000</v>
      </c>
      <c r="N57" s="63">
        <f t="shared" si="27"/>
        <v>202647000</v>
      </c>
      <c r="P57" s="192"/>
      <c r="S57" s="282"/>
      <c r="T57" s="281">
        <f>17265000+17265000</f>
        <v>34530000</v>
      </c>
      <c r="U57" s="242"/>
    </row>
    <row r="58" spans="1:21" s="49" customFormat="1" ht="18" customHeight="1" x14ac:dyDescent="0.25">
      <c r="A58" s="56"/>
      <c r="B58" s="57"/>
      <c r="C58" s="57"/>
      <c r="D58" s="73" t="s">
        <v>172</v>
      </c>
      <c r="E58" s="57" t="s">
        <v>174</v>
      </c>
      <c r="F58" s="58">
        <f>+F59</f>
        <v>62496000</v>
      </c>
      <c r="G58" s="59">
        <f>+G59</f>
        <v>2880000</v>
      </c>
      <c r="H58" s="59">
        <f>+H59</f>
        <v>1920000</v>
      </c>
      <c r="I58" s="59">
        <f t="shared" si="26"/>
        <v>4800000</v>
      </c>
      <c r="J58" s="59"/>
      <c r="K58" s="59">
        <f>+K59</f>
        <v>0</v>
      </c>
      <c r="L58" s="59">
        <f t="shared" si="22"/>
        <v>0</v>
      </c>
      <c r="M58" s="59">
        <f t="shared" si="23"/>
        <v>4800000</v>
      </c>
      <c r="N58" s="58">
        <f t="shared" si="27"/>
        <v>57696000</v>
      </c>
      <c r="P58" s="192"/>
      <c r="S58" s="282"/>
      <c r="T58" s="281"/>
      <c r="U58" s="242"/>
    </row>
    <row r="59" spans="1:21" s="49" customFormat="1" ht="18" customHeight="1" x14ac:dyDescent="0.25">
      <c r="A59" s="61"/>
      <c r="B59" s="62"/>
      <c r="C59" s="62"/>
      <c r="D59" s="74" t="s">
        <v>173</v>
      </c>
      <c r="E59" s="62" t="s">
        <v>175</v>
      </c>
      <c r="F59" s="63">
        <v>62496000</v>
      </c>
      <c r="G59" s="75">
        <v>2880000</v>
      </c>
      <c r="H59" s="75">
        <f>960000+960000</f>
        <v>1920000</v>
      </c>
      <c r="I59" s="75">
        <f t="shared" si="26"/>
        <v>4800000</v>
      </c>
      <c r="J59" s="75"/>
      <c r="K59" s="75"/>
      <c r="L59" s="75">
        <f t="shared" si="22"/>
        <v>0</v>
      </c>
      <c r="M59" s="75">
        <f t="shared" si="23"/>
        <v>4800000</v>
      </c>
      <c r="N59" s="63">
        <f>+F59-M59</f>
        <v>57696000</v>
      </c>
      <c r="P59" s="192"/>
      <c r="S59" s="282"/>
      <c r="T59" s="281">
        <f>960000+960000</f>
        <v>1920000</v>
      </c>
      <c r="U59" s="242"/>
    </row>
    <row r="60" spans="1:21" s="49" customFormat="1" ht="18" customHeight="1" x14ac:dyDescent="0.25">
      <c r="A60" s="56"/>
      <c r="B60" s="57"/>
      <c r="C60" s="57"/>
      <c r="D60" s="73" t="s">
        <v>176</v>
      </c>
      <c r="E60" s="57" t="s">
        <v>178</v>
      </c>
      <c r="F60" s="58">
        <f>+F61</f>
        <v>126672000</v>
      </c>
      <c r="G60" s="59">
        <f>+G61</f>
        <v>23010000</v>
      </c>
      <c r="H60" s="59">
        <f>+H61</f>
        <v>15270000</v>
      </c>
      <c r="I60" s="59">
        <f t="shared" si="26"/>
        <v>38280000</v>
      </c>
      <c r="J60" s="59"/>
      <c r="K60" s="59">
        <f>+K61</f>
        <v>0</v>
      </c>
      <c r="L60" s="59">
        <f t="shared" si="22"/>
        <v>0</v>
      </c>
      <c r="M60" s="59">
        <f t="shared" si="23"/>
        <v>38280000</v>
      </c>
      <c r="N60" s="58">
        <f t="shared" ref="N60:N72" si="28">+F60-M60</f>
        <v>88392000</v>
      </c>
      <c r="P60" s="192"/>
      <c r="S60" s="282"/>
      <c r="T60" s="282"/>
      <c r="U60" s="242"/>
    </row>
    <row r="61" spans="1:21" s="49" customFormat="1" ht="18" customHeight="1" x14ac:dyDescent="0.25">
      <c r="A61" s="61"/>
      <c r="B61" s="62"/>
      <c r="C61" s="62"/>
      <c r="D61" s="74" t="s">
        <v>177</v>
      </c>
      <c r="E61" s="62" t="s">
        <v>179</v>
      </c>
      <c r="F61" s="63">
        <v>126672000</v>
      </c>
      <c r="G61" s="75">
        <v>23010000</v>
      </c>
      <c r="H61" s="75">
        <f>7545000+7725000</f>
        <v>15270000</v>
      </c>
      <c r="I61" s="75">
        <f t="shared" si="26"/>
        <v>38280000</v>
      </c>
      <c r="J61" s="75"/>
      <c r="K61" s="75"/>
      <c r="L61" s="75">
        <f t="shared" si="22"/>
        <v>0</v>
      </c>
      <c r="M61" s="75">
        <f t="shared" si="23"/>
        <v>38280000</v>
      </c>
      <c r="N61" s="63">
        <f t="shared" si="28"/>
        <v>88392000</v>
      </c>
      <c r="P61" s="192"/>
      <c r="S61" s="282"/>
      <c r="T61" s="281">
        <f>7545000+7725000</f>
        <v>15270000</v>
      </c>
      <c r="U61" s="242"/>
    </row>
    <row r="62" spans="1:21" s="49" customFormat="1" ht="18" customHeight="1" x14ac:dyDescent="0.25">
      <c r="A62" s="56"/>
      <c r="B62" s="57"/>
      <c r="C62" s="57"/>
      <c r="D62" s="73" t="s">
        <v>180</v>
      </c>
      <c r="E62" s="57" t="s">
        <v>182</v>
      </c>
      <c r="F62" s="58">
        <f>+F63</f>
        <v>237247920</v>
      </c>
      <c r="G62" s="59">
        <f>+G63</f>
        <v>42438120</v>
      </c>
      <c r="H62" s="59">
        <f>+H63</f>
        <v>27447180</v>
      </c>
      <c r="I62" s="59">
        <f t="shared" si="26"/>
        <v>69885300</v>
      </c>
      <c r="J62" s="59"/>
      <c r="K62" s="59">
        <f>+K63</f>
        <v>0</v>
      </c>
      <c r="L62" s="59">
        <f t="shared" si="22"/>
        <v>0</v>
      </c>
      <c r="M62" s="59">
        <f t="shared" si="23"/>
        <v>69885300</v>
      </c>
      <c r="N62" s="58">
        <f t="shared" si="28"/>
        <v>167362620</v>
      </c>
      <c r="P62" s="192"/>
      <c r="S62" s="282"/>
      <c r="T62" s="281"/>
      <c r="U62" s="242"/>
    </row>
    <row r="63" spans="1:21" s="49" customFormat="1" ht="18" customHeight="1" x14ac:dyDescent="0.25">
      <c r="A63" s="61"/>
      <c r="B63" s="62"/>
      <c r="C63" s="62"/>
      <c r="D63" s="74" t="s">
        <v>181</v>
      </c>
      <c r="E63" s="62" t="s">
        <v>183</v>
      </c>
      <c r="F63" s="63">
        <v>237247920</v>
      </c>
      <c r="G63" s="75">
        <v>42438120</v>
      </c>
      <c r="H63" s="75">
        <f>13614960+13832220</f>
        <v>27447180</v>
      </c>
      <c r="I63" s="75">
        <f t="shared" si="26"/>
        <v>69885300</v>
      </c>
      <c r="J63" s="75"/>
      <c r="K63" s="75"/>
      <c r="L63" s="75">
        <f t="shared" si="22"/>
        <v>0</v>
      </c>
      <c r="M63" s="75">
        <f t="shared" si="23"/>
        <v>69885300</v>
      </c>
      <c r="N63" s="63">
        <f t="shared" si="28"/>
        <v>167362620</v>
      </c>
      <c r="P63" s="192"/>
      <c r="S63" s="282"/>
      <c r="T63" s="281">
        <f>13614960+13832220</f>
        <v>27447180</v>
      </c>
      <c r="U63" s="242"/>
    </row>
    <row r="64" spans="1:21" s="49" customFormat="1" ht="18" customHeight="1" x14ac:dyDescent="0.25">
      <c r="A64" s="56"/>
      <c r="B64" s="57"/>
      <c r="C64" s="57"/>
      <c r="D64" s="73" t="s">
        <v>184</v>
      </c>
      <c r="E64" s="57" t="s">
        <v>186</v>
      </c>
      <c r="F64" s="58">
        <f>+F65</f>
        <v>202631050</v>
      </c>
      <c r="G64" s="59">
        <f>+G65</f>
        <v>844853</v>
      </c>
      <c r="H64" s="59">
        <f>+H65</f>
        <v>6562321</v>
      </c>
      <c r="I64" s="59">
        <f t="shared" si="26"/>
        <v>7407174</v>
      </c>
      <c r="J64" s="59"/>
      <c r="K64" s="59">
        <f>+K65</f>
        <v>0</v>
      </c>
      <c r="L64" s="59">
        <f t="shared" si="22"/>
        <v>0</v>
      </c>
      <c r="M64" s="59">
        <f t="shared" si="23"/>
        <v>7407174</v>
      </c>
      <c r="N64" s="58">
        <f t="shared" si="28"/>
        <v>195223876</v>
      </c>
      <c r="P64" s="192"/>
      <c r="S64" s="282"/>
      <c r="T64" s="281"/>
      <c r="U64" s="242"/>
    </row>
    <row r="65" spans="1:21" s="49" customFormat="1" ht="18" customHeight="1" x14ac:dyDescent="0.25">
      <c r="A65" s="61"/>
      <c r="B65" s="62"/>
      <c r="C65" s="62"/>
      <c r="D65" s="74" t="s">
        <v>185</v>
      </c>
      <c r="E65" s="62" t="s">
        <v>187</v>
      </c>
      <c r="F65" s="63">
        <v>202631050</v>
      </c>
      <c r="G65" s="75">
        <v>844853</v>
      </c>
      <c r="H65" s="75">
        <f>6244650+317671</f>
        <v>6562321</v>
      </c>
      <c r="I65" s="75">
        <f t="shared" si="26"/>
        <v>7407174</v>
      </c>
      <c r="J65" s="75"/>
      <c r="K65" s="75"/>
      <c r="L65" s="75">
        <f t="shared" si="22"/>
        <v>0</v>
      </c>
      <c r="M65" s="75">
        <f t="shared" si="23"/>
        <v>7407174</v>
      </c>
      <c r="N65" s="63">
        <f t="shared" si="28"/>
        <v>195223876</v>
      </c>
      <c r="P65" s="192"/>
      <c r="S65" s="282"/>
      <c r="T65" s="281">
        <f>6244650+317671</f>
        <v>6562321</v>
      </c>
      <c r="U65" s="242"/>
    </row>
    <row r="66" spans="1:21" s="49" customFormat="1" ht="18" customHeight="1" x14ac:dyDescent="0.25">
      <c r="A66" s="56"/>
      <c r="B66" s="57"/>
      <c r="C66" s="57"/>
      <c r="D66" s="73" t="s">
        <v>188</v>
      </c>
      <c r="E66" s="57" t="s">
        <v>190</v>
      </c>
      <c r="F66" s="58">
        <f t="shared" ref="F66" si="29">+F67</f>
        <v>51845</v>
      </c>
      <c r="G66" s="59">
        <f>+G67</f>
        <v>9543</v>
      </c>
      <c r="H66" s="59">
        <f>+H67</f>
        <v>6403</v>
      </c>
      <c r="I66" s="59">
        <f t="shared" si="26"/>
        <v>15946</v>
      </c>
      <c r="J66" s="59"/>
      <c r="K66" s="59">
        <f>+K67</f>
        <v>0</v>
      </c>
      <c r="L66" s="59">
        <f t="shared" si="22"/>
        <v>0</v>
      </c>
      <c r="M66" s="59">
        <f t="shared" si="23"/>
        <v>15946</v>
      </c>
      <c r="N66" s="58">
        <f t="shared" si="28"/>
        <v>35899</v>
      </c>
      <c r="P66" s="192"/>
      <c r="S66" s="282"/>
      <c r="T66" s="281"/>
      <c r="U66" s="242"/>
    </row>
    <row r="67" spans="1:21" s="49" customFormat="1" ht="18" customHeight="1" x14ac:dyDescent="0.25">
      <c r="A67" s="61"/>
      <c r="B67" s="62"/>
      <c r="C67" s="62"/>
      <c r="D67" s="74" t="s">
        <v>189</v>
      </c>
      <c r="E67" s="62" t="s">
        <v>329</v>
      </c>
      <c r="F67" s="63">
        <v>51845</v>
      </c>
      <c r="G67" s="75">
        <v>9543</v>
      </c>
      <c r="H67" s="75">
        <f>3298+3105</f>
        <v>6403</v>
      </c>
      <c r="I67" s="75">
        <f t="shared" si="26"/>
        <v>15946</v>
      </c>
      <c r="J67" s="75"/>
      <c r="K67" s="75"/>
      <c r="L67" s="75">
        <f t="shared" si="22"/>
        <v>0</v>
      </c>
      <c r="M67" s="75">
        <f t="shared" si="23"/>
        <v>15946</v>
      </c>
      <c r="N67" s="63">
        <f t="shared" si="28"/>
        <v>35899</v>
      </c>
      <c r="P67" s="192"/>
      <c r="S67" s="282"/>
      <c r="T67" s="281">
        <f>3298+3105</f>
        <v>6403</v>
      </c>
      <c r="U67" s="242"/>
    </row>
    <row r="68" spans="1:21" s="49" customFormat="1" ht="18" customHeight="1" x14ac:dyDescent="0.25">
      <c r="A68" s="56"/>
      <c r="B68" s="57"/>
      <c r="C68" s="57"/>
      <c r="D68" s="73" t="s">
        <v>191</v>
      </c>
      <c r="E68" s="57" t="s">
        <v>193</v>
      </c>
      <c r="F68" s="58">
        <f t="shared" ref="F68" si="30">+F69</f>
        <v>190139023</v>
      </c>
      <c r="G68" s="59">
        <f>+G69</f>
        <v>34881477</v>
      </c>
      <c r="H68" s="59">
        <f>+H69</f>
        <v>11547739</v>
      </c>
      <c r="I68" s="59">
        <f t="shared" si="26"/>
        <v>46429216</v>
      </c>
      <c r="J68" s="59"/>
      <c r="K68" s="59">
        <f>+K69</f>
        <v>0</v>
      </c>
      <c r="L68" s="59">
        <f t="shared" si="22"/>
        <v>0</v>
      </c>
      <c r="M68" s="59">
        <f t="shared" si="23"/>
        <v>46429216</v>
      </c>
      <c r="N68" s="58">
        <f t="shared" si="28"/>
        <v>143709807</v>
      </c>
      <c r="P68" s="192"/>
      <c r="S68" s="282"/>
      <c r="T68" s="281"/>
      <c r="U68" s="242"/>
    </row>
    <row r="69" spans="1:21" s="49" customFormat="1" ht="18" customHeight="1" x14ac:dyDescent="0.25">
      <c r="A69" s="61"/>
      <c r="B69" s="62"/>
      <c r="C69" s="62"/>
      <c r="D69" s="74" t="s">
        <v>192</v>
      </c>
      <c r="E69" s="62" t="s">
        <v>194</v>
      </c>
      <c r="F69" s="63">
        <v>190139023</v>
      </c>
      <c r="G69" s="75">
        <v>34881477</v>
      </c>
      <c r="H69" s="75">
        <v>11547739</v>
      </c>
      <c r="I69" s="75">
        <f t="shared" si="26"/>
        <v>46429216</v>
      </c>
      <c r="J69" s="75"/>
      <c r="K69" s="75"/>
      <c r="L69" s="75">
        <f t="shared" si="22"/>
        <v>0</v>
      </c>
      <c r="M69" s="75">
        <f t="shared" si="23"/>
        <v>46429216</v>
      </c>
      <c r="N69" s="63">
        <f t="shared" si="28"/>
        <v>143709807</v>
      </c>
      <c r="P69" s="192"/>
      <c r="S69" s="282"/>
      <c r="T69" s="281">
        <v>11547739</v>
      </c>
      <c r="U69" s="242"/>
    </row>
    <row r="70" spans="1:21" s="49" customFormat="1" ht="18" customHeight="1" x14ac:dyDescent="0.25">
      <c r="A70" s="56"/>
      <c r="B70" s="57"/>
      <c r="C70" s="57"/>
      <c r="D70" s="73" t="s">
        <v>195</v>
      </c>
      <c r="E70" s="57" t="s">
        <v>197</v>
      </c>
      <c r="F70" s="58">
        <f t="shared" ref="F70" si="31">+F71</f>
        <v>9404942</v>
      </c>
      <c r="G70" s="59">
        <f>+G71</f>
        <v>1730239</v>
      </c>
      <c r="H70" s="59">
        <f>+H71</f>
        <v>574228</v>
      </c>
      <c r="I70" s="59">
        <f t="shared" si="26"/>
        <v>2304467</v>
      </c>
      <c r="J70" s="59"/>
      <c r="K70" s="59">
        <f>+K71</f>
        <v>0</v>
      </c>
      <c r="L70" s="59">
        <f t="shared" si="22"/>
        <v>0</v>
      </c>
      <c r="M70" s="59">
        <f t="shared" si="23"/>
        <v>2304467</v>
      </c>
      <c r="N70" s="58">
        <f t="shared" si="28"/>
        <v>7100475</v>
      </c>
      <c r="P70" s="192"/>
      <c r="S70" s="282"/>
      <c r="T70" s="281"/>
      <c r="U70" s="242"/>
    </row>
    <row r="71" spans="1:21" s="49" customFormat="1" ht="18" customHeight="1" x14ac:dyDescent="0.25">
      <c r="A71" s="61"/>
      <c r="B71" s="62"/>
      <c r="C71" s="62"/>
      <c r="D71" s="74" t="s">
        <v>196</v>
      </c>
      <c r="E71" s="62" t="s">
        <v>198</v>
      </c>
      <c r="F71" s="63">
        <v>9404942</v>
      </c>
      <c r="G71" s="75">
        <v>1730239</v>
      </c>
      <c r="H71" s="75">
        <v>574228</v>
      </c>
      <c r="I71" s="75">
        <f t="shared" si="26"/>
        <v>2304467</v>
      </c>
      <c r="J71" s="75"/>
      <c r="K71" s="75"/>
      <c r="L71" s="75">
        <f t="shared" si="22"/>
        <v>0</v>
      </c>
      <c r="M71" s="75">
        <f t="shared" si="23"/>
        <v>2304467</v>
      </c>
      <c r="N71" s="63">
        <f t="shared" si="28"/>
        <v>7100475</v>
      </c>
      <c r="P71" s="192"/>
      <c r="S71" s="282"/>
      <c r="T71" s="281">
        <v>574228</v>
      </c>
      <c r="U71" s="242"/>
    </row>
    <row r="72" spans="1:21" s="49" customFormat="1" ht="18" customHeight="1" x14ac:dyDescent="0.25">
      <c r="A72" s="56"/>
      <c r="B72" s="57"/>
      <c r="C72" s="57"/>
      <c r="D72" s="73" t="s">
        <v>199</v>
      </c>
      <c r="E72" s="57" t="s">
        <v>201</v>
      </c>
      <c r="F72" s="58">
        <f>+F73</f>
        <v>28215046</v>
      </c>
      <c r="G72" s="59">
        <f>+G73</f>
        <v>5190716</v>
      </c>
      <c r="H72" s="59">
        <f>+H73</f>
        <v>1722684</v>
      </c>
      <c r="I72" s="59">
        <f t="shared" si="26"/>
        <v>6913400</v>
      </c>
      <c r="J72" s="59"/>
      <c r="K72" s="59">
        <f>+K73</f>
        <v>0</v>
      </c>
      <c r="L72" s="59">
        <f t="shared" si="22"/>
        <v>0</v>
      </c>
      <c r="M72" s="59">
        <f t="shared" si="23"/>
        <v>6913400</v>
      </c>
      <c r="N72" s="58">
        <f t="shared" si="28"/>
        <v>21301646</v>
      </c>
      <c r="P72" s="192"/>
      <c r="S72" s="282"/>
      <c r="T72" s="281"/>
      <c r="U72" s="242"/>
    </row>
    <row r="73" spans="1:21" s="49" customFormat="1" ht="18" customHeight="1" x14ac:dyDescent="0.25">
      <c r="A73" s="61"/>
      <c r="B73" s="62"/>
      <c r="C73" s="62"/>
      <c r="D73" s="74" t="s">
        <v>200</v>
      </c>
      <c r="E73" s="62" t="s">
        <v>202</v>
      </c>
      <c r="F73" s="63">
        <v>28215046</v>
      </c>
      <c r="G73" s="75">
        <v>5190716</v>
      </c>
      <c r="H73" s="75">
        <v>1722684</v>
      </c>
      <c r="I73" s="75">
        <f t="shared" si="26"/>
        <v>6913400</v>
      </c>
      <c r="J73" s="75"/>
      <c r="K73" s="75"/>
      <c r="L73" s="75">
        <f t="shared" si="22"/>
        <v>0</v>
      </c>
      <c r="M73" s="75">
        <f>+I73+L73</f>
        <v>6913400</v>
      </c>
      <c r="N73" s="63">
        <f>+F73-M73</f>
        <v>21301646</v>
      </c>
      <c r="P73" s="192"/>
      <c r="S73" s="282"/>
      <c r="T73" s="281">
        <v>1722684</v>
      </c>
      <c r="U73" s="242"/>
    </row>
    <row r="74" spans="1:21" s="49" customFormat="1" ht="18" customHeight="1" x14ac:dyDescent="0.25">
      <c r="A74" s="56"/>
      <c r="B74" s="57"/>
      <c r="C74" s="57"/>
      <c r="D74" s="73" t="s">
        <v>203</v>
      </c>
      <c r="E74" s="57" t="s">
        <v>205</v>
      </c>
      <c r="F74" s="58">
        <f>+F75</f>
        <v>23975938</v>
      </c>
      <c r="G74" s="59">
        <f>G75</f>
        <v>0</v>
      </c>
      <c r="H74" s="59">
        <f>+H75</f>
        <v>0</v>
      </c>
      <c r="I74" s="59">
        <f>+I75</f>
        <v>0</v>
      </c>
      <c r="J74" s="59"/>
      <c r="K74" s="59">
        <f>+K75</f>
        <v>0</v>
      </c>
      <c r="L74" s="59">
        <f t="shared" si="22"/>
        <v>0</v>
      </c>
      <c r="M74" s="59">
        <f t="shared" ref="M74:M101" si="32">+I74+L74</f>
        <v>0</v>
      </c>
      <c r="N74" s="58">
        <f t="shared" ref="N74:N84" si="33">+F74-M74</f>
        <v>23975938</v>
      </c>
      <c r="P74" s="192"/>
      <c r="S74" s="282"/>
      <c r="T74" s="282"/>
      <c r="U74" s="242"/>
    </row>
    <row r="75" spans="1:21" s="49" customFormat="1" ht="18" customHeight="1" x14ac:dyDescent="0.25">
      <c r="A75" s="61"/>
      <c r="B75" s="62"/>
      <c r="C75" s="62"/>
      <c r="D75" s="74" t="s">
        <v>204</v>
      </c>
      <c r="E75" s="62" t="s">
        <v>206</v>
      </c>
      <c r="F75" s="63">
        <v>23975938</v>
      </c>
      <c r="G75" s="75"/>
      <c r="H75" s="75"/>
      <c r="I75" s="75">
        <f t="shared" ref="I75:I100" si="34">+G75+H75</f>
        <v>0</v>
      </c>
      <c r="J75" s="75"/>
      <c r="K75" s="75"/>
      <c r="L75" s="75">
        <f t="shared" si="22"/>
        <v>0</v>
      </c>
      <c r="M75" s="75">
        <f t="shared" si="32"/>
        <v>0</v>
      </c>
      <c r="N75" s="63">
        <f t="shared" si="33"/>
        <v>23975938</v>
      </c>
      <c r="P75" s="192"/>
      <c r="S75" s="282"/>
      <c r="T75" s="282"/>
      <c r="U75" s="242"/>
    </row>
    <row r="76" spans="1:21" s="55" customFormat="1" ht="18" customHeight="1" x14ac:dyDescent="0.25">
      <c r="A76" s="50"/>
      <c r="B76" s="51"/>
      <c r="C76" s="51"/>
      <c r="D76" s="71" t="s">
        <v>210</v>
      </c>
      <c r="E76" s="51" t="s">
        <v>211</v>
      </c>
      <c r="F76" s="53">
        <f>+F77+F79+F81</f>
        <v>2044369640</v>
      </c>
      <c r="G76" s="72">
        <f>+G77+G79+G81</f>
        <v>194118788</v>
      </c>
      <c r="H76" s="72">
        <f>+H77+H79+H81</f>
        <v>669099001</v>
      </c>
      <c r="I76" s="72">
        <f>+G76+H76</f>
        <v>863217789</v>
      </c>
      <c r="J76" s="72"/>
      <c r="K76" s="72">
        <f>+K77</f>
        <v>0</v>
      </c>
      <c r="L76" s="72">
        <f t="shared" si="22"/>
        <v>0</v>
      </c>
      <c r="M76" s="72">
        <f t="shared" si="32"/>
        <v>863217789</v>
      </c>
      <c r="N76" s="53">
        <f t="shared" si="33"/>
        <v>1181151851</v>
      </c>
      <c r="P76" s="195"/>
      <c r="S76" s="282"/>
      <c r="T76" s="282"/>
      <c r="U76" s="243"/>
    </row>
    <row r="77" spans="1:21" s="49" customFormat="1" ht="18" customHeight="1" x14ac:dyDescent="0.25">
      <c r="A77" s="56"/>
      <c r="B77" s="57"/>
      <c r="C77" s="57"/>
      <c r="D77" s="73" t="s">
        <v>212</v>
      </c>
      <c r="E77" s="57" t="s">
        <v>214</v>
      </c>
      <c r="F77" s="58">
        <f>+F78</f>
        <v>180000000</v>
      </c>
      <c r="G77" s="59">
        <f>+G78</f>
        <v>179148911</v>
      </c>
      <c r="H77" s="59">
        <f t="shared" ref="G77:H81" si="35">+H78</f>
        <v>0</v>
      </c>
      <c r="I77" s="59">
        <f t="shared" si="34"/>
        <v>179148911</v>
      </c>
      <c r="J77" s="59"/>
      <c r="K77" s="59">
        <f>+K78</f>
        <v>0</v>
      </c>
      <c r="L77" s="59">
        <f t="shared" si="22"/>
        <v>0</v>
      </c>
      <c r="M77" s="59">
        <f t="shared" si="32"/>
        <v>179148911</v>
      </c>
      <c r="N77" s="58">
        <f t="shared" si="33"/>
        <v>851089</v>
      </c>
      <c r="P77" s="192"/>
      <c r="S77" s="282"/>
      <c r="T77" s="282"/>
      <c r="U77" s="242"/>
    </row>
    <row r="78" spans="1:21" s="49" customFormat="1" ht="18" customHeight="1" x14ac:dyDescent="0.25">
      <c r="A78" s="61"/>
      <c r="B78" s="62"/>
      <c r="C78" s="62"/>
      <c r="D78" s="74" t="s">
        <v>213</v>
      </c>
      <c r="E78" s="62" t="s">
        <v>215</v>
      </c>
      <c r="F78" s="63">
        <v>180000000</v>
      </c>
      <c r="G78" s="75">
        <v>179148911</v>
      </c>
      <c r="H78" s="75"/>
      <c r="I78" s="75">
        <f t="shared" si="34"/>
        <v>179148911</v>
      </c>
      <c r="J78" s="75"/>
      <c r="K78" s="75"/>
      <c r="L78" s="75">
        <f t="shared" si="22"/>
        <v>0</v>
      </c>
      <c r="M78" s="75">
        <f t="shared" si="32"/>
        <v>179148911</v>
      </c>
      <c r="N78" s="63">
        <f t="shared" si="33"/>
        <v>851089</v>
      </c>
      <c r="P78" s="192"/>
      <c r="S78" s="282"/>
      <c r="T78" s="282"/>
      <c r="U78" s="242"/>
    </row>
    <row r="79" spans="1:21" s="49" customFormat="1" ht="18" customHeight="1" x14ac:dyDescent="0.25">
      <c r="A79" s="56"/>
      <c r="B79" s="57"/>
      <c r="C79" s="57"/>
      <c r="D79" s="73" t="s">
        <v>431</v>
      </c>
      <c r="E79" s="57" t="s">
        <v>432</v>
      </c>
      <c r="F79" s="58">
        <f>+F80</f>
        <v>123544200</v>
      </c>
      <c r="G79" s="59">
        <f t="shared" si="35"/>
        <v>9969877</v>
      </c>
      <c r="H79" s="59">
        <f t="shared" si="35"/>
        <v>29315300</v>
      </c>
      <c r="I79" s="59">
        <f>+G79+H79</f>
        <v>39285177</v>
      </c>
      <c r="J79" s="59"/>
      <c r="K79" s="59">
        <f>+K80</f>
        <v>0</v>
      </c>
      <c r="L79" s="59">
        <f t="shared" si="22"/>
        <v>0</v>
      </c>
      <c r="M79" s="59">
        <f t="shared" si="32"/>
        <v>39285177</v>
      </c>
      <c r="N79" s="58">
        <f t="shared" si="33"/>
        <v>84259023</v>
      </c>
      <c r="P79" s="192"/>
      <c r="S79" s="282"/>
      <c r="T79" s="282"/>
      <c r="U79" s="242"/>
    </row>
    <row r="80" spans="1:21" s="49" customFormat="1" ht="18" customHeight="1" x14ac:dyDescent="0.25">
      <c r="A80" s="61"/>
      <c r="B80" s="62"/>
      <c r="C80" s="62"/>
      <c r="D80" s="74" t="s">
        <v>429</v>
      </c>
      <c r="E80" s="62" t="s">
        <v>430</v>
      </c>
      <c r="F80" s="63">
        <v>123544200</v>
      </c>
      <c r="G80" s="75">
        <v>9969877</v>
      </c>
      <c r="H80" s="75">
        <v>29315300</v>
      </c>
      <c r="I80" s="75">
        <f>+G80+H80</f>
        <v>39285177</v>
      </c>
      <c r="J80" s="75"/>
      <c r="K80" s="75"/>
      <c r="L80" s="75"/>
      <c r="M80" s="75">
        <f t="shared" si="32"/>
        <v>39285177</v>
      </c>
      <c r="N80" s="63">
        <f>+F80-M80</f>
        <v>84259023</v>
      </c>
      <c r="P80" s="192"/>
      <c r="S80" s="282"/>
      <c r="T80" s="281">
        <v>29315300</v>
      </c>
      <c r="U80" s="242"/>
    </row>
    <row r="81" spans="1:21" s="49" customFormat="1" ht="18" customHeight="1" x14ac:dyDescent="0.25">
      <c r="A81" s="56"/>
      <c r="B81" s="57"/>
      <c r="C81" s="57"/>
      <c r="D81" s="73" t="s">
        <v>453</v>
      </c>
      <c r="E81" s="57" t="s">
        <v>456</v>
      </c>
      <c r="F81" s="58">
        <f>+F82</f>
        <v>1740825440</v>
      </c>
      <c r="G81" s="59">
        <f t="shared" si="35"/>
        <v>5000000</v>
      </c>
      <c r="H81" s="59">
        <f t="shared" si="35"/>
        <v>639783701</v>
      </c>
      <c r="I81" s="59">
        <f>+G81+H81</f>
        <v>644783701</v>
      </c>
      <c r="J81" s="59"/>
      <c r="K81" s="59">
        <f>+K82</f>
        <v>0</v>
      </c>
      <c r="L81" s="59">
        <f t="shared" ref="L81" si="36">+J81+K81</f>
        <v>0</v>
      </c>
      <c r="M81" s="59">
        <f t="shared" si="32"/>
        <v>644783701</v>
      </c>
      <c r="N81" s="58">
        <f t="shared" ref="N81" si="37">+F81-M81</f>
        <v>1096041739</v>
      </c>
      <c r="P81" s="192"/>
      <c r="S81" s="282"/>
      <c r="T81" s="281"/>
      <c r="U81" s="242"/>
    </row>
    <row r="82" spans="1:21" s="49" customFormat="1" ht="18" customHeight="1" x14ac:dyDescent="0.25">
      <c r="A82" s="61"/>
      <c r="B82" s="62"/>
      <c r="C82" s="62"/>
      <c r="D82" s="74" t="s">
        <v>454</v>
      </c>
      <c r="E82" s="62" t="s">
        <v>455</v>
      </c>
      <c r="F82" s="63">
        <v>1740825440</v>
      </c>
      <c r="G82" s="75">
        <v>5000000</v>
      </c>
      <c r="H82" s="75">
        <f>87802857+551980844</f>
        <v>639783701</v>
      </c>
      <c r="I82" s="75">
        <f>+G82+H82</f>
        <v>644783701</v>
      </c>
      <c r="J82" s="75"/>
      <c r="K82" s="75"/>
      <c r="L82" s="75"/>
      <c r="M82" s="75">
        <f t="shared" si="32"/>
        <v>644783701</v>
      </c>
      <c r="N82" s="63">
        <f>+F82-M82</f>
        <v>1096041739</v>
      </c>
      <c r="P82" s="192"/>
      <c r="S82" s="282"/>
      <c r="T82" s="281">
        <f>87802857+551980844</f>
        <v>639783701</v>
      </c>
      <c r="U82" s="242"/>
    </row>
    <row r="83" spans="1:21" s="55" customFormat="1" ht="18" customHeight="1" x14ac:dyDescent="0.25">
      <c r="A83" s="50"/>
      <c r="B83" s="51"/>
      <c r="C83" s="51"/>
      <c r="D83" s="71" t="s">
        <v>216</v>
      </c>
      <c r="E83" s="51" t="s">
        <v>219</v>
      </c>
      <c r="F83" s="53">
        <f>+F84+F95+F99</f>
        <v>10039198750</v>
      </c>
      <c r="G83" s="72">
        <f>+G84+G95+G99</f>
        <v>76300000</v>
      </c>
      <c r="H83" s="72">
        <f>+H84+H95+H99</f>
        <v>1364145657</v>
      </c>
      <c r="I83" s="72">
        <f>+G83+H83</f>
        <v>1440445657</v>
      </c>
      <c r="J83" s="72"/>
      <c r="K83" s="72">
        <f>+K84</f>
        <v>0</v>
      </c>
      <c r="L83" s="72">
        <f t="shared" si="22"/>
        <v>0</v>
      </c>
      <c r="M83" s="72">
        <f t="shared" si="32"/>
        <v>1440445657</v>
      </c>
      <c r="N83" s="53">
        <f t="shared" si="33"/>
        <v>8598753093</v>
      </c>
      <c r="P83" s="195"/>
      <c r="S83" s="282"/>
      <c r="T83" s="282"/>
      <c r="U83" s="243"/>
    </row>
    <row r="84" spans="1:21" s="49" customFormat="1" ht="18" customHeight="1" x14ac:dyDescent="0.25">
      <c r="A84" s="56"/>
      <c r="B84" s="57"/>
      <c r="C84" s="57"/>
      <c r="D84" s="73" t="s">
        <v>217</v>
      </c>
      <c r="E84" s="57" t="s">
        <v>220</v>
      </c>
      <c r="F84" s="58">
        <f>SUM(F85:F94)</f>
        <v>8593798750</v>
      </c>
      <c r="G84" s="59">
        <f>SUM(G85:G94)</f>
        <v>0</v>
      </c>
      <c r="H84" s="59">
        <f>SUM(H85:H94)</f>
        <v>1116045657</v>
      </c>
      <c r="I84" s="59">
        <f t="shared" si="34"/>
        <v>1116045657</v>
      </c>
      <c r="J84" s="59"/>
      <c r="K84" s="59">
        <f>+SUM(K85:K94)</f>
        <v>0</v>
      </c>
      <c r="L84" s="59">
        <f t="shared" si="22"/>
        <v>0</v>
      </c>
      <c r="M84" s="59">
        <f t="shared" si="32"/>
        <v>1116045657</v>
      </c>
      <c r="N84" s="58">
        <f t="shared" si="33"/>
        <v>7477753093</v>
      </c>
      <c r="P84" s="192"/>
      <c r="S84" s="282"/>
      <c r="T84" s="282"/>
      <c r="U84" s="242"/>
    </row>
    <row r="85" spans="1:21" s="49" customFormat="1" ht="18" customHeight="1" x14ac:dyDescent="0.25">
      <c r="A85" s="61"/>
      <c r="B85" s="62"/>
      <c r="C85" s="62"/>
      <c r="D85" s="74" t="s">
        <v>218</v>
      </c>
      <c r="E85" s="62" t="s">
        <v>221</v>
      </c>
      <c r="F85" s="63">
        <v>356112500</v>
      </c>
      <c r="G85" s="75"/>
      <c r="H85" s="75">
        <v>53478024</v>
      </c>
      <c r="I85" s="75">
        <f t="shared" si="34"/>
        <v>53478024</v>
      </c>
      <c r="J85" s="75"/>
      <c r="K85" s="75"/>
      <c r="L85" s="75">
        <f t="shared" si="22"/>
        <v>0</v>
      </c>
      <c r="M85" s="75">
        <f t="shared" si="32"/>
        <v>53478024</v>
      </c>
      <c r="N85" s="63">
        <f>+F85-M85</f>
        <v>302634476</v>
      </c>
      <c r="P85" s="192"/>
      <c r="S85" s="282"/>
      <c r="T85" s="281">
        <v>53478024</v>
      </c>
      <c r="U85" s="242"/>
    </row>
    <row r="86" spans="1:21" s="49" customFormat="1" ht="18" customHeight="1" x14ac:dyDescent="0.25">
      <c r="A86" s="61"/>
      <c r="B86" s="62"/>
      <c r="C86" s="62"/>
      <c r="D86" s="74" t="s">
        <v>222</v>
      </c>
      <c r="E86" s="62" t="s">
        <v>223</v>
      </c>
      <c r="F86" s="63">
        <v>413550000</v>
      </c>
      <c r="G86" s="75"/>
      <c r="H86" s="75">
        <v>62103512</v>
      </c>
      <c r="I86" s="75">
        <f t="shared" si="34"/>
        <v>62103512</v>
      </c>
      <c r="J86" s="75"/>
      <c r="K86" s="75"/>
      <c r="L86" s="75">
        <f t="shared" si="22"/>
        <v>0</v>
      </c>
      <c r="M86" s="75">
        <f t="shared" si="32"/>
        <v>62103512</v>
      </c>
      <c r="N86" s="63">
        <f t="shared" ref="N86:N100" si="38">+F86-M86</f>
        <v>351446488</v>
      </c>
      <c r="P86" s="192"/>
      <c r="S86" s="282"/>
      <c r="T86" s="281">
        <v>62103512</v>
      </c>
      <c r="U86" s="242"/>
    </row>
    <row r="87" spans="1:21" s="49" customFormat="1" ht="18" customHeight="1" x14ac:dyDescent="0.25">
      <c r="A87" s="61"/>
      <c r="B87" s="62"/>
      <c r="C87" s="62"/>
      <c r="D87" s="74" t="s">
        <v>224</v>
      </c>
      <c r="E87" s="62" t="s">
        <v>225</v>
      </c>
      <c r="F87" s="63">
        <v>45950000</v>
      </c>
      <c r="G87" s="75"/>
      <c r="H87" s="75">
        <v>6903548</v>
      </c>
      <c r="I87" s="75">
        <f t="shared" si="34"/>
        <v>6903548</v>
      </c>
      <c r="J87" s="75"/>
      <c r="K87" s="75"/>
      <c r="L87" s="75">
        <f t="shared" si="22"/>
        <v>0</v>
      </c>
      <c r="M87" s="75">
        <f t="shared" si="32"/>
        <v>6903548</v>
      </c>
      <c r="N87" s="63">
        <f t="shared" si="38"/>
        <v>39046452</v>
      </c>
      <c r="P87" s="192"/>
      <c r="S87" s="282"/>
      <c r="T87" s="281">
        <v>6903548</v>
      </c>
      <c r="U87" s="242"/>
    </row>
    <row r="88" spans="1:21" s="49" customFormat="1" ht="18" customHeight="1" x14ac:dyDescent="0.25">
      <c r="A88" s="61"/>
      <c r="B88" s="62"/>
      <c r="C88" s="62"/>
      <c r="D88" s="74" t="s">
        <v>226</v>
      </c>
      <c r="E88" s="62" t="s">
        <v>227</v>
      </c>
      <c r="F88" s="63">
        <v>252725000</v>
      </c>
      <c r="G88" s="75"/>
      <c r="H88" s="75">
        <v>37514662</v>
      </c>
      <c r="I88" s="75">
        <f t="shared" si="34"/>
        <v>37514662</v>
      </c>
      <c r="J88" s="75"/>
      <c r="K88" s="75"/>
      <c r="L88" s="75">
        <f t="shared" si="22"/>
        <v>0</v>
      </c>
      <c r="M88" s="75">
        <f t="shared" si="32"/>
        <v>37514662</v>
      </c>
      <c r="N88" s="63">
        <f t="shared" si="38"/>
        <v>215210338</v>
      </c>
      <c r="P88" s="192"/>
      <c r="S88" s="282"/>
      <c r="T88" s="281">
        <v>37514662</v>
      </c>
      <c r="U88" s="242"/>
    </row>
    <row r="89" spans="1:21" s="49" customFormat="1" ht="18" customHeight="1" x14ac:dyDescent="0.25">
      <c r="A89" s="61"/>
      <c r="B89" s="62"/>
      <c r="C89" s="62"/>
      <c r="D89" s="74" t="s">
        <v>228</v>
      </c>
      <c r="E89" s="62" t="s">
        <v>229</v>
      </c>
      <c r="F89" s="63">
        <v>3101625000</v>
      </c>
      <c r="G89" s="75"/>
      <c r="H89" s="75">
        <v>465776342</v>
      </c>
      <c r="I89" s="75">
        <f t="shared" si="34"/>
        <v>465776342</v>
      </c>
      <c r="J89" s="75"/>
      <c r="K89" s="75"/>
      <c r="L89" s="75">
        <f t="shared" si="22"/>
        <v>0</v>
      </c>
      <c r="M89" s="75">
        <f t="shared" si="32"/>
        <v>465776342</v>
      </c>
      <c r="N89" s="63">
        <f t="shared" si="38"/>
        <v>2635848658</v>
      </c>
      <c r="P89" s="192"/>
      <c r="S89" s="282"/>
      <c r="T89" s="281">
        <v>465776342</v>
      </c>
      <c r="U89" s="242"/>
    </row>
    <row r="90" spans="1:21" s="49" customFormat="1" ht="18" customHeight="1" x14ac:dyDescent="0.25">
      <c r="A90" s="61"/>
      <c r="B90" s="62"/>
      <c r="C90" s="62"/>
      <c r="D90" s="74" t="s">
        <v>230</v>
      </c>
      <c r="E90" s="62" t="s">
        <v>231</v>
      </c>
      <c r="F90" s="63">
        <v>13785000</v>
      </c>
      <c r="G90" s="75"/>
      <c r="H90" s="75">
        <v>2066959</v>
      </c>
      <c r="I90" s="75">
        <f t="shared" si="34"/>
        <v>2066959</v>
      </c>
      <c r="J90" s="75"/>
      <c r="K90" s="75"/>
      <c r="L90" s="75">
        <f t="shared" si="22"/>
        <v>0</v>
      </c>
      <c r="M90" s="75">
        <f t="shared" si="32"/>
        <v>2066959</v>
      </c>
      <c r="N90" s="63">
        <f t="shared" si="38"/>
        <v>11718041</v>
      </c>
      <c r="P90" s="192"/>
      <c r="S90" s="282"/>
      <c r="T90" s="281">
        <v>2066959</v>
      </c>
      <c r="U90" s="242"/>
    </row>
    <row r="91" spans="1:21" s="49" customFormat="1" ht="18" customHeight="1" x14ac:dyDescent="0.25">
      <c r="A91" s="61"/>
      <c r="B91" s="62"/>
      <c r="C91" s="62"/>
      <c r="D91" s="74" t="s">
        <v>232</v>
      </c>
      <c r="E91" s="62" t="s">
        <v>233</v>
      </c>
      <c r="F91" s="63">
        <v>126362500</v>
      </c>
      <c r="G91" s="75"/>
      <c r="H91" s="75">
        <v>18976073</v>
      </c>
      <c r="I91" s="75">
        <f t="shared" si="34"/>
        <v>18976073</v>
      </c>
      <c r="J91" s="75"/>
      <c r="K91" s="75"/>
      <c r="L91" s="75">
        <f t="shared" si="22"/>
        <v>0</v>
      </c>
      <c r="M91" s="75">
        <f t="shared" si="32"/>
        <v>18976073</v>
      </c>
      <c r="N91" s="63">
        <f t="shared" si="38"/>
        <v>107386427</v>
      </c>
      <c r="P91" s="192"/>
      <c r="S91" s="282"/>
      <c r="T91" s="281">
        <v>18976073</v>
      </c>
      <c r="U91" s="242"/>
    </row>
    <row r="92" spans="1:21" s="49" customFormat="1" ht="19.5" customHeight="1" x14ac:dyDescent="0.25">
      <c r="A92" s="171"/>
      <c r="B92" s="162"/>
      <c r="C92" s="162"/>
      <c r="D92" s="267" t="s">
        <v>234</v>
      </c>
      <c r="E92" s="172" t="s">
        <v>235</v>
      </c>
      <c r="F92" s="173">
        <v>2297500</v>
      </c>
      <c r="G92" s="163"/>
      <c r="H92" s="163"/>
      <c r="I92" s="163">
        <f t="shared" si="34"/>
        <v>0</v>
      </c>
      <c r="J92" s="163"/>
      <c r="K92" s="163"/>
      <c r="L92" s="163">
        <f t="shared" si="22"/>
        <v>0</v>
      </c>
      <c r="M92" s="163">
        <f t="shared" si="32"/>
        <v>0</v>
      </c>
      <c r="N92" s="173">
        <f t="shared" si="38"/>
        <v>2297500</v>
      </c>
      <c r="P92" s="192"/>
      <c r="S92" s="282"/>
      <c r="T92" s="282"/>
      <c r="U92" s="242"/>
    </row>
    <row r="93" spans="1:21" s="49" customFormat="1" ht="30.75" customHeight="1" x14ac:dyDescent="0.25">
      <c r="A93" s="171"/>
      <c r="B93" s="162"/>
      <c r="C93" s="162"/>
      <c r="D93" s="267" t="s">
        <v>236</v>
      </c>
      <c r="E93" s="172" t="s">
        <v>237</v>
      </c>
      <c r="F93" s="173">
        <v>1156791250</v>
      </c>
      <c r="G93" s="163"/>
      <c r="H93" s="163"/>
      <c r="I93" s="163">
        <f t="shared" si="34"/>
        <v>0</v>
      </c>
      <c r="J93" s="163"/>
      <c r="K93" s="163"/>
      <c r="L93" s="163">
        <f t="shared" si="22"/>
        <v>0</v>
      </c>
      <c r="M93" s="163">
        <f t="shared" si="32"/>
        <v>0</v>
      </c>
      <c r="N93" s="173">
        <f t="shared" si="38"/>
        <v>1156791250</v>
      </c>
      <c r="P93" s="192"/>
      <c r="S93" s="282"/>
      <c r="T93" s="282"/>
      <c r="U93" s="242"/>
    </row>
    <row r="94" spans="1:21" s="49" customFormat="1" ht="31.5" x14ac:dyDescent="0.25">
      <c r="A94" s="171"/>
      <c r="B94" s="162"/>
      <c r="C94" s="162"/>
      <c r="D94" s="267" t="s">
        <v>238</v>
      </c>
      <c r="E94" s="172" t="s">
        <v>239</v>
      </c>
      <c r="F94" s="173">
        <v>3124600000</v>
      </c>
      <c r="G94" s="163"/>
      <c r="H94" s="163">
        <v>469226537</v>
      </c>
      <c r="I94" s="163">
        <f t="shared" si="34"/>
        <v>469226537</v>
      </c>
      <c r="J94" s="163"/>
      <c r="K94" s="163"/>
      <c r="L94" s="163">
        <f t="shared" si="22"/>
        <v>0</v>
      </c>
      <c r="M94" s="163">
        <f t="shared" si="32"/>
        <v>469226537</v>
      </c>
      <c r="N94" s="173">
        <f t="shared" si="38"/>
        <v>2655373463</v>
      </c>
      <c r="P94" s="192"/>
      <c r="S94" s="282"/>
      <c r="T94" s="281">
        <v>469226537</v>
      </c>
      <c r="U94" s="242"/>
    </row>
    <row r="95" spans="1:21" s="49" customFormat="1" ht="18" customHeight="1" x14ac:dyDescent="0.25">
      <c r="A95" s="56"/>
      <c r="B95" s="57"/>
      <c r="C95" s="57"/>
      <c r="D95" s="73" t="s">
        <v>433</v>
      </c>
      <c r="E95" s="57" t="s">
        <v>434</v>
      </c>
      <c r="F95" s="58">
        <f>+F96+F97+F98</f>
        <v>984100000</v>
      </c>
      <c r="G95" s="59">
        <f>+G96+G97</f>
        <v>42050000</v>
      </c>
      <c r="H95" s="59">
        <f>+H96+H97</f>
        <v>149100000</v>
      </c>
      <c r="I95" s="59">
        <f>+G95+H95</f>
        <v>191150000</v>
      </c>
      <c r="J95" s="59">
        <f>+J96+J97</f>
        <v>0</v>
      </c>
      <c r="K95" s="59">
        <f>+SUM(K101:K110)</f>
        <v>0</v>
      </c>
      <c r="L95" s="59">
        <f>+J95+K95</f>
        <v>0</v>
      </c>
      <c r="M95" s="59">
        <f t="shared" si="32"/>
        <v>191150000</v>
      </c>
      <c r="N95" s="58">
        <f t="shared" si="38"/>
        <v>792950000</v>
      </c>
      <c r="P95" s="192"/>
      <c r="S95" s="282"/>
      <c r="T95" s="282"/>
      <c r="U95" s="242"/>
    </row>
    <row r="96" spans="1:21" s="49" customFormat="1" ht="18" customHeight="1" x14ac:dyDescent="0.25">
      <c r="A96" s="61"/>
      <c r="B96" s="62"/>
      <c r="C96" s="62"/>
      <c r="D96" s="74" t="s">
        <v>435</v>
      </c>
      <c r="E96" s="62" t="s">
        <v>437</v>
      </c>
      <c r="F96" s="63">
        <v>516750000</v>
      </c>
      <c r="G96" s="75">
        <v>40950000</v>
      </c>
      <c r="H96" s="75">
        <v>146800000</v>
      </c>
      <c r="I96" s="75">
        <f t="shared" si="34"/>
        <v>187750000</v>
      </c>
      <c r="J96" s="75"/>
      <c r="K96" s="75"/>
      <c r="L96" s="75">
        <f t="shared" si="22"/>
        <v>0</v>
      </c>
      <c r="M96" s="75">
        <f t="shared" si="32"/>
        <v>187750000</v>
      </c>
      <c r="N96" s="63">
        <f t="shared" si="38"/>
        <v>329000000</v>
      </c>
      <c r="P96" s="192"/>
      <c r="S96" s="282"/>
      <c r="T96" s="281">
        <v>146800000</v>
      </c>
      <c r="U96" s="242"/>
    </row>
    <row r="97" spans="1:21" s="49" customFormat="1" ht="18" customHeight="1" x14ac:dyDescent="0.25">
      <c r="A97" s="61"/>
      <c r="B97" s="62"/>
      <c r="C97" s="62"/>
      <c r="D97" s="74" t="s">
        <v>436</v>
      </c>
      <c r="E97" s="62" t="s">
        <v>438</v>
      </c>
      <c r="F97" s="63">
        <v>19500000</v>
      </c>
      <c r="G97" s="75">
        <v>1100000</v>
      </c>
      <c r="H97" s="75">
        <v>2300000</v>
      </c>
      <c r="I97" s="75">
        <f t="shared" si="34"/>
        <v>3400000</v>
      </c>
      <c r="J97" s="75"/>
      <c r="K97" s="75"/>
      <c r="L97" s="75">
        <f t="shared" si="22"/>
        <v>0</v>
      </c>
      <c r="M97" s="75">
        <f t="shared" si="32"/>
        <v>3400000</v>
      </c>
      <c r="N97" s="63">
        <f t="shared" si="38"/>
        <v>16100000</v>
      </c>
      <c r="P97" s="192"/>
      <c r="S97" s="282"/>
      <c r="T97" s="281">
        <v>2300000</v>
      </c>
      <c r="U97" s="242"/>
    </row>
    <row r="98" spans="1:21" s="49" customFormat="1" ht="18" customHeight="1" x14ac:dyDescent="0.25">
      <c r="A98" s="61"/>
      <c r="B98" s="62"/>
      <c r="C98" s="62"/>
      <c r="D98" s="74" t="s">
        <v>457</v>
      </c>
      <c r="E98" s="62" t="s">
        <v>458</v>
      </c>
      <c r="F98" s="63">
        <v>447850000</v>
      </c>
      <c r="G98" s="75"/>
      <c r="H98" s="75"/>
      <c r="I98" s="75">
        <f t="shared" si="34"/>
        <v>0</v>
      </c>
      <c r="J98" s="75"/>
      <c r="K98" s="75"/>
      <c r="L98" s="75">
        <f t="shared" si="22"/>
        <v>0</v>
      </c>
      <c r="M98" s="75">
        <f t="shared" si="32"/>
        <v>0</v>
      </c>
      <c r="N98" s="63">
        <f t="shared" si="38"/>
        <v>447850000</v>
      </c>
      <c r="P98" s="192"/>
      <c r="S98" s="282"/>
      <c r="T98" s="281"/>
      <c r="U98" s="242"/>
    </row>
    <row r="99" spans="1:21" s="49" customFormat="1" ht="18" customHeight="1" x14ac:dyDescent="0.25">
      <c r="A99" s="56"/>
      <c r="B99" s="57"/>
      <c r="C99" s="57"/>
      <c r="D99" s="73" t="s">
        <v>439</v>
      </c>
      <c r="E99" s="57" t="s">
        <v>442</v>
      </c>
      <c r="F99" s="58">
        <f>+F100</f>
        <v>461300000</v>
      </c>
      <c r="G99" s="59">
        <f>+G100</f>
        <v>34250000</v>
      </c>
      <c r="H99" s="59">
        <f>+H100</f>
        <v>99000000</v>
      </c>
      <c r="I99" s="59">
        <f t="shared" si="34"/>
        <v>133250000</v>
      </c>
      <c r="J99" s="59"/>
      <c r="K99" s="59">
        <f>+SUM(K104:K113)</f>
        <v>2950125</v>
      </c>
      <c r="L99" s="59">
        <f t="shared" si="22"/>
        <v>2950125</v>
      </c>
      <c r="M99" s="59">
        <f t="shared" si="32"/>
        <v>136200125</v>
      </c>
      <c r="N99" s="58">
        <f t="shared" si="38"/>
        <v>325099875</v>
      </c>
      <c r="P99" s="192"/>
      <c r="S99" s="282"/>
      <c r="T99" s="281"/>
      <c r="U99" s="242"/>
    </row>
    <row r="100" spans="1:21" s="49" customFormat="1" ht="18" customHeight="1" x14ac:dyDescent="0.25">
      <c r="A100" s="61"/>
      <c r="B100" s="62"/>
      <c r="C100" s="62"/>
      <c r="D100" s="74" t="s">
        <v>440</v>
      </c>
      <c r="E100" s="62" t="s">
        <v>441</v>
      </c>
      <c r="F100" s="63">
        <v>461300000</v>
      </c>
      <c r="G100" s="75">
        <v>34250000</v>
      </c>
      <c r="H100" s="75">
        <v>99000000</v>
      </c>
      <c r="I100" s="75">
        <f t="shared" si="34"/>
        <v>133250000</v>
      </c>
      <c r="J100" s="75"/>
      <c r="K100" s="75"/>
      <c r="L100" s="75">
        <f t="shared" si="22"/>
        <v>0</v>
      </c>
      <c r="M100" s="75">
        <f t="shared" si="32"/>
        <v>133250000</v>
      </c>
      <c r="N100" s="63">
        <f t="shared" si="38"/>
        <v>328050000</v>
      </c>
      <c r="P100" s="192"/>
      <c r="S100" s="282"/>
      <c r="T100" s="281">
        <v>99000000</v>
      </c>
      <c r="U100" s="242"/>
    </row>
    <row r="101" spans="1:21" s="55" customFormat="1" ht="18" customHeight="1" x14ac:dyDescent="0.25">
      <c r="A101" s="50"/>
      <c r="B101" s="51"/>
      <c r="C101" s="51"/>
      <c r="D101" s="71" t="s">
        <v>240</v>
      </c>
      <c r="E101" s="51" t="s">
        <v>241</v>
      </c>
      <c r="F101" s="53">
        <f>+F102</f>
        <v>757451250</v>
      </c>
      <c r="G101" s="72">
        <f>+G102</f>
        <v>0</v>
      </c>
      <c r="H101" s="72">
        <f>+H102</f>
        <v>96978843</v>
      </c>
      <c r="I101" s="72">
        <f>+G101+H101</f>
        <v>96978843</v>
      </c>
      <c r="J101" s="72">
        <f>+J102</f>
        <v>0</v>
      </c>
      <c r="K101" s="72">
        <f>+K102</f>
        <v>0</v>
      </c>
      <c r="L101" s="72">
        <f>+J101+K101</f>
        <v>0</v>
      </c>
      <c r="M101" s="72">
        <f t="shared" si="32"/>
        <v>96978843</v>
      </c>
      <c r="N101" s="53">
        <f>+F101-M101</f>
        <v>660472407</v>
      </c>
      <c r="P101" s="195"/>
      <c r="S101" s="282"/>
      <c r="T101" s="282"/>
      <c r="U101" s="243"/>
    </row>
    <row r="102" spans="1:21" s="49" customFormat="1" ht="18" customHeight="1" x14ac:dyDescent="0.25">
      <c r="A102" s="56"/>
      <c r="B102" s="57"/>
      <c r="C102" s="57"/>
      <c r="D102" s="73" t="s">
        <v>242</v>
      </c>
      <c r="E102" s="57" t="s">
        <v>409</v>
      </c>
      <c r="F102" s="58">
        <f>SUM(F103:F112)</f>
        <v>757451250</v>
      </c>
      <c r="G102" s="59">
        <f>SUM(G103:G112)</f>
        <v>0</v>
      </c>
      <c r="H102" s="59">
        <f>SUM(H103:H112)</f>
        <v>96978843</v>
      </c>
      <c r="I102" s="59">
        <f>+G102+H102</f>
        <v>96978843</v>
      </c>
      <c r="J102" s="59">
        <f>SUM(J103:J112)</f>
        <v>0</v>
      </c>
      <c r="K102" s="59">
        <f>SUM(K103:K112)</f>
        <v>0</v>
      </c>
      <c r="L102" s="59">
        <f>+J102+K102</f>
        <v>0</v>
      </c>
      <c r="M102" s="59">
        <f>+I102+L102</f>
        <v>96978843</v>
      </c>
      <c r="N102" s="58">
        <f>+F102-M102</f>
        <v>660472407</v>
      </c>
      <c r="P102" s="192"/>
      <c r="S102" s="282"/>
      <c r="T102" s="282"/>
      <c r="U102" s="242"/>
    </row>
    <row r="103" spans="1:21" s="49" customFormat="1" ht="18" customHeight="1" x14ac:dyDescent="0.25">
      <c r="A103" s="61"/>
      <c r="B103" s="62"/>
      <c r="C103" s="62"/>
      <c r="D103" s="74" t="s">
        <v>243</v>
      </c>
      <c r="E103" s="62" t="s">
        <v>331</v>
      </c>
      <c r="F103" s="63">
        <v>31387500</v>
      </c>
      <c r="G103" s="75"/>
      <c r="H103" s="75">
        <v>4646976</v>
      </c>
      <c r="I103" s="75">
        <f t="shared" ref="I103:I110" si="39">+G103+H103</f>
        <v>4646976</v>
      </c>
      <c r="J103" s="75"/>
      <c r="K103" s="75"/>
      <c r="L103" s="75">
        <f t="shared" si="22"/>
        <v>0</v>
      </c>
      <c r="M103" s="75">
        <f t="shared" ref="M103:M112" si="40">+I103+L103</f>
        <v>4646976</v>
      </c>
      <c r="N103" s="63">
        <f t="shared" ref="N103:N108" si="41">+F103-M103</f>
        <v>26740524</v>
      </c>
      <c r="P103" s="192"/>
      <c r="S103" s="282"/>
      <c r="T103" s="281">
        <v>4646976</v>
      </c>
      <c r="U103" s="242"/>
    </row>
    <row r="104" spans="1:21" s="49" customFormat="1" ht="18" customHeight="1" x14ac:dyDescent="0.25">
      <c r="A104" s="61"/>
      <c r="B104" s="62"/>
      <c r="C104" s="62"/>
      <c r="D104" s="74" t="s">
        <v>244</v>
      </c>
      <c r="E104" s="62" t="s">
        <v>245</v>
      </c>
      <c r="F104" s="63">
        <v>36450000</v>
      </c>
      <c r="G104" s="75"/>
      <c r="H104" s="75">
        <v>5396488</v>
      </c>
      <c r="I104" s="75">
        <f t="shared" si="39"/>
        <v>5396488</v>
      </c>
      <c r="J104" s="75"/>
      <c r="K104" s="75"/>
      <c r="L104" s="75">
        <f t="shared" si="22"/>
        <v>0</v>
      </c>
      <c r="M104" s="75">
        <f t="shared" si="40"/>
        <v>5396488</v>
      </c>
      <c r="N104" s="63">
        <f t="shared" si="41"/>
        <v>31053512</v>
      </c>
      <c r="P104" s="192"/>
      <c r="S104" s="282"/>
      <c r="T104" s="281">
        <v>5396488</v>
      </c>
      <c r="U104" s="242"/>
    </row>
    <row r="105" spans="1:21" s="49" customFormat="1" ht="18" customHeight="1" x14ac:dyDescent="0.25">
      <c r="A105" s="61"/>
      <c r="B105" s="62"/>
      <c r="C105" s="62"/>
      <c r="D105" s="74" t="s">
        <v>246</v>
      </c>
      <c r="E105" s="62" t="s">
        <v>247</v>
      </c>
      <c r="F105" s="63">
        <v>4050000</v>
      </c>
      <c r="G105" s="75"/>
      <c r="H105" s="75">
        <v>599610</v>
      </c>
      <c r="I105" s="75">
        <f t="shared" si="39"/>
        <v>599610</v>
      </c>
      <c r="J105" s="75"/>
      <c r="K105" s="75"/>
      <c r="L105" s="75">
        <f t="shared" si="22"/>
        <v>0</v>
      </c>
      <c r="M105" s="75">
        <f t="shared" si="40"/>
        <v>599610</v>
      </c>
      <c r="N105" s="63">
        <f t="shared" si="41"/>
        <v>3450390</v>
      </c>
      <c r="P105" s="192"/>
      <c r="S105" s="282"/>
      <c r="T105" s="281">
        <v>599610</v>
      </c>
      <c r="U105" s="242"/>
    </row>
    <row r="106" spans="1:21" s="49" customFormat="1" ht="18" customHeight="1" x14ac:dyDescent="0.25">
      <c r="A106" s="61"/>
      <c r="B106" s="62"/>
      <c r="C106" s="62"/>
      <c r="D106" s="74" t="s">
        <v>248</v>
      </c>
      <c r="E106" s="62" t="s">
        <v>249</v>
      </c>
      <c r="F106" s="63">
        <v>22275000</v>
      </c>
      <c r="G106" s="75"/>
      <c r="H106" s="75">
        <v>3259838</v>
      </c>
      <c r="I106" s="75">
        <f t="shared" si="39"/>
        <v>3259838</v>
      </c>
      <c r="J106" s="75"/>
      <c r="K106" s="75"/>
      <c r="L106" s="75">
        <f t="shared" si="22"/>
        <v>0</v>
      </c>
      <c r="M106" s="75">
        <f t="shared" si="40"/>
        <v>3259838</v>
      </c>
      <c r="N106" s="63">
        <f t="shared" si="41"/>
        <v>19015162</v>
      </c>
      <c r="P106" s="192"/>
      <c r="S106" s="282"/>
      <c r="T106" s="281">
        <v>3259838</v>
      </c>
      <c r="U106" s="242"/>
    </row>
    <row r="107" spans="1:21" s="49" customFormat="1" ht="18" customHeight="1" x14ac:dyDescent="0.25">
      <c r="A107" s="61"/>
      <c r="B107" s="62"/>
      <c r="C107" s="62"/>
      <c r="D107" s="74" t="s">
        <v>250</v>
      </c>
      <c r="E107" s="62" t="s">
        <v>251</v>
      </c>
      <c r="F107" s="63">
        <v>273375000</v>
      </c>
      <c r="G107" s="75"/>
      <c r="H107" s="75">
        <v>40473658</v>
      </c>
      <c r="I107" s="75">
        <f t="shared" si="39"/>
        <v>40473658</v>
      </c>
      <c r="J107" s="75"/>
      <c r="K107" s="75"/>
      <c r="L107" s="75">
        <f t="shared" si="22"/>
        <v>0</v>
      </c>
      <c r="M107" s="75">
        <f t="shared" si="40"/>
        <v>40473658</v>
      </c>
      <c r="N107" s="63">
        <f t="shared" si="41"/>
        <v>232901342</v>
      </c>
      <c r="P107" s="192"/>
      <c r="S107" s="282"/>
      <c r="T107" s="281">
        <v>40473658</v>
      </c>
      <c r="U107" s="242"/>
    </row>
    <row r="108" spans="1:21" s="49" customFormat="1" ht="18" customHeight="1" x14ac:dyDescent="0.25">
      <c r="A108" s="61"/>
      <c r="B108" s="62"/>
      <c r="C108" s="62"/>
      <c r="D108" s="74" t="s">
        <v>252</v>
      </c>
      <c r="E108" s="62" t="s">
        <v>253</v>
      </c>
      <c r="F108" s="63">
        <v>1215000</v>
      </c>
      <c r="G108" s="75"/>
      <c r="H108" s="75">
        <v>179883</v>
      </c>
      <c r="I108" s="75">
        <f t="shared" si="39"/>
        <v>179883</v>
      </c>
      <c r="J108" s="75"/>
      <c r="K108" s="75"/>
      <c r="L108" s="75">
        <f t="shared" si="22"/>
        <v>0</v>
      </c>
      <c r="M108" s="75">
        <f t="shared" si="40"/>
        <v>179883</v>
      </c>
      <c r="N108" s="63">
        <f t="shared" si="41"/>
        <v>1035117</v>
      </c>
      <c r="P108" s="192"/>
      <c r="S108" s="282"/>
      <c r="T108" s="281">
        <v>179883</v>
      </c>
      <c r="U108" s="242"/>
    </row>
    <row r="109" spans="1:21" s="49" customFormat="1" ht="18" customHeight="1" x14ac:dyDescent="0.25">
      <c r="A109" s="61"/>
      <c r="B109" s="62"/>
      <c r="C109" s="62"/>
      <c r="D109" s="74" t="s">
        <v>254</v>
      </c>
      <c r="E109" s="62" t="s">
        <v>255</v>
      </c>
      <c r="F109" s="63">
        <v>11137500</v>
      </c>
      <c r="G109" s="75"/>
      <c r="H109" s="75">
        <v>1648927</v>
      </c>
      <c r="I109" s="75">
        <f t="shared" si="39"/>
        <v>1648927</v>
      </c>
      <c r="J109" s="75"/>
      <c r="K109" s="75"/>
      <c r="L109" s="75">
        <f t="shared" si="22"/>
        <v>0</v>
      </c>
      <c r="M109" s="75">
        <f t="shared" si="40"/>
        <v>1648927</v>
      </c>
      <c r="N109" s="63">
        <f>+F109-M109</f>
        <v>9488573</v>
      </c>
      <c r="P109" s="192"/>
      <c r="S109" s="282"/>
      <c r="T109" s="281">
        <v>1648927</v>
      </c>
      <c r="U109" s="242"/>
    </row>
    <row r="110" spans="1:21" s="49" customFormat="1" ht="32.25" customHeight="1" x14ac:dyDescent="0.25">
      <c r="A110" s="171"/>
      <c r="B110" s="162"/>
      <c r="C110" s="162"/>
      <c r="D110" s="267" t="s">
        <v>256</v>
      </c>
      <c r="E110" s="172" t="s">
        <v>257</v>
      </c>
      <c r="F110" s="173">
        <v>202500</v>
      </c>
      <c r="G110" s="163"/>
      <c r="H110" s="163"/>
      <c r="I110" s="163">
        <f t="shared" si="39"/>
        <v>0</v>
      </c>
      <c r="J110" s="163"/>
      <c r="K110" s="163"/>
      <c r="L110" s="163">
        <f t="shared" si="22"/>
        <v>0</v>
      </c>
      <c r="M110" s="163">
        <f t="shared" si="40"/>
        <v>0</v>
      </c>
      <c r="N110" s="173">
        <f>+F110-M110</f>
        <v>202500</v>
      </c>
      <c r="P110" s="192"/>
      <c r="S110" s="282"/>
      <c r="T110" s="282"/>
      <c r="U110" s="242"/>
    </row>
    <row r="111" spans="1:21" s="49" customFormat="1" ht="31.5" x14ac:dyDescent="0.25">
      <c r="A111" s="171"/>
      <c r="B111" s="162"/>
      <c r="C111" s="162"/>
      <c r="D111" s="267" t="s">
        <v>258</v>
      </c>
      <c r="E111" s="172" t="s">
        <v>259</v>
      </c>
      <c r="F111" s="173">
        <v>101958750</v>
      </c>
      <c r="G111" s="163"/>
      <c r="H111" s="163"/>
      <c r="I111" s="163">
        <f>+G111+H111</f>
        <v>0</v>
      </c>
      <c r="J111" s="163"/>
      <c r="K111" s="163"/>
      <c r="L111" s="163">
        <f t="shared" si="22"/>
        <v>0</v>
      </c>
      <c r="M111" s="163">
        <f t="shared" si="40"/>
        <v>0</v>
      </c>
      <c r="N111" s="173">
        <f>+F111-M111</f>
        <v>101958750</v>
      </c>
      <c r="P111" s="192"/>
      <c r="S111" s="282"/>
      <c r="T111" s="282"/>
      <c r="U111" s="242"/>
    </row>
    <row r="112" spans="1:21" s="134" customFormat="1" ht="31.5" x14ac:dyDescent="0.25">
      <c r="A112" s="165"/>
      <c r="B112" s="166"/>
      <c r="C112" s="166"/>
      <c r="D112" s="268" t="s">
        <v>260</v>
      </c>
      <c r="E112" s="167" t="s">
        <v>261</v>
      </c>
      <c r="F112" s="168">
        <v>275400000</v>
      </c>
      <c r="G112" s="169"/>
      <c r="H112" s="169">
        <v>40773463</v>
      </c>
      <c r="I112" s="169">
        <f t="shared" ref="I112" si="42">+G112+H112</f>
        <v>40773463</v>
      </c>
      <c r="J112" s="169"/>
      <c r="K112" s="169"/>
      <c r="L112" s="169">
        <f t="shared" si="22"/>
        <v>0</v>
      </c>
      <c r="M112" s="169">
        <f t="shared" si="40"/>
        <v>40773463</v>
      </c>
      <c r="N112" s="168">
        <f>+F112-M112</f>
        <v>234626537</v>
      </c>
      <c r="P112" s="197"/>
      <c r="S112" s="286"/>
      <c r="T112" s="285">
        <v>40773463</v>
      </c>
      <c r="U112" s="247"/>
    </row>
    <row r="113" spans="1:21" s="121" customFormat="1" ht="18" customHeight="1" x14ac:dyDescent="0.25">
      <c r="A113" s="116">
        <v>4</v>
      </c>
      <c r="B113" s="117"/>
      <c r="C113" s="117" t="s">
        <v>84</v>
      </c>
      <c r="D113" s="118"/>
      <c r="E113" s="128" t="s">
        <v>85</v>
      </c>
      <c r="F113" s="119">
        <f>+F114</f>
        <v>31153000</v>
      </c>
      <c r="G113" s="120">
        <f t="shared" ref="F113:H114" si="43">+G114</f>
        <v>0</v>
      </c>
      <c r="H113" s="120">
        <f t="shared" si="43"/>
        <v>0</v>
      </c>
      <c r="I113" s="120">
        <f>+G113+H113</f>
        <v>0</v>
      </c>
      <c r="J113" s="120">
        <f>+J114</f>
        <v>2990625</v>
      </c>
      <c r="K113" s="120">
        <f>+K114</f>
        <v>2950125</v>
      </c>
      <c r="L113" s="120">
        <f>+J113+K113</f>
        <v>5940750</v>
      </c>
      <c r="M113" s="120">
        <f>+I113+L113</f>
        <v>5940750</v>
      </c>
      <c r="N113" s="119">
        <f>+F113-M113</f>
        <v>25212250</v>
      </c>
      <c r="P113" s="190"/>
      <c r="R113" s="122"/>
      <c r="S113" s="283"/>
      <c r="T113" s="283"/>
      <c r="U113" s="246"/>
    </row>
    <row r="114" spans="1:21" s="107" customFormat="1" ht="18" customHeight="1" x14ac:dyDescent="0.25">
      <c r="A114" s="101"/>
      <c r="B114" s="102"/>
      <c r="C114" s="102"/>
      <c r="D114" s="103" t="s">
        <v>207</v>
      </c>
      <c r="E114" s="104" t="s">
        <v>262</v>
      </c>
      <c r="F114" s="105">
        <f t="shared" si="43"/>
        <v>31153000</v>
      </c>
      <c r="G114" s="106">
        <f t="shared" si="43"/>
        <v>0</v>
      </c>
      <c r="H114" s="106">
        <f t="shared" si="43"/>
        <v>0</v>
      </c>
      <c r="I114" s="106">
        <f>+G114+H114</f>
        <v>0</v>
      </c>
      <c r="J114" s="106">
        <f t="shared" ref="J114:K116" si="44">+J115</f>
        <v>2990625</v>
      </c>
      <c r="K114" s="106">
        <f t="shared" si="44"/>
        <v>2950125</v>
      </c>
      <c r="L114" s="106">
        <f>+J114+K114</f>
        <v>5940750</v>
      </c>
      <c r="M114" s="106">
        <f t="shared" ref="M114:M120" si="45">+I114+L114</f>
        <v>5940750</v>
      </c>
      <c r="N114" s="105">
        <f t="shared" ref="N114:N117" si="46">+F114-M114</f>
        <v>25212250</v>
      </c>
      <c r="P114" s="191"/>
      <c r="R114" s="108"/>
      <c r="S114" s="284"/>
      <c r="T114" s="284"/>
      <c r="U114" s="241"/>
    </row>
    <row r="115" spans="1:21" s="49" customFormat="1" ht="18" customHeight="1" x14ac:dyDescent="0.25">
      <c r="A115" s="44"/>
      <c r="B115" s="77"/>
      <c r="C115" s="77"/>
      <c r="D115" s="45" t="s">
        <v>63</v>
      </c>
      <c r="E115" s="45" t="s">
        <v>30</v>
      </c>
      <c r="F115" s="47">
        <f>F116</f>
        <v>31153000</v>
      </c>
      <c r="G115" s="70">
        <f>+G116</f>
        <v>0</v>
      </c>
      <c r="H115" s="70">
        <f>+H116</f>
        <v>0</v>
      </c>
      <c r="I115" s="70">
        <f>+G115+H115</f>
        <v>0</v>
      </c>
      <c r="J115" s="70">
        <f>+J116</f>
        <v>2990625</v>
      </c>
      <c r="K115" s="70">
        <f t="shared" si="44"/>
        <v>2950125</v>
      </c>
      <c r="L115" s="70">
        <f>+J115+K115</f>
        <v>5940750</v>
      </c>
      <c r="M115" s="70">
        <f t="shared" si="45"/>
        <v>5940750</v>
      </c>
      <c r="N115" s="47">
        <f t="shared" si="46"/>
        <v>25212250</v>
      </c>
      <c r="P115" s="192"/>
      <c r="S115" s="282"/>
      <c r="T115" s="282"/>
      <c r="U115" s="242"/>
    </row>
    <row r="116" spans="1:21" s="55" customFormat="1" ht="18" customHeight="1" x14ac:dyDescent="0.25">
      <c r="A116" s="50"/>
      <c r="B116" s="51"/>
      <c r="C116" s="51"/>
      <c r="D116" s="51" t="s">
        <v>263</v>
      </c>
      <c r="E116" s="52" t="s">
        <v>264</v>
      </c>
      <c r="F116" s="53">
        <f>+F117</f>
        <v>31153000</v>
      </c>
      <c r="G116" s="54">
        <f>+G117</f>
        <v>0</v>
      </c>
      <c r="H116" s="54">
        <f>+H117</f>
        <v>0</v>
      </c>
      <c r="I116" s="54">
        <f>+G116+H116</f>
        <v>0</v>
      </c>
      <c r="J116" s="54">
        <f t="shared" si="44"/>
        <v>2990625</v>
      </c>
      <c r="K116" s="54">
        <f t="shared" si="44"/>
        <v>2950125</v>
      </c>
      <c r="L116" s="54">
        <f>+J116+K116</f>
        <v>5940750</v>
      </c>
      <c r="M116" s="54">
        <f t="shared" si="45"/>
        <v>5940750</v>
      </c>
      <c r="N116" s="53">
        <f t="shared" si="46"/>
        <v>25212250</v>
      </c>
      <c r="P116" s="195"/>
      <c r="S116" s="282"/>
      <c r="T116" s="282"/>
      <c r="U116" s="243"/>
    </row>
    <row r="117" spans="1:21" s="49" customFormat="1" ht="18" customHeight="1" x14ac:dyDescent="0.25">
      <c r="A117" s="56"/>
      <c r="B117" s="78"/>
      <c r="C117" s="78"/>
      <c r="D117" s="57" t="s">
        <v>64</v>
      </c>
      <c r="E117" s="57" t="s">
        <v>65</v>
      </c>
      <c r="F117" s="58">
        <f>F118+F119+F120</f>
        <v>31153000</v>
      </c>
      <c r="G117" s="59">
        <f>SUM(G118:G120)</f>
        <v>0</v>
      </c>
      <c r="H117" s="59">
        <f>SUM(H118:H120)</f>
        <v>0</v>
      </c>
      <c r="I117" s="59">
        <f>+G117+H117</f>
        <v>0</v>
      </c>
      <c r="J117" s="59">
        <f>SUM(J118:J120)</f>
        <v>2990625</v>
      </c>
      <c r="K117" s="59">
        <f>SUM(K118:K120)</f>
        <v>2950125</v>
      </c>
      <c r="L117" s="59">
        <f>+J117+K117</f>
        <v>5940750</v>
      </c>
      <c r="M117" s="59">
        <f t="shared" si="45"/>
        <v>5940750</v>
      </c>
      <c r="N117" s="58">
        <f t="shared" si="46"/>
        <v>25212250</v>
      </c>
      <c r="P117" s="192"/>
      <c r="S117" s="282"/>
      <c r="T117" s="282"/>
      <c r="U117" s="242"/>
    </row>
    <row r="118" spans="1:21" s="49" customFormat="1" ht="18" customHeight="1" x14ac:dyDescent="0.25">
      <c r="A118" s="61"/>
      <c r="B118" s="79"/>
      <c r="C118" s="79"/>
      <c r="D118" s="62" t="s">
        <v>66</v>
      </c>
      <c r="E118" s="62" t="s">
        <v>67</v>
      </c>
      <c r="F118" s="63">
        <v>1447000</v>
      </c>
      <c r="G118" s="75"/>
      <c r="H118" s="75"/>
      <c r="I118" s="75">
        <f t="shared" ref="I118:I120" si="47">+G118+H118</f>
        <v>0</v>
      </c>
      <c r="J118" s="75"/>
      <c r="K118" s="75"/>
      <c r="L118" s="75">
        <f t="shared" ref="L118:L120" si="48">+J118+K118</f>
        <v>0</v>
      </c>
      <c r="M118" s="75">
        <f t="shared" si="45"/>
        <v>0</v>
      </c>
      <c r="N118" s="63">
        <f>+F118-M118</f>
        <v>1447000</v>
      </c>
      <c r="P118" s="192"/>
      <c r="S118" s="282"/>
      <c r="T118" s="282"/>
      <c r="U118" s="242"/>
    </row>
    <row r="119" spans="1:21" s="49" customFormat="1" ht="18" customHeight="1" x14ac:dyDescent="0.25">
      <c r="A119" s="61"/>
      <c r="B119" s="79"/>
      <c r="C119" s="79"/>
      <c r="D119" s="62" t="s">
        <v>337</v>
      </c>
      <c r="E119" s="62" t="s">
        <v>338</v>
      </c>
      <c r="F119" s="63">
        <v>3792000</v>
      </c>
      <c r="G119" s="75"/>
      <c r="H119" s="75"/>
      <c r="I119" s="75">
        <f t="shared" si="47"/>
        <v>0</v>
      </c>
      <c r="J119" s="75"/>
      <c r="K119" s="75"/>
      <c r="L119" s="75">
        <f t="shared" si="48"/>
        <v>0</v>
      </c>
      <c r="M119" s="75">
        <f t="shared" si="45"/>
        <v>0</v>
      </c>
      <c r="N119" s="63">
        <f t="shared" ref="N119:N120" si="49">+F119-M119</f>
        <v>3792000</v>
      </c>
      <c r="P119" s="192"/>
      <c r="S119" s="282"/>
      <c r="T119" s="282"/>
      <c r="U119" s="242"/>
    </row>
    <row r="120" spans="1:21" s="49" customFormat="1" ht="18" customHeight="1" x14ac:dyDescent="0.25">
      <c r="A120" s="61"/>
      <c r="B120" s="79"/>
      <c r="C120" s="79"/>
      <c r="D120" s="62" t="s">
        <v>68</v>
      </c>
      <c r="E120" s="62" t="s">
        <v>69</v>
      </c>
      <c r="F120" s="63">
        <v>25914000</v>
      </c>
      <c r="G120" s="75"/>
      <c r="H120" s="75"/>
      <c r="I120" s="75">
        <f t="shared" si="47"/>
        <v>0</v>
      </c>
      <c r="J120" s="75">
        <v>2990625</v>
      </c>
      <c r="K120" s="75">
        <f>965625+997500+987000</f>
        <v>2950125</v>
      </c>
      <c r="L120" s="75">
        <f t="shared" si="48"/>
        <v>5940750</v>
      </c>
      <c r="M120" s="75">
        <f t="shared" si="45"/>
        <v>5940750</v>
      </c>
      <c r="N120" s="63">
        <f t="shared" si="49"/>
        <v>19973250</v>
      </c>
      <c r="P120" s="192"/>
      <c r="S120" s="281">
        <f>997500+987000+965625</f>
        <v>2950125</v>
      </c>
      <c r="T120" s="282"/>
      <c r="U120" s="242"/>
    </row>
    <row r="121" spans="1:21" s="134" customFormat="1" ht="18" customHeight="1" x14ac:dyDescent="0.25">
      <c r="A121" s="129"/>
      <c r="B121" s="130"/>
      <c r="C121" s="130"/>
      <c r="D121" s="131"/>
      <c r="E121" s="131"/>
      <c r="F121" s="132"/>
      <c r="G121" s="133"/>
      <c r="H121" s="133"/>
      <c r="I121" s="133"/>
      <c r="J121" s="133"/>
      <c r="K121" s="133"/>
      <c r="L121" s="133"/>
      <c r="M121" s="133"/>
      <c r="N121" s="132"/>
      <c r="P121" s="197"/>
      <c r="S121" s="286"/>
      <c r="T121" s="286"/>
      <c r="U121" s="247"/>
    </row>
    <row r="122" spans="1:21" s="137" customFormat="1" ht="18" customHeight="1" x14ac:dyDescent="0.25">
      <c r="A122" s="109"/>
      <c r="B122" s="110" t="s">
        <v>405</v>
      </c>
      <c r="C122" s="110"/>
      <c r="D122" s="110"/>
      <c r="E122" s="110" t="s">
        <v>406</v>
      </c>
      <c r="F122" s="135">
        <f t="shared" ref="F122:G124" si="50">+F123</f>
        <v>654671250</v>
      </c>
      <c r="G122" s="136">
        <f t="shared" si="50"/>
        <v>0</v>
      </c>
      <c r="H122" s="136">
        <f>+H123</f>
        <v>0</v>
      </c>
      <c r="I122" s="136">
        <f t="shared" ref="I122:I136" si="51">+G122+H122</f>
        <v>0</v>
      </c>
      <c r="J122" s="136">
        <f>+J124</f>
        <v>150000</v>
      </c>
      <c r="K122" s="136">
        <f>+K123</f>
        <v>0</v>
      </c>
      <c r="L122" s="136">
        <f>+J122+K122</f>
        <v>150000</v>
      </c>
      <c r="M122" s="136">
        <f t="shared" ref="M122" si="52">+I122+L122</f>
        <v>150000</v>
      </c>
      <c r="N122" s="135">
        <f t="shared" ref="N122:N130" si="53">+F122-M122</f>
        <v>654521250</v>
      </c>
      <c r="P122" s="198"/>
      <c r="R122" s="138"/>
      <c r="S122" s="287"/>
      <c r="T122" s="287"/>
      <c r="U122" s="248"/>
    </row>
    <row r="123" spans="1:21" s="121" customFormat="1" ht="18" customHeight="1" x14ac:dyDescent="0.25">
      <c r="A123" s="232">
        <v>5</v>
      </c>
      <c r="B123" s="117"/>
      <c r="C123" s="117" t="s">
        <v>86</v>
      </c>
      <c r="D123" s="118"/>
      <c r="E123" s="128" t="s">
        <v>87</v>
      </c>
      <c r="F123" s="119">
        <f t="shared" si="50"/>
        <v>654671250</v>
      </c>
      <c r="G123" s="120">
        <f t="shared" si="50"/>
        <v>0</v>
      </c>
      <c r="H123" s="120">
        <f>+H124</f>
        <v>0</v>
      </c>
      <c r="I123" s="120">
        <f t="shared" si="51"/>
        <v>0</v>
      </c>
      <c r="J123" s="120">
        <f>+J124</f>
        <v>150000</v>
      </c>
      <c r="K123" s="120">
        <f>+K124</f>
        <v>0</v>
      </c>
      <c r="L123" s="120">
        <f>+J123+K123</f>
        <v>150000</v>
      </c>
      <c r="M123" s="120">
        <f>+I123+L123</f>
        <v>150000</v>
      </c>
      <c r="N123" s="119">
        <f t="shared" si="53"/>
        <v>654521250</v>
      </c>
      <c r="P123" s="190"/>
      <c r="R123" s="122"/>
      <c r="S123" s="283"/>
      <c r="T123" s="283"/>
      <c r="U123" s="246"/>
    </row>
    <row r="124" spans="1:21" s="107" customFormat="1" ht="18" customHeight="1" x14ac:dyDescent="0.25">
      <c r="A124" s="101"/>
      <c r="B124" s="102"/>
      <c r="C124" s="102"/>
      <c r="D124" s="103" t="s">
        <v>207</v>
      </c>
      <c r="E124" s="104" t="s">
        <v>262</v>
      </c>
      <c r="F124" s="105">
        <f t="shared" si="50"/>
        <v>654671250</v>
      </c>
      <c r="G124" s="106">
        <f t="shared" si="50"/>
        <v>0</v>
      </c>
      <c r="H124" s="106">
        <f>+H125</f>
        <v>0</v>
      </c>
      <c r="I124" s="106">
        <f t="shared" si="51"/>
        <v>0</v>
      </c>
      <c r="J124" s="106">
        <f>+J125</f>
        <v>150000</v>
      </c>
      <c r="K124" s="106">
        <f>+K125</f>
        <v>0</v>
      </c>
      <c r="L124" s="106">
        <f t="shared" ref="L124:L136" si="54">+J124+K124</f>
        <v>150000</v>
      </c>
      <c r="M124" s="106">
        <f t="shared" ref="M124:M127" si="55">+I124+L124</f>
        <v>150000</v>
      </c>
      <c r="N124" s="105">
        <f t="shared" si="53"/>
        <v>654521250</v>
      </c>
      <c r="P124" s="191"/>
      <c r="R124" s="108"/>
      <c r="S124" s="284"/>
      <c r="T124" s="284"/>
      <c r="U124" s="241"/>
    </row>
    <row r="125" spans="1:21" s="49" customFormat="1" ht="18" customHeight="1" x14ac:dyDescent="0.25">
      <c r="A125" s="44"/>
      <c r="B125" s="45"/>
      <c r="C125" s="45"/>
      <c r="D125" s="69" t="s">
        <v>63</v>
      </c>
      <c r="E125" s="45" t="s">
        <v>30</v>
      </c>
      <c r="F125" s="47">
        <f>F131+F126</f>
        <v>654671250</v>
      </c>
      <c r="G125" s="70">
        <f>+G126+G131</f>
        <v>0</v>
      </c>
      <c r="H125" s="70">
        <f>+H126+H131</f>
        <v>0</v>
      </c>
      <c r="I125" s="70">
        <f t="shared" si="51"/>
        <v>0</v>
      </c>
      <c r="J125" s="70">
        <f>+J126+J131</f>
        <v>150000</v>
      </c>
      <c r="K125" s="70">
        <f>+K131+K126</f>
        <v>0</v>
      </c>
      <c r="L125" s="70">
        <f t="shared" si="54"/>
        <v>150000</v>
      </c>
      <c r="M125" s="70">
        <f t="shared" si="55"/>
        <v>150000</v>
      </c>
      <c r="N125" s="47">
        <f t="shared" si="53"/>
        <v>654521250</v>
      </c>
      <c r="P125" s="192"/>
      <c r="S125" s="282"/>
      <c r="T125" s="282"/>
      <c r="U125" s="242"/>
    </row>
    <row r="126" spans="1:21" s="55" customFormat="1" ht="18" customHeight="1" x14ac:dyDescent="0.25">
      <c r="A126" s="50"/>
      <c r="B126" s="51"/>
      <c r="C126" s="51"/>
      <c r="D126" s="71" t="s">
        <v>263</v>
      </c>
      <c r="E126" s="52" t="s">
        <v>264</v>
      </c>
      <c r="F126" s="53">
        <f>+F127</f>
        <v>137486250</v>
      </c>
      <c r="G126" s="72">
        <f>+G127</f>
        <v>0</v>
      </c>
      <c r="H126" s="72">
        <f>+H127</f>
        <v>0</v>
      </c>
      <c r="I126" s="72">
        <f t="shared" si="51"/>
        <v>0</v>
      </c>
      <c r="J126" s="72">
        <f>+J127</f>
        <v>150000</v>
      </c>
      <c r="K126" s="72">
        <f>+K127</f>
        <v>0</v>
      </c>
      <c r="L126" s="72">
        <f t="shared" si="54"/>
        <v>150000</v>
      </c>
      <c r="M126" s="72">
        <f t="shared" si="55"/>
        <v>150000</v>
      </c>
      <c r="N126" s="53">
        <f t="shared" si="53"/>
        <v>137336250</v>
      </c>
      <c r="P126" s="195"/>
      <c r="S126" s="282"/>
      <c r="T126" s="282"/>
      <c r="U126" s="243"/>
    </row>
    <row r="127" spans="1:21" s="49" customFormat="1" ht="18" customHeight="1" x14ac:dyDescent="0.25">
      <c r="A127" s="56"/>
      <c r="B127" s="57"/>
      <c r="C127" s="57"/>
      <c r="D127" s="73" t="s">
        <v>64</v>
      </c>
      <c r="E127" s="57" t="s">
        <v>65</v>
      </c>
      <c r="F127" s="58">
        <f>+F128+F129+F130</f>
        <v>137486250</v>
      </c>
      <c r="G127" s="59">
        <f>SUM(G128:G129)</f>
        <v>0</v>
      </c>
      <c r="H127" s="59">
        <f>SUM(H128:H129)</f>
        <v>0</v>
      </c>
      <c r="I127" s="59">
        <f t="shared" si="51"/>
        <v>0</v>
      </c>
      <c r="J127" s="59">
        <f>SUM(J128:J130)</f>
        <v>150000</v>
      </c>
      <c r="K127" s="59">
        <f>SUM(K128:K130)</f>
        <v>0</v>
      </c>
      <c r="L127" s="59">
        <f t="shared" si="54"/>
        <v>150000</v>
      </c>
      <c r="M127" s="59">
        <f t="shared" si="55"/>
        <v>150000</v>
      </c>
      <c r="N127" s="58">
        <f t="shared" si="53"/>
        <v>137336250</v>
      </c>
      <c r="P127" s="192"/>
      <c r="S127" s="282"/>
      <c r="T127" s="282"/>
      <c r="U127" s="242"/>
    </row>
    <row r="128" spans="1:21" s="49" customFormat="1" ht="18" customHeight="1" x14ac:dyDescent="0.25">
      <c r="A128" s="61"/>
      <c r="B128" s="62"/>
      <c r="C128" s="62"/>
      <c r="D128" s="74" t="s">
        <v>66</v>
      </c>
      <c r="E128" s="62" t="s">
        <v>67</v>
      </c>
      <c r="F128" s="63">
        <v>2756250</v>
      </c>
      <c r="G128" s="75"/>
      <c r="H128" s="75"/>
      <c r="I128" s="75">
        <f t="shared" si="51"/>
        <v>0</v>
      </c>
      <c r="J128" s="75">
        <v>150000</v>
      </c>
      <c r="K128" s="75"/>
      <c r="L128" s="75">
        <f t="shared" si="54"/>
        <v>150000</v>
      </c>
      <c r="M128" s="75">
        <f>+I128+L128</f>
        <v>150000</v>
      </c>
      <c r="N128" s="63">
        <f t="shared" si="53"/>
        <v>2606250</v>
      </c>
      <c r="P128" s="192"/>
      <c r="S128" s="282"/>
      <c r="T128" s="282"/>
      <c r="U128" s="242"/>
    </row>
    <row r="129" spans="1:21" s="49" customFormat="1" ht="18" customHeight="1" x14ac:dyDescent="0.25">
      <c r="A129" s="61"/>
      <c r="B129" s="62"/>
      <c r="C129" s="62"/>
      <c r="D129" s="74" t="s">
        <v>369</v>
      </c>
      <c r="E129" s="62" t="s">
        <v>370</v>
      </c>
      <c r="F129" s="63">
        <v>7230000</v>
      </c>
      <c r="G129" s="75"/>
      <c r="H129" s="75"/>
      <c r="I129" s="75">
        <f t="shared" si="51"/>
        <v>0</v>
      </c>
      <c r="J129" s="75"/>
      <c r="K129" s="75"/>
      <c r="L129" s="75">
        <f t="shared" si="54"/>
        <v>0</v>
      </c>
      <c r="M129" s="75">
        <f>+I129+L129</f>
        <v>0</v>
      </c>
      <c r="N129" s="63">
        <f t="shared" si="53"/>
        <v>7230000</v>
      </c>
      <c r="P129" s="192"/>
      <c r="S129" s="282"/>
      <c r="T129" s="282"/>
      <c r="U129" s="242"/>
    </row>
    <row r="130" spans="1:21" s="49" customFormat="1" ht="18" customHeight="1" x14ac:dyDescent="0.25">
      <c r="A130" s="61"/>
      <c r="B130" s="62"/>
      <c r="C130" s="62"/>
      <c r="D130" s="74" t="s">
        <v>447</v>
      </c>
      <c r="E130" s="62" t="s">
        <v>448</v>
      </c>
      <c r="F130" s="63">
        <v>127500000</v>
      </c>
      <c r="G130" s="75"/>
      <c r="H130" s="75"/>
      <c r="I130" s="75">
        <f t="shared" si="51"/>
        <v>0</v>
      </c>
      <c r="J130" s="75"/>
      <c r="K130" s="75"/>
      <c r="L130" s="75">
        <f t="shared" si="54"/>
        <v>0</v>
      </c>
      <c r="M130" s="75">
        <f>+I130+L130</f>
        <v>0</v>
      </c>
      <c r="N130" s="63">
        <f t="shared" si="53"/>
        <v>127500000</v>
      </c>
      <c r="P130" s="192"/>
      <c r="S130" s="282"/>
      <c r="T130" s="282"/>
      <c r="U130" s="242"/>
    </row>
    <row r="131" spans="1:21" s="55" customFormat="1" ht="18" customHeight="1" x14ac:dyDescent="0.25">
      <c r="A131" s="50"/>
      <c r="B131" s="51"/>
      <c r="C131" s="51"/>
      <c r="D131" s="71" t="s">
        <v>265</v>
      </c>
      <c r="E131" s="51" t="s">
        <v>266</v>
      </c>
      <c r="F131" s="53">
        <f>+F132</f>
        <v>517185000</v>
      </c>
      <c r="G131" s="72">
        <f>+G132</f>
        <v>0</v>
      </c>
      <c r="H131" s="72">
        <f>+H132</f>
        <v>0</v>
      </c>
      <c r="I131" s="72">
        <f t="shared" si="51"/>
        <v>0</v>
      </c>
      <c r="J131" s="72">
        <f>+J132</f>
        <v>0</v>
      </c>
      <c r="K131" s="72">
        <f>+K132</f>
        <v>0</v>
      </c>
      <c r="L131" s="72">
        <f t="shared" si="54"/>
        <v>0</v>
      </c>
      <c r="M131" s="72">
        <f t="shared" ref="M131:M132" si="56">+I131+L131</f>
        <v>0</v>
      </c>
      <c r="N131" s="53">
        <f>+F131-M131</f>
        <v>517185000</v>
      </c>
      <c r="P131" s="195"/>
      <c r="S131" s="282"/>
      <c r="T131" s="282"/>
      <c r="U131" s="243"/>
    </row>
    <row r="132" spans="1:21" s="49" customFormat="1" ht="18" customHeight="1" x14ac:dyDescent="0.25">
      <c r="A132" s="56"/>
      <c r="B132" s="57"/>
      <c r="C132" s="57"/>
      <c r="D132" s="73" t="s">
        <v>71</v>
      </c>
      <c r="E132" s="57" t="s">
        <v>72</v>
      </c>
      <c r="F132" s="58">
        <f>SUM(F133:F136)</f>
        <v>517185000</v>
      </c>
      <c r="G132" s="59">
        <f>SUM(G133:G134)</f>
        <v>0</v>
      </c>
      <c r="H132" s="59">
        <f>SUM(H133:H134)</f>
        <v>0</v>
      </c>
      <c r="I132" s="59">
        <f t="shared" si="51"/>
        <v>0</v>
      </c>
      <c r="J132" s="59">
        <f>SUM(J133:J136)</f>
        <v>0</v>
      </c>
      <c r="K132" s="59">
        <f>SUM(K133:K136)</f>
        <v>0</v>
      </c>
      <c r="L132" s="59">
        <f>+J132+K132</f>
        <v>0</v>
      </c>
      <c r="M132" s="59">
        <f t="shared" si="56"/>
        <v>0</v>
      </c>
      <c r="N132" s="58">
        <f>+F132-M132</f>
        <v>517185000</v>
      </c>
      <c r="P132" s="192"/>
      <c r="S132" s="282"/>
      <c r="T132" s="282"/>
      <c r="U132" s="242"/>
    </row>
    <row r="133" spans="1:21" s="49" customFormat="1" ht="18" customHeight="1" x14ac:dyDescent="0.25">
      <c r="A133" s="61"/>
      <c r="B133" s="62"/>
      <c r="C133" s="62"/>
      <c r="D133" s="74" t="s">
        <v>73</v>
      </c>
      <c r="E133" s="62" t="s">
        <v>74</v>
      </c>
      <c r="F133" s="63">
        <v>128100000</v>
      </c>
      <c r="G133" s="75"/>
      <c r="H133" s="75"/>
      <c r="I133" s="75">
        <f t="shared" si="51"/>
        <v>0</v>
      </c>
      <c r="J133" s="75"/>
      <c r="K133" s="75"/>
      <c r="L133" s="75">
        <f t="shared" si="54"/>
        <v>0</v>
      </c>
      <c r="M133" s="75">
        <f>+I133+L133</f>
        <v>0</v>
      </c>
      <c r="N133" s="63">
        <f t="shared" ref="N133:N136" si="57">+F133-M133</f>
        <v>128100000</v>
      </c>
      <c r="P133" s="192"/>
      <c r="S133" s="282"/>
      <c r="T133" s="282"/>
      <c r="U133" s="242"/>
    </row>
    <row r="134" spans="1:21" s="49" customFormat="1" ht="18" customHeight="1" x14ac:dyDescent="0.25">
      <c r="A134" s="61"/>
      <c r="B134" s="62"/>
      <c r="C134" s="62"/>
      <c r="D134" s="74" t="s">
        <v>88</v>
      </c>
      <c r="E134" s="62" t="s">
        <v>89</v>
      </c>
      <c r="F134" s="63">
        <v>79635000</v>
      </c>
      <c r="G134" s="75"/>
      <c r="H134" s="75"/>
      <c r="I134" s="75">
        <f t="shared" si="51"/>
        <v>0</v>
      </c>
      <c r="J134" s="75"/>
      <c r="K134" s="75"/>
      <c r="L134" s="75">
        <f t="shared" si="54"/>
        <v>0</v>
      </c>
      <c r="M134" s="75">
        <f t="shared" ref="M134" si="58">+I134+L134</f>
        <v>0</v>
      </c>
      <c r="N134" s="63">
        <f t="shared" si="57"/>
        <v>79635000</v>
      </c>
      <c r="P134" s="192"/>
      <c r="S134" s="282"/>
      <c r="T134" s="282"/>
      <c r="U134" s="242"/>
    </row>
    <row r="135" spans="1:21" s="49" customFormat="1" ht="18" customHeight="1" x14ac:dyDescent="0.25">
      <c r="A135" s="61"/>
      <c r="B135" s="62"/>
      <c r="C135" s="62"/>
      <c r="D135" s="74" t="s">
        <v>445</v>
      </c>
      <c r="E135" s="62" t="s">
        <v>446</v>
      </c>
      <c r="F135" s="63">
        <v>241950000</v>
      </c>
      <c r="G135" s="75"/>
      <c r="H135" s="75"/>
      <c r="I135" s="75">
        <f t="shared" si="51"/>
        <v>0</v>
      </c>
      <c r="J135" s="75"/>
      <c r="K135" s="75"/>
      <c r="L135" s="75">
        <f t="shared" si="54"/>
        <v>0</v>
      </c>
      <c r="M135" s="75">
        <f>+I135+L135</f>
        <v>0</v>
      </c>
      <c r="N135" s="63">
        <f t="shared" si="57"/>
        <v>241950000</v>
      </c>
      <c r="P135" s="192"/>
      <c r="S135" s="282"/>
      <c r="T135" s="282"/>
      <c r="U135" s="242"/>
    </row>
    <row r="136" spans="1:21" s="49" customFormat="1" ht="18" customHeight="1" x14ac:dyDescent="0.25">
      <c r="A136" s="61"/>
      <c r="B136" s="62"/>
      <c r="C136" s="62"/>
      <c r="D136" s="74" t="s">
        <v>107</v>
      </c>
      <c r="E136" s="62" t="s">
        <v>108</v>
      </c>
      <c r="F136" s="63">
        <v>67500000</v>
      </c>
      <c r="G136" s="75"/>
      <c r="H136" s="75"/>
      <c r="I136" s="75">
        <f t="shared" si="51"/>
        <v>0</v>
      </c>
      <c r="J136" s="75"/>
      <c r="K136" s="75"/>
      <c r="L136" s="75">
        <f t="shared" si="54"/>
        <v>0</v>
      </c>
      <c r="M136" s="75">
        <f>+I136+L136</f>
        <v>0</v>
      </c>
      <c r="N136" s="63">
        <f t="shared" si="57"/>
        <v>67500000</v>
      </c>
      <c r="P136" s="192"/>
      <c r="S136" s="282"/>
      <c r="T136" s="282"/>
      <c r="U136" s="242"/>
    </row>
    <row r="137" spans="1:21" s="134" customFormat="1" ht="18" customHeight="1" x14ac:dyDescent="0.25">
      <c r="A137" s="129"/>
      <c r="B137" s="131"/>
      <c r="C137" s="131"/>
      <c r="D137" s="131"/>
      <c r="E137" s="131"/>
      <c r="F137" s="132"/>
      <c r="G137" s="133"/>
      <c r="H137" s="133"/>
      <c r="I137" s="133"/>
      <c r="J137" s="133"/>
      <c r="K137" s="133"/>
      <c r="L137" s="133"/>
      <c r="M137" s="133"/>
      <c r="N137" s="132"/>
      <c r="P137" s="197"/>
      <c r="S137" s="286"/>
      <c r="T137" s="286"/>
      <c r="U137" s="247"/>
    </row>
    <row r="138" spans="1:21" s="137" customFormat="1" ht="18" customHeight="1" x14ac:dyDescent="0.25">
      <c r="A138" s="109"/>
      <c r="B138" s="110" t="s">
        <v>380</v>
      </c>
      <c r="C138" s="110"/>
      <c r="D138" s="110"/>
      <c r="E138" s="110" t="s">
        <v>381</v>
      </c>
      <c r="F138" s="135">
        <f>+F139+F165+F173+F184+F206</f>
        <v>4317651500</v>
      </c>
      <c r="G138" s="136">
        <f>+G139+G165+G173+G184+G206</f>
        <v>296175000</v>
      </c>
      <c r="H138" s="136">
        <f>+H139+H165+H173+H184+H206</f>
        <v>192790000</v>
      </c>
      <c r="I138" s="136">
        <f t="shared" ref="I138:I164" si="59">+G138+H138</f>
        <v>488965000</v>
      </c>
      <c r="J138" s="136">
        <f>+J139+J165+J173+J184+J206</f>
        <v>175614600</v>
      </c>
      <c r="K138" s="136">
        <f>+K139+K165+K173+K184+K206</f>
        <v>13246100</v>
      </c>
      <c r="L138" s="136">
        <f t="shared" ref="L138:L146" si="60">+J138+K138</f>
        <v>188860700</v>
      </c>
      <c r="M138" s="136">
        <f t="shared" ref="M138" si="61">+I138+L138</f>
        <v>677825700</v>
      </c>
      <c r="N138" s="135">
        <f t="shared" ref="N138:N146" si="62">+F138-M138</f>
        <v>3639825800</v>
      </c>
      <c r="P138" s="198"/>
      <c r="R138" s="138"/>
      <c r="S138" s="287"/>
      <c r="T138" s="287"/>
      <c r="U138" s="248"/>
    </row>
    <row r="139" spans="1:21" s="121" customFormat="1" ht="18" customHeight="1" x14ac:dyDescent="0.25">
      <c r="A139" s="116">
        <v>6</v>
      </c>
      <c r="B139" s="117"/>
      <c r="C139" s="117" t="s">
        <v>90</v>
      </c>
      <c r="D139" s="118"/>
      <c r="E139" s="128" t="s">
        <v>91</v>
      </c>
      <c r="F139" s="119">
        <f>+F140+F147</f>
        <v>1165936000</v>
      </c>
      <c r="G139" s="120">
        <f>+G140+G147</f>
        <v>0</v>
      </c>
      <c r="H139" s="120">
        <f>+H140+H147</f>
        <v>192790000</v>
      </c>
      <c r="I139" s="120">
        <f t="shared" si="59"/>
        <v>192790000</v>
      </c>
      <c r="J139" s="120">
        <f>+J140+J147</f>
        <v>0</v>
      </c>
      <c r="K139" s="120">
        <f>+K140+K147</f>
        <v>0</v>
      </c>
      <c r="L139" s="120">
        <f t="shared" si="60"/>
        <v>0</v>
      </c>
      <c r="M139" s="120">
        <f>+I139+L139</f>
        <v>192790000</v>
      </c>
      <c r="N139" s="119">
        <f t="shared" si="62"/>
        <v>973146000</v>
      </c>
      <c r="P139" s="190"/>
      <c r="R139" s="122"/>
      <c r="S139" s="283"/>
      <c r="T139" s="283"/>
      <c r="U139" s="246"/>
    </row>
    <row r="140" spans="1:21" s="107" customFormat="1" ht="18" customHeight="1" x14ac:dyDescent="0.25">
      <c r="A140" s="101"/>
      <c r="B140" s="102"/>
      <c r="C140" s="141"/>
      <c r="D140" s="103" t="s">
        <v>207</v>
      </c>
      <c r="E140" s="104" t="s">
        <v>262</v>
      </c>
      <c r="F140" s="105">
        <f>+F141</f>
        <v>39736000</v>
      </c>
      <c r="G140" s="106">
        <f>+G141</f>
        <v>0</v>
      </c>
      <c r="H140" s="106">
        <f>+H141</f>
        <v>0</v>
      </c>
      <c r="I140" s="106">
        <f t="shared" si="59"/>
        <v>0</v>
      </c>
      <c r="J140" s="106">
        <f t="shared" ref="J140:K142" si="63">+J141</f>
        <v>0</v>
      </c>
      <c r="K140" s="106">
        <f t="shared" si="63"/>
        <v>0</v>
      </c>
      <c r="L140" s="106">
        <f t="shared" si="60"/>
        <v>0</v>
      </c>
      <c r="M140" s="106">
        <f t="shared" ref="M140:M164" si="64">+I140+L140</f>
        <v>0</v>
      </c>
      <c r="N140" s="105">
        <f t="shared" si="62"/>
        <v>39736000</v>
      </c>
      <c r="P140" s="191"/>
      <c r="R140" s="108"/>
      <c r="S140" s="284"/>
      <c r="T140" s="284"/>
      <c r="U140" s="241"/>
    </row>
    <row r="141" spans="1:21" s="67" customFormat="1" ht="18" customHeight="1" x14ac:dyDescent="0.25">
      <c r="A141" s="81"/>
      <c r="B141" s="82"/>
      <c r="C141" s="44"/>
      <c r="D141" s="45" t="s">
        <v>63</v>
      </c>
      <c r="E141" s="45" t="s">
        <v>30</v>
      </c>
      <c r="F141" s="47">
        <f>+F142</f>
        <v>39736000</v>
      </c>
      <c r="G141" s="70">
        <f t="shared" ref="G141:H142" si="65">+G142</f>
        <v>0</v>
      </c>
      <c r="H141" s="70">
        <f t="shared" si="65"/>
        <v>0</v>
      </c>
      <c r="I141" s="70">
        <f t="shared" si="59"/>
        <v>0</v>
      </c>
      <c r="J141" s="70">
        <f t="shared" si="63"/>
        <v>0</v>
      </c>
      <c r="K141" s="70">
        <f t="shared" si="63"/>
        <v>0</v>
      </c>
      <c r="L141" s="70">
        <f t="shared" si="60"/>
        <v>0</v>
      </c>
      <c r="M141" s="70">
        <f t="shared" si="64"/>
        <v>0</v>
      </c>
      <c r="N141" s="47">
        <f t="shared" si="62"/>
        <v>39736000</v>
      </c>
      <c r="P141" s="192"/>
      <c r="S141" s="282"/>
      <c r="T141" s="282"/>
      <c r="U141" s="249"/>
    </row>
    <row r="142" spans="1:21" s="55" customFormat="1" ht="18" customHeight="1" x14ac:dyDescent="0.25">
      <c r="A142" s="50"/>
      <c r="B142" s="51"/>
      <c r="C142" s="50"/>
      <c r="D142" s="71" t="s">
        <v>263</v>
      </c>
      <c r="E142" s="51" t="s">
        <v>264</v>
      </c>
      <c r="F142" s="53">
        <f>+F143</f>
        <v>39736000</v>
      </c>
      <c r="G142" s="72">
        <f t="shared" si="65"/>
        <v>0</v>
      </c>
      <c r="H142" s="72">
        <f t="shared" si="65"/>
        <v>0</v>
      </c>
      <c r="I142" s="72">
        <f t="shared" si="59"/>
        <v>0</v>
      </c>
      <c r="J142" s="72">
        <f t="shared" si="63"/>
        <v>0</v>
      </c>
      <c r="K142" s="72">
        <f t="shared" si="63"/>
        <v>0</v>
      </c>
      <c r="L142" s="72">
        <f t="shared" si="60"/>
        <v>0</v>
      </c>
      <c r="M142" s="72">
        <f t="shared" si="64"/>
        <v>0</v>
      </c>
      <c r="N142" s="53">
        <f t="shared" si="62"/>
        <v>39736000</v>
      </c>
      <c r="P142" s="195"/>
      <c r="S142" s="282"/>
      <c r="T142" s="282"/>
      <c r="U142" s="243"/>
    </row>
    <row r="143" spans="1:21" s="67" customFormat="1" ht="18" customHeight="1" x14ac:dyDescent="0.25">
      <c r="A143" s="83"/>
      <c r="B143" s="84"/>
      <c r="C143" s="56"/>
      <c r="D143" s="57" t="s">
        <v>64</v>
      </c>
      <c r="E143" s="57" t="s">
        <v>65</v>
      </c>
      <c r="F143" s="58">
        <f>F145+F144+F146</f>
        <v>39736000</v>
      </c>
      <c r="G143" s="59">
        <f>+G145</f>
        <v>0</v>
      </c>
      <c r="H143" s="59">
        <f>+H145</f>
        <v>0</v>
      </c>
      <c r="I143" s="59">
        <f t="shared" si="59"/>
        <v>0</v>
      </c>
      <c r="J143" s="59">
        <f>+J145</f>
        <v>0</v>
      </c>
      <c r="K143" s="59">
        <f>+K145</f>
        <v>0</v>
      </c>
      <c r="L143" s="59">
        <f t="shared" si="60"/>
        <v>0</v>
      </c>
      <c r="M143" s="59">
        <f t="shared" si="64"/>
        <v>0</v>
      </c>
      <c r="N143" s="58">
        <f t="shared" si="62"/>
        <v>39736000</v>
      </c>
      <c r="P143" s="192"/>
      <c r="S143" s="282"/>
      <c r="T143" s="282"/>
      <c r="U143" s="249"/>
    </row>
    <row r="144" spans="1:21" s="86" customFormat="1" ht="18" customHeight="1" x14ac:dyDescent="0.25">
      <c r="A144" s="85"/>
      <c r="B144" s="66"/>
      <c r="C144" s="61"/>
      <c r="D144" s="62" t="s">
        <v>66</v>
      </c>
      <c r="E144" s="62" t="s">
        <v>67</v>
      </c>
      <c r="F144" s="63">
        <v>13500</v>
      </c>
      <c r="G144" s="75"/>
      <c r="H144" s="75"/>
      <c r="I144" s="75">
        <f t="shared" si="59"/>
        <v>0</v>
      </c>
      <c r="J144" s="75"/>
      <c r="K144" s="75"/>
      <c r="L144" s="75">
        <f t="shared" si="60"/>
        <v>0</v>
      </c>
      <c r="M144" s="75">
        <f t="shared" si="64"/>
        <v>0</v>
      </c>
      <c r="N144" s="63">
        <f t="shared" si="62"/>
        <v>13500</v>
      </c>
      <c r="P144" s="194"/>
      <c r="S144" s="282"/>
      <c r="T144" s="282"/>
      <c r="U144" s="250"/>
    </row>
    <row r="145" spans="1:21" s="86" customFormat="1" ht="18" customHeight="1" x14ac:dyDescent="0.25">
      <c r="A145" s="85"/>
      <c r="B145" s="66"/>
      <c r="C145" s="61"/>
      <c r="D145" s="62" t="s">
        <v>339</v>
      </c>
      <c r="E145" s="62" t="s">
        <v>340</v>
      </c>
      <c r="F145" s="63">
        <v>29175000</v>
      </c>
      <c r="G145" s="75"/>
      <c r="H145" s="75"/>
      <c r="I145" s="75">
        <f t="shared" si="59"/>
        <v>0</v>
      </c>
      <c r="J145" s="75"/>
      <c r="K145" s="75"/>
      <c r="L145" s="75">
        <f t="shared" si="60"/>
        <v>0</v>
      </c>
      <c r="M145" s="75">
        <f t="shared" si="64"/>
        <v>0</v>
      </c>
      <c r="N145" s="63">
        <f t="shared" si="62"/>
        <v>29175000</v>
      </c>
      <c r="P145" s="194"/>
      <c r="S145" s="282"/>
      <c r="T145" s="282"/>
      <c r="U145" s="250"/>
    </row>
    <row r="146" spans="1:21" s="86" customFormat="1" ht="18" customHeight="1" x14ac:dyDescent="0.25">
      <c r="A146" s="85"/>
      <c r="B146" s="66"/>
      <c r="C146" s="61"/>
      <c r="D146" s="62" t="s">
        <v>371</v>
      </c>
      <c r="E146" s="62" t="s">
        <v>372</v>
      </c>
      <c r="F146" s="63">
        <v>10547500</v>
      </c>
      <c r="G146" s="75"/>
      <c r="H146" s="75"/>
      <c r="I146" s="75">
        <f t="shared" si="59"/>
        <v>0</v>
      </c>
      <c r="J146" s="75"/>
      <c r="K146" s="75"/>
      <c r="L146" s="75">
        <f t="shared" si="60"/>
        <v>0</v>
      </c>
      <c r="M146" s="75">
        <f t="shared" si="64"/>
        <v>0</v>
      </c>
      <c r="N146" s="63">
        <f t="shared" si="62"/>
        <v>10547500</v>
      </c>
      <c r="P146" s="194"/>
      <c r="S146" s="282"/>
      <c r="T146" s="282"/>
      <c r="U146" s="250"/>
    </row>
    <row r="147" spans="1:21" s="42" customFormat="1" ht="18" customHeight="1" x14ac:dyDescent="0.25">
      <c r="A147" s="36"/>
      <c r="B147" s="37"/>
      <c r="C147" s="80"/>
      <c r="D147" s="38" t="s">
        <v>267</v>
      </c>
      <c r="E147" s="39" t="s">
        <v>268</v>
      </c>
      <c r="F147" s="40">
        <f>+F148</f>
        <v>1126200000</v>
      </c>
      <c r="G147" s="41">
        <f>+G148</f>
        <v>0</v>
      </c>
      <c r="H147" s="41">
        <f>+H148</f>
        <v>192790000</v>
      </c>
      <c r="I147" s="41">
        <f>+G147+H147</f>
        <v>192790000</v>
      </c>
      <c r="J147" s="41">
        <f>+J148</f>
        <v>0</v>
      </c>
      <c r="K147" s="41">
        <f>+K148</f>
        <v>0</v>
      </c>
      <c r="L147" s="41">
        <f>+J147+K147</f>
        <v>0</v>
      </c>
      <c r="M147" s="41">
        <f t="shared" si="64"/>
        <v>192790000</v>
      </c>
      <c r="N147" s="40">
        <f>+F147-M147</f>
        <v>933410000</v>
      </c>
      <c r="P147" s="199"/>
      <c r="R147" s="43"/>
      <c r="S147" s="282"/>
      <c r="T147" s="282"/>
      <c r="U147" s="251"/>
    </row>
    <row r="148" spans="1:21" s="67" customFormat="1" ht="18" customHeight="1" x14ac:dyDescent="0.25">
      <c r="A148" s="81"/>
      <c r="B148" s="82"/>
      <c r="C148" s="44"/>
      <c r="D148" s="45" t="s">
        <v>78</v>
      </c>
      <c r="E148" s="45" t="s">
        <v>75</v>
      </c>
      <c r="F148" s="47">
        <f>+F149+F159+F156</f>
        <v>1126200000</v>
      </c>
      <c r="G148" s="70">
        <f>+G149+G159</f>
        <v>0</v>
      </c>
      <c r="H148" s="70">
        <f>+H149+H159</f>
        <v>192790000</v>
      </c>
      <c r="I148" s="70">
        <f>+G148+H148</f>
        <v>192790000</v>
      </c>
      <c r="J148" s="70">
        <f>+J149+J159</f>
        <v>0</v>
      </c>
      <c r="K148" s="70">
        <f>+K149+K159</f>
        <v>0</v>
      </c>
      <c r="L148" s="70">
        <f>+J148+K148</f>
        <v>0</v>
      </c>
      <c r="M148" s="70">
        <f t="shared" si="64"/>
        <v>192790000</v>
      </c>
      <c r="N148" s="47">
        <f>+F148-M148</f>
        <v>933410000</v>
      </c>
      <c r="P148" s="192"/>
      <c r="S148" s="282"/>
      <c r="T148" s="282"/>
      <c r="U148" s="249"/>
    </row>
    <row r="149" spans="1:21" s="55" customFormat="1" ht="18" customHeight="1" x14ac:dyDescent="0.25">
      <c r="A149" s="50"/>
      <c r="B149" s="51"/>
      <c r="C149" s="50"/>
      <c r="D149" s="71" t="s">
        <v>269</v>
      </c>
      <c r="E149" s="51" t="s">
        <v>270</v>
      </c>
      <c r="F149" s="53">
        <f>+F153+F150</f>
        <v>385400000</v>
      </c>
      <c r="G149" s="72">
        <f>+G153</f>
        <v>0</v>
      </c>
      <c r="H149" s="72">
        <f>+H153</f>
        <v>0</v>
      </c>
      <c r="I149" s="72">
        <f>+G149+H149</f>
        <v>0</v>
      </c>
      <c r="J149" s="72">
        <f>+J153</f>
        <v>0</v>
      </c>
      <c r="K149" s="72">
        <f>+K153+K150</f>
        <v>0</v>
      </c>
      <c r="L149" s="72">
        <f>+J149+K149</f>
        <v>0</v>
      </c>
      <c r="M149" s="72">
        <f t="shared" si="64"/>
        <v>0</v>
      </c>
      <c r="N149" s="53">
        <f>+F149-M149</f>
        <v>385400000</v>
      </c>
      <c r="P149" s="195"/>
      <c r="S149" s="282"/>
      <c r="T149" s="282"/>
      <c r="U149" s="243"/>
    </row>
    <row r="150" spans="1:21" s="67" customFormat="1" ht="18" customHeight="1" x14ac:dyDescent="0.25">
      <c r="A150" s="83"/>
      <c r="B150" s="84"/>
      <c r="C150" s="56"/>
      <c r="D150" s="57" t="s">
        <v>76</v>
      </c>
      <c r="E150" s="57" t="s">
        <v>484</v>
      </c>
      <c r="F150" s="58">
        <f>F151+F152</f>
        <v>180100000</v>
      </c>
      <c r="G150" s="59">
        <f>G151</f>
        <v>0</v>
      </c>
      <c r="H150" s="59">
        <f>+H151</f>
        <v>0</v>
      </c>
      <c r="I150" s="59">
        <f>+G150+H150</f>
        <v>0</v>
      </c>
      <c r="J150" s="59">
        <f>J151</f>
        <v>0</v>
      </c>
      <c r="K150" s="59">
        <f>+K151</f>
        <v>0</v>
      </c>
      <c r="L150" s="59">
        <f>+J150+K150</f>
        <v>0</v>
      </c>
      <c r="M150" s="59">
        <f t="shared" si="64"/>
        <v>0</v>
      </c>
      <c r="N150" s="58">
        <f>+F150-M150</f>
        <v>180100000</v>
      </c>
      <c r="P150" s="192"/>
      <c r="S150" s="282"/>
      <c r="T150" s="282"/>
      <c r="U150" s="249"/>
    </row>
    <row r="151" spans="1:21" s="86" customFormat="1" ht="18" customHeight="1" x14ac:dyDescent="0.25">
      <c r="A151" s="85"/>
      <c r="B151" s="66"/>
      <c r="C151" s="61"/>
      <c r="D151" s="62" t="s">
        <v>393</v>
      </c>
      <c r="E151" s="62" t="s">
        <v>394</v>
      </c>
      <c r="F151" s="63">
        <v>99600000</v>
      </c>
      <c r="G151" s="75"/>
      <c r="H151" s="75"/>
      <c r="I151" s="75">
        <f t="shared" ref="I151:I152" si="66">+G151+H151</f>
        <v>0</v>
      </c>
      <c r="J151" s="75"/>
      <c r="K151" s="75"/>
      <c r="L151" s="75">
        <f t="shared" ref="L151:L152" si="67">+J151+K151</f>
        <v>0</v>
      </c>
      <c r="M151" s="75">
        <f t="shared" si="64"/>
        <v>0</v>
      </c>
      <c r="N151" s="63">
        <f t="shared" ref="N151:N152" si="68">+F151-M151</f>
        <v>99600000</v>
      </c>
      <c r="P151" s="194"/>
      <c r="S151" s="282"/>
      <c r="T151" s="282"/>
      <c r="U151" s="250"/>
    </row>
    <row r="152" spans="1:21" s="86" customFormat="1" ht="18" customHeight="1" x14ac:dyDescent="0.25">
      <c r="A152" s="85"/>
      <c r="B152" s="66"/>
      <c r="C152" s="61"/>
      <c r="D152" s="62" t="s">
        <v>117</v>
      </c>
      <c r="E152" s="62" t="s">
        <v>118</v>
      </c>
      <c r="F152" s="63">
        <v>80500000</v>
      </c>
      <c r="G152" s="75"/>
      <c r="H152" s="75"/>
      <c r="I152" s="75">
        <f t="shared" si="66"/>
        <v>0</v>
      </c>
      <c r="J152" s="75"/>
      <c r="K152" s="75"/>
      <c r="L152" s="75">
        <f t="shared" si="67"/>
        <v>0</v>
      </c>
      <c r="M152" s="75">
        <f t="shared" si="64"/>
        <v>0</v>
      </c>
      <c r="N152" s="63">
        <f t="shared" si="68"/>
        <v>80500000</v>
      </c>
      <c r="P152" s="194"/>
      <c r="S152" s="282"/>
      <c r="T152" s="282"/>
      <c r="U152" s="250"/>
    </row>
    <row r="153" spans="1:21" s="67" customFormat="1" ht="18" customHeight="1" x14ac:dyDescent="0.25">
      <c r="A153" s="83"/>
      <c r="B153" s="84"/>
      <c r="C153" s="56"/>
      <c r="D153" s="57" t="s">
        <v>92</v>
      </c>
      <c r="E153" s="57" t="s">
        <v>94</v>
      </c>
      <c r="F153" s="58">
        <f>F154+F155</f>
        <v>205300000</v>
      </c>
      <c r="G153" s="59">
        <f>+G154+G155</f>
        <v>0</v>
      </c>
      <c r="H153" s="59">
        <f>+H154+H155</f>
        <v>0</v>
      </c>
      <c r="I153" s="59">
        <f>+G153+H153</f>
        <v>0</v>
      </c>
      <c r="J153" s="59">
        <f>J154+J155</f>
        <v>0</v>
      </c>
      <c r="K153" s="59">
        <f>+K154+K155</f>
        <v>0</v>
      </c>
      <c r="L153" s="59">
        <f>+J153+K153</f>
        <v>0</v>
      </c>
      <c r="M153" s="59">
        <f t="shared" si="64"/>
        <v>0</v>
      </c>
      <c r="N153" s="58">
        <f>+F153-M153</f>
        <v>205300000</v>
      </c>
      <c r="P153" s="192"/>
      <c r="S153" s="282"/>
      <c r="T153" s="282"/>
      <c r="U153" s="249"/>
    </row>
    <row r="154" spans="1:21" s="86" customFormat="1" ht="18" customHeight="1" x14ac:dyDescent="0.25">
      <c r="A154" s="85"/>
      <c r="B154" s="66"/>
      <c r="C154" s="61"/>
      <c r="D154" s="62" t="s">
        <v>93</v>
      </c>
      <c r="E154" s="62" t="s">
        <v>95</v>
      </c>
      <c r="F154" s="63">
        <v>180000000</v>
      </c>
      <c r="G154" s="75"/>
      <c r="H154" s="75"/>
      <c r="I154" s="75">
        <f t="shared" ref="I154:I155" si="69">+G154+H154</f>
        <v>0</v>
      </c>
      <c r="J154" s="75"/>
      <c r="K154" s="75"/>
      <c r="L154" s="75">
        <f t="shared" ref="L154:L164" si="70">+J154+K154</f>
        <v>0</v>
      </c>
      <c r="M154" s="75">
        <f t="shared" si="64"/>
        <v>0</v>
      </c>
      <c r="N154" s="63">
        <f t="shared" ref="N154:N155" si="71">+F154-M154</f>
        <v>180000000</v>
      </c>
      <c r="P154" s="194"/>
      <c r="S154" s="282"/>
      <c r="T154" s="282"/>
      <c r="U154" s="250"/>
    </row>
    <row r="155" spans="1:21" s="86" customFormat="1" ht="18" customHeight="1" x14ac:dyDescent="0.25">
      <c r="A155" s="85"/>
      <c r="B155" s="66"/>
      <c r="C155" s="61"/>
      <c r="D155" s="62" t="s">
        <v>397</v>
      </c>
      <c r="E155" s="62" t="s">
        <v>398</v>
      </c>
      <c r="F155" s="63">
        <v>25300000</v>
      </c>
      <c r="G155" s="75"/>
      <c r="H155" s="75"/>
      <c r="I155" s="75">
        <f t="shared" si="69"/>
        <v>0</v>
      </c>
      <c r="J155" s="75"/>
      <c r="K155" s="75"/>
      <c r="L155" s="75">
        <f t="shared" si="70"/>
        <v>0</v>
      </c>
      <c r="M155" s="75">
        <f t="shared" si="64"/>
        <v>0</v>
      </c>
      <c r="N155" s="63">
        <f t="shared" si="71"/>
        <v>25300000</v>
      </c>
      <c r="P155" s="194"/>
      <c r="S155" s="282"/>
      <c r="T155" s="282"/>
      <c r="U155" s="250"/>
    </row>
    <row r="156" spans="1:21" s="55" customFormat="1" ht="18" customHeight="1" x14ac:dyDescent="0.25">
      <c r="A156" s="50"/>
      <c r="B156" s="51"/>
      <c r="C156" s="50"/>
      <c r="D156" s="71" t="s">
        <v>399</v>
      </c>
      <c r="E156" s="51" t="s">
        <v>400</v>
      </c>
      <c r="F156" s="53">
        <f>+F157</f>
        <v>200000000</v>
      </c>
      <c r="G156" s="72">
        <f>+G160</f>
        <v>0</v>
      </c>
      <c r="H156" s="72">
        <f>+H160</f>
        <v>192790000</v>
      </c>
      <c r="I156" s="72">
        <f>+G156+H156</f>
        <v>192790000</v>
      </c>
      <c r="J156" s="72">
        <f>+J160</f>
        <v>0</v>
      </c>
      <c r="K156" s="72">
        <f>+K160+K157</f>
        <v>0</v>
      </c>
      <c r="L156" s="72">
        <f>+J156+K156</f>
        <v>0</v>
      </c>
      <c r="M156" s="72">
        <f t="shared" si="64"/>
        <v>192790000</v>
      </c>
      <c r="N156" s="53">
        <f>+F156-M156</f>
        <v>7210000</v>
      </c>
      <c r="P156" s="195"/>
      <c r="S156" s="282"/>
      <c r="T156" s="282"/>
      <c r="U156" s="243"/>
    </row>
    <row r="157" spans="1:21" s="67" customFormat="1" ht="18" customHeight="1" x14ac:dyDescent="0.25">
      <c r="A157" s="83"/>
      <c r="B157" s="84"/>
      <c r="C157" s="56"/>
      <c r="D157" s="57" t="s">
        <v>401</v>
      </c>
      <c r="E157" s="57" t="s">
        <v>402</v>
      </c>
      <c r="F157" s="58">
        <f>+F158</f>
        <v>200000000</v>
      </c>
      <c r="G157" s="59">
        <f>G158</f>
        <v>0</v>
      </c>
      <c r="H157" s="59">
        <f>+H158</f>
        <v>0</v>
      </c>
      <c r="I157" s="59">
        <f>+G157+H157</f>
        <v>0</v>
      </c>
      <c r="J157" s="59">
        <f>J158</f>
        <v>0</v>
      </c>
      <c r="K157" s="59">
        <f>+K158</f>
        <v>0</v>
      </c>
      <c r="L157" s="59">
        <f>+J157+K157</f>
        <v>0</v>
      </c>
      <c r="M157" s="59">
        <f t="shared" si="64"/>
        <v>0</v>
      </c>
      <c r="N157" s="58">
        <f>+F157-M157</f>
        <v>200000000</v>
      </c>
      <c r="P157" s="192"/>
      <c r="S157" s="282"/>
      <c r="T157" s="282"/>
      <c r="U157" s="249"/>
    </row>
    <row r="158" spans="1:21" s="86" customFormat="1" ht="18" customHeight="1" x14ac:dyDescent="0.25">
      <c r="A158" s="85"/>
      <c r="B158" s="66"/>
      <c r="C158" s="61"/>
      <c r="D158" s="62" t="s">
        <v>459</v>
      </c>
      <c r="E158" s="62" t="s">
        <v>460</v>
      </c>
      <c r="F158" s="63">
        <v>200000000</v>
      </c>
      <c r="G158" s="75"/>
      <c r="H158" s="75"/>
      <c r="I158" s="75">
        <f t="shared" ref="I158" si="72">+G158+H158</f>
        <v>0</v>
      </c>
      <c r="J158" s="75"/>
      <c r="K158" s="75"/>
      <c r="L158" s="75">
        <f t="shared" ref="L158" si="73">+J158+K158</f>
        <v>0</v>
      </c>
      <c r="M158" s="75">
        <f t="shared" si="64"/>
        <v>0</v>
      </c>
      <c r="N158" s="63">
        <f t="shared" ref="N158" si="74">+F158-M158</f>
        <v>200000000</v>
      </c>
      <c r="P158" s="194"/>
      <c r="S158" s="282"/>
      <c r="T158" s="282"/>
      <c r="U158" s="250"/>
    </row>
    <row r="159" spans="1:21" s="55" customFormat="1" ht="18" customHeight="1" x14ac:dyDescent="0.25">
      <c r="A159" s="50"/>
      <c r="B159" s="51"/>
      <c r="C159" s="50"/>
      <c r="D159" s="71" t="s">
        <v>273</v>
      </c>
      <c r="E159" s="51" t="s">
        <v>274</v>
      </c>
      <c r="F159" s="53">
        <f>+F160+F162</f>
        <v>540800000</v>
      </c>
      <c r="G159" s="72">
        <f>+G160+G162</f>
        <v>0</v>
      </c>
      <c r="H159" s="72">
        <f>+H160+H162</f>
        <v>192790000</v>
      </c>
      <c r="I159" s="72">
        <f>+G159+H159</f>
        <v>192790000</v>
      </c>
      <c r="J159" s="72">
        <f t="shared" ref="J159:K160" si="75">+J160</f>
        <v>0</v>
      </c>
      <c r="K159" s="72">
        <f t="shared" si="75"/>
        <v>0</v>
      </c>
      <c r="L159" s="72">
        <f t="shared" si="70"/>
        <v>0</v>
      </c>
      <c r="M159" s="72">
        <f t="shared" si="64"/>
        <v>192790000</v>
      </c>
      <c r="N159" s="53">
        <f>+F159-M159</f>
        <v>348010000</v>
      </c>
      <c r="P159" s="195"/>
      <c r="S159" s="282"/>
      <c r="T159" s="282"/>
      <c r="U159" s="243"/>
    </row>
    <row r="160" spans="1:21" s="67" customFormat="1" ht="18" customHeight="1" x14ac:dyDescent="0.25">
      <c r="A160" s="83"/>
      <c r="B160" s="84"/>
      <c r="C160" s="56"/>
      <c r="D160" s="57" t="s">
        <v>96</v>
      </c>
      <c r="E160" s="57" t="s">
        <v>98</v>
      </c>
      <c r="F160" s="58">
        <f>F161</f>
        <v>335000000</v>
      </c>
      <c r="G160" s="59">
        <f>+G161</f>
        <v>0</v>
      </c>
      <c r="H160" s="59">
        <f>+H161</f>
        <v>192790000</v>
      </c>
      <c r="I160" s="59">
        <f>+G160+H160</f>
        <v>192790000</v>
      </c>
      <c r="J160" s="59">
        <f>+J161</f>
        <v>0</v>
      </c>
      <c r="K160" s="59">
        <f t="shared" si="75"/>
        <v>0</v>
      </c>
      <c r="L160" s="59">
        <f t="shared" si="70"/>
        <v>0</v>
      </c>
      <c r="M160" s="59">
        <f t="shared" si="64"/>
        <v>192790000</v>
      </c>
      <c r="N160" s="58">
        <f>+F160-M160</f>
        <v>142210000</v>
      </c>
      <c r="P160" s="192"/>
      <c r="S160" s="282"/>
      <c r="T160" s="282"/>
      <c r="U160" s="249"/>
    </row>
    <row r="161" spans="1:21" s="86" customFormat="1" ht="18" customHeight="1" x14ac:dyDescent="0.25">
      <c r="A161" s="85"/>
      <c r="B161" s="66"/>
      <c r="C161" s="61"/>
      <c r="D161" s="62" t="s">
        <v>97</v>
      </c>
      <c r="E161" s="62" t="s">
        <v>99</v>
      </c>
      <c r="F161" s="63">
        <v>335000000</v>
      </c>
      <c r="G161" s="75"/>
      <c r="H161" s="75">
        <v>192790000</v>
      </c>
      <c r="I161" s="75">
        <f t="shared" si="59"/>
        <v>192790000</v>
      </c>
      <c r="J161" s="75"/>
      <c r="K161" s="75"/>
      <c r="L161" s="75">
        <f t="shared" si="70"/>
        <v>0</v>
      </c>
      <c r="M161" s="75">
        <f t="shared" si="64"/>
        <v>192790000</v>
      </c>
      <c r="N161" s="63">
        <f t="shared" ref="N161" si="76">+F161-M161</f>
        <v>142210000</v>
      </c>
      <c r="P161" s="194"/>
      <c r="S161" s="282"/>
      <c r="T161" s="281">
        <v>192790000</v>
      </c>
      <c r="U161" s="250"/>
    </row>
    <row r="162" spans="1:21" s="67" customFormat="1" ht="18" customHeight="1" x14ac:dyDescent="0.25">
      <c r="A162" s="83"/>
      <c r="B162" s="84"/>
      <c r="C162" s="56"/>
      <c r="D162" s="57" t="s">
        <v>382</v>
      </c>
      <c r="E162" s="57" t="s">
        <v>383</v>
      </c>
      <c r="F162" s="58">
        <f>SUM(F163:F164)</f>
        <v>205800000</v>
      </c>
      <c r="G162" s="59">
        <f>SUM(G163:G164)</f>
        <v>0</v>
      </c>
      <c r="H162" s="59">
        <f>SUM(H163:H164)</f>
        <v>0</v>
      </c>
      <c r="I162" s="59">
        <f>+G162+H162</f>
        <v>0</v>
      </c>
      <c r="J162" s="59">
        <f>SUM(J163:J164)</f>
        <v>0</v>
      </c>
      <c r="K162" s="59">
        <f>SUM(K163:K164)</f>
        <v>0</v>
      </c>
      <c r="L162" s="59">
        <f>+J162+K162</f>
        <v>0</v>
      </c>
      <c r="M162" s="59">
        <f t="shared" si="64"/>
        <v>0</v>
      </c>
      <c r="N162" s="58">
        <f>+F162-M162</f>
        <v>205800000</v>
      </c>
      <c r="P162" s="192"/>
      <c r="S162" s="282"/>
      <c r="T162" s="282"/>
      <c r="U162" s="249"/>
    </row>
    <row r="163" spans="1:21" s="86" customFormat="1" ht="18" customHeight="1" x14ac:dyDescent="0.25">
      <c r="A163" s="85"/>
      <c r="B163" s="66"/>
      <c r="C163" s="61"/>
      <c r="D163" s="62" t="s">
        <v>384</v>
      </c>
      <c r="E163" s="62" t="s">
        <v>385</v>
      </c>
      <c r="F163" s="63">
        <v>170400000</v>
      </c>
      <c r="G163" s="75"/>
      <c r="H163" s="75"/>
      <c r="I163" s="75">
        <f t="shared" si="59"/>
        <v>0</v>
      </c>
      <c r="J163" s="75"/>
      <c r="K163" s="75"/>
      <c r="L163" s="75">
        <f t="shared" si="70"/>
        <v>0</v>
      </c>
      <c r="M163" s="75">
        <f t="shared" si="64"/>
        <v>0</v>
      </c>
      <c r="N163" s="63">
        <f t="shared" ref="N163:N164" si="77">+F163-M163</f>
        <v>170400000</v>
      </c>
      <c r="P163" s="194"/>
      <c r="S163" s="282"/>
      <c r="T163" s="282"/>
      <c r="U163" s="250"/>
    </row>
    <row r="164" spans="1:21" s="144" customFormat="1" ht="18" customHeight="1" x14ac:dyDescent="0.25">
      <c r="A164" s="142"/>
      <c r="B164" s="143"/>
      <c r="C164" s="123"/>
      <c r="D164" s="124" t="s">
        <v>386</v>
      </c>
      <c r="E164" s="124" t="s">
        <v>387</v>
      </c>
      <c r="F164" s="125">
        <v>35400000</v>
      </c>
      <c r="G164" s="140"/>
      <c r="H164" s="140"/>
      <c r="I164" s="140">
        <f t="shared" si="59"/>
        <v>0</v>
      </c>
      <c r="J164" s="140"/>
      <c r="K164" s="140"/>
      <c r="L164" s="140">
        <f t="shared" si="70"/>
        <v>0</v>
      </c>
      <c r="M164" s="140">
        <f t="shared" si="64"/>
        <v>0</v>
      </c>
      <c r="N164" s="125">
        <f t="shared" si="77"/>
        <v>35400000</v>
      </c>
      <c r="P164" s="196"/>
      <c r="S164" s="286"/>
      <c r="T164" s="286"/>
      <c r="U164" s="252"/>
    </row>
    <row r="165" spans="1:21" s="121" customFormat="1" ht="18" customHeight="1" x14ac:dyDescent="0.25">
      <c r="A165" s="116">
        <v>7</v>
      </c>
      <c r="B165" s="117"/>
      <c r="C165" s="145" t="s">
        <v>102</v>
      </c>
      <c r="D165" s="118"/>
      <c r="E165" s="128" t="s">
        <v>103</v>
      </c>
      <c r="F165" s="119">
        <f t="shared" ref="F165:H168" si="78">+F166</f>
        <v>540210000</v>
      </c>
      <c r="G165" s="120">
        <f t="shared" si="78"/>
        <v>0</v>
      </c>
      <c r="H165" s="120">
        <f t="shared" si="78"/>
        <v>0</v>
      </c>
      <c r="I165" s="120">
        <f>+G165+H165</f>
        <v>0</v>
      </c>
      <c r="J165" s="120">
        <f>+J166</f>
        <v>83750000</v>
      </c>
      <c r="K165" s="120">
        <f t="shared" ref="J165:K168" si="79">+K166</f>
        <v>12450000</v>
      </c>
      <c r="L165" s="120">
        <f>+J165+K165</f>
        <v>96200000</v>
      </c>
      <c r="M165" s="120">
        <f>+I165+L165</f>
        <v>96200000</v>
      </c>
      <c r="N165" s="119">
        <f>+F165-M165</f>
        <v>444010000</v>
      </c>
      <c r="P165" s="190"/>
      <c r="R165" s="122"/>
      <c r="S165" s="283"/>
      <c r="T165" s="283"/>
      <c r="U165" s="246"/>
    </row>
    <row r="166" spans="1:21" s="107" customFormat="1" ht="18" customHeight="1" x14ac:dyDescent="0.25">
      <c r="A166" s="101"/>
      <c r="B166" s="102"/>
      <c r="C166" s="141"/>
      <c r="D166" s="103" t="s">
        <v>207</v>
      </c>
      <c r="E166" s="104" t="s">
        <v>262</v>
      </c>
      <c r="F166" s="105">
        <f t="shared" si="78"/>
        <v>540210000</v>
      </c>
      <c r="G166" s="106">
        <f t="shared" si="78"/>
        <v>0</v>
      </c>
      <c r="H166" s="106">
        <f t="shared" si="78"/>
        <v>0</v>
      </c>
      <c r="I166" s="106">
        <f>+G166+H166</f>
        <v>0</v>
      </c>
      <c r="J166" s="106">
        <f t="shared" si="79"/>
        <v>83750000</v>
      </c>
      <c r="K166" s="106">
        <f t="shared" si="79"/>
        <v>12450000</v>
      </c>
      <c r="L166" s="106">
        <f>+J166+K166</f>
        <v>96200000</v>
      </c>
      <c r="M166" s="106">
        <f t="shared" ref="M166:M169" si="80">+I166+L166</f>
        <v>96200000</v>
      </c>
      <c r="N166" s="105">
        <f>+F166-M166</f>
        <v>444010000</v>
      </c>
      <c r="P166" s="191"/>
      <c r="R166" s="108"/>
      <c r="S166" s="284"/>
      <c r="T166" s="284"/>
      <c r="U166" s="241"/>
    </row>
    <row r="167" spans="1:21" s="67" customFormat="1" ht="18" customHeight="1" x14ac:dyDescent="0.25">
      <c r="A167" s="81"/>
      <c r="B167" s="82"/>
      <c r="C167" s="44"/>
      <c r="D167" s="45" t="s">
        <v>63</v>
      </c>
      <c r="E167" s="45" t="s">
        <v>30</v>
      </c>
      <c r="F167" s="47">
        <f t="shared" si="78"/>
        <v>540210000</v>
      </c>
      <c r="G167" s="70">
        <f t="shared" si="78"/>
        <v>0</v>
      </c>
      <c r="H167" s="70">
        <f t="shared" si="78"/>
        <v>0</v>
      </c>
      <c r="I167" s="70">
        <f>+G167+H167</f>
        <v>0</v>
      </c>
      <c r="J167" s="70">
        <f t="shared" si="79"/>
        <v>83750000</v>
      </c>
      <c r="K167" s="70">
        <f t="shared" si="79"/>
        <v>12450000</v>
      </c>
      <c r="L167" s="70">
        <f>+J167+K167</f>
        <v>96200000</v>
      </c>
      <c r="M167" s="70">
        <f t="shared" si="80"/>
        <v>96200000</v>
      </c>
      <c r="N167" s="47">
        <f>+F167-M167</f>
        <v>444010000</v>
      </c>
      <c r="P167" s="192"/>
      <c r="S167" s="282"/>
      <c r="T167" s="282"/>
      <c r="U167" s="249"/>
    </row>
    <row r="168" spans="1:21" s="55" customFormat="1" ht="18" customHeight="1" x14ac:dyDescent="0.25">
      <c r="A168" s="50"/>
      <c r="B168" s="51"/>
      <c r="C168" s="50"/>
      <c r="D168" s="71" t="s">
        <v>263</v>
      </c>
      <c r="E168" s="51" t="s">
        <v>264</v>
      </c>
      <c r="F168" s="53">
        <f t="shared" si="78"/>
        <v>540210000</v>
      </c>
      <c r="G168" s="72">
        <f>+G169</f>
        <v>0</v>
      </c>
      <c r="H168" s="72">
        <f>+H169</f>
        <v>0</v>
      </c>
      <c r="I168" s="72">
        <f>+G168+H168</f>
        <v>0</v>
      </c>
      <c r="J168" s="72">
        <f t="shared" si="79"/>
        <v>83750000</v>
      </c>
      <c r="K168" s="72">
        <f t="shared" si="79"/>
        <v>12450000</v>
      </c>
      <c r="L168" s="72">
        <f>+J168+K168</f>
        <v>96200000</v>
      </c>
      <c r="M168" s="72">
        <f t="shared" si="80"/>
        <v>96200000</v>
      </c>
      <c r="N168" s="53">
        <f>+F168-M168</f>
        <v>444010000</v>
      </c>
      <c r="P168" s="195"/>
      <c r="S168" s="282"/>
      <c r="T168" s="282"/>
      <c r="U168" s="243"/>
    </row>
    <row r="169" spans="1:21" s="67" customFormat="1" ht="18" customHeight="1" x14ac:dyDescent="0.25">
      <c r="A169" s="83"/>
      <c r="B169" s="84"/>
      <c r="C169" s="56"/>
      <c r="D169" s="57" t="s">
        <v>64</v>
      </c>
      <c r="E169" s="57" t="s">
        <v>65</v>
      </c>
      <c r="F169" s="58">
        <f>SUM(F170:F172)</f>
        <v>540210000</v>
      </c>
      <c r="G169" s="59">
        <f>SUM(G170:G172)</f>
        <v>0</v>
      </c>
      <c r="H169" s="59">
        <f>SUM(H170:H172)</f>
        <v>0</v>
      </c>
      <c r="I169" s="59">
        <f>+G169+H169</f>
        <v>0</v>
      </c>
      <c r="J169" s="59">
        <f>SUM(J170:J172)</f>
        <v>83750000</v>
      </c>
      <c r="K169" s="59">
        <f>SUM(K170:K172)</f>
        <v>12450000</v>
      </c>
      <c r="L169" s="59">
        <f>+J169+K169</f>
        <v>96200000</v>
      </c>
      <c r="M169" s="59">
        <f t="shared" si="80"/>
        <v>96200000</v>
      </c>
      <c r="N169" s="58">
        <f>+F169-M169</f>
        <v>444010000</v>
      </c>
      <c r="P169" s="192"/>
      <c r="S169" s="282"/>
      <c r="T169" s="282"/>
      <c r="U169" s="249"/>
    </row>
    <row r="170" spans="1:21" s="86" customFormat="1" ht="18" customHeight="1" x14ac:dyDescent="0.25">
      <c r="A170" s="85"/>
      <c r="B170" s="66"/>
      <c r="C170" s="61"/>
      <c r="D170" s="62" t="s">
        <v>388</v>
      </c>
      <c r="E170" s="62" t="s">
        <v>389</v>
      </c>
      <c r="F170" s="63">
        <v>57760000</v>
      </c>
      <c r="G170" s="75"/>
      <c r="H170" s="75"/>
      <c r="I170" s="75">
        <f t="shared" ref="I170" si="81">+G170+H170</f>
        <v>0</v>
      </c>
      <c r="J170" s="75">
        <v>8000000</v>
      </c>
      <c r="K170" s="75">
        <f>2990000+460000</f>
        <v>3450000</v>
      </c>
      <c r="L170" s="75">
        <f t="shared" ref="L170:L172" si="82">+J170+K170</f>
        <v>11450000</v>
      </c>
      <c r="M170" s="75">
        <f>+I170+L170</f>
        <v>11450000</v>
      </c>
      <c r="N170" s="63">
        <f t="shared" ref="N170:N172" si="83">+F170-M170</f>
        <v>46310000</v>
      </c>
      <c r="P170" s="194"/>
      <c r="S170" s="281">
        <f>460000+2990000</f>
        <v>3450000</v>
      </c>
      <c r="T170" s="282"/>
      <c r="U170" s="250"/>
    </row>
    <row r="171" spans="1:21" s="86" customFormat="1" ht="18" customHeight="1" x14ac:dyDescent="0.25">
      <c r="A171" s="85"/>
      <c r="B171" s="66"/>
      <c r="C171" s="61"/>
      <c r="D171" s="62" t="s">
        <v>70</v>
      </c>
      <c r="E171" s="62" t="s">
        <v>33</v>
      </c>
      <c r="F171" s="63">
        <v>382450000</v>
      </c>
      <c r="G171" s="75"/>
      <c r="H171" s="75"/>
      <c r="I171" s="75">
        <f>+G171+H171</f>
        <v>0</v>
      </c>
      <c r="J171" s="75">
        <v>75750000</v>
      </c>
      <c r="K171" s="75">
        <f>3500000+1250000+2500000+1750000</f>
        <v>9000000</v>
      </c>
      <c r="L171" s="75">
        <f t="shared" si="82"/>
        <v>84750000</v>
      </c>
      <c r="M171" s="75">
        <f t="shared" ref="M171:M172" si="84">+I171+L171</f>
        <v>84750000</v>
      </c>
      <c r="N171" s="63">
        <f t="shared" si="83"/>
        <v>297700000</v>
      </c>
      <c r="P171" s="194"/>
      <c r="S171" s="281">
        <f>1000000+750000+1250000+2500000+3500000</f>
        <v>9000000</v>
      </c>
      <c r="T171" s="282"/>
      <c r="U171" s="250"/>
    </row>
    <row r="172" spans="1:21" s="144" customFormat="1" ht="18" customHeight="1" x14ac:dyDescent="0.25">
      <c r="A172" s="142"/>
      <c r="B172" s="143"/>
      <c r="C172" s="123"/>
      <c r="D172" s="124" t="s">
        <v>104</v>
      </c>
      <c r="E172" s="124" t="s">
        <v>390</v>
      </c>
      <c r="F172" s="125">
        <v>100000000</v>
      </c>
      <c r="G172" s="140"/>
      <c r="H172" s="140"/>
      <c r="I172" s="140"/>
      <c r="J172" s="140">
        <v>0</v>
      </c>
      <c r="K172" s="140"/>
      <c r="L172" s="140">
        <f t="shared" si="82"/>
        <v>0</v>
      </c>
      <c r="M172" s="140">
        <f t="shared" si="84"/>
        <v>0</v>
      </c>
      <c r="N172" s="125">
        <f t="shared" si="83"/>
        <v>100000000</v>
      </c>
      <c r="P172" s="196"/>
      <c r="S172" s="286"/>
      <c r="T172" s="286"/>
      <c r="U172" s="252"/>
    </row>
    <row r="173" spans="1:21" s="121" customFormat="1" ht="18" customHeight="1" x14ac:dyDescent="0.25">
      <c r="A173" s="116">
        <v>8</v>
      </c>
      <c r="B173" s="117"/>
      <c r="C173" s="145" t="s">
        <v>105</v>
      </c>
      <c r="D173" s="118"/>
      <c r="E173" s="128" t="s">
        <v>106</v>
      </c>
      <c r="F173" s="119">
        <f t="shared" ref="F173:H180" si="85">+F174</f>
        <v>1600450000</v>
      </c>
      <c r="G173" s="120">
        <f t="shared" si="85"/>
        <v>296175000</v>
      </c>
      <c r="H173" s="120">
        <f>+H174</f>
        <v>0</v>
      </c>
      <c r="I173" s="120">
        <f>+G173+H173</f>
        <v>296175000</v>
      </c>
      <c r="J173" s="120">
        <f t="shared" ref="J173:K180" si="86">+J174</f>
        <v>64609600</v>
      </c>
      <c r="K173" s="120">
        <f t="shared" si="86"/>
        <v>796100</v>
      </c>
      <c r="L173" s="120">
        <f>+J173+K173</f>
        <v>65405700</v>
      </c>
      <c r="M173" s="120">
        <f>+I173+L173</f>
        <v>361580700</v>
      </c>
      <c r="N173" s="119">
        <f>+F173-M173</f>
        <v>1238869300</v>
      </c>
      <c r="P173" s="190"/>
      <c r="R173" s="122"/>
      <c r="S173" s="283"/>
      <c r="T173" s="283"/>
      <c r="U173" s="246"/>
    </row>
    <row r="174" spans="1:21" s="107" customFormat="1" ht="18" customHeight="1" x14ac:dyDescent="0.25">
      <c r="A174" s="101"/>
      <c r="B174" s="102"/>
      <c r="C174" s="141"/>
      <c r="D174" s="103" t="s">
        <v>207</v>
      </c>
      <c r="E174" s="104" t="s">
        <v>262</v>
      </c>
      <c r="F174" s="105">
        <f>+F175</f>
        <v>1600450000</v>
      </c>
      <c r="G174" s="106">
        <f t="shared" si="85"/>
        <v>296175000</v>
      </c>
      <c r="H174" s="106">
        <f t="shared" si="85"/>
        <v>0</v>
      </c>
      <c r="I174" s="106">
        <f>+G174+H174</f>
        <v>296175000</v>
      </c>
      <c r="J174" s="106">
        <f t="shared" si="86"/>
        <v>64609600</v>
      </c>
      <c r="K174" s="106">
        <f t="shared" si="86"/>
        <v>796100</v>
      </c>
      <c r="L174" s="106">
        <f>+J174+K174</f>
        <v>65405700</v>
      </c>
      <c r="M174" s="106">
        <f t="shared" ref="M174:M182" si="87">+I174+L174</f>
        <v>361580700</v>
      </c>
      <c r="N174" s="105">
        <f>+F174-M174</f>
        <v>1238869300</v>
      </c>
      <c r="P174" s="191"/>
      <c r="R174" s="108"/>
      <c r="S174" s="284"/>
      <c r="T174" s="284"/>
      <c r="U174" s="241"/>
    </row>
    <row r="175" spans="1:21" s="67" customFormat="1" ht="18" customHeight="1" x14ac:dyDescent="0.25">
      <c r="A175" s="81"/>
      <c r="B175" s="82"/>
      <c r="C175" s="44"/>
      <c r="D175" s="45" t="s">
        <v>63</v>
      </c>
      <c r="E175" s="45" t="s">
        <v>30</v>
      </c>
      <c r="F175" s="47">
        <f>+F180+F176</f>
        <v>1600450000</v>
      </c>
      <c r="G175" s="70">
        <f>+G180</f>
        <v>296175000</v>
      </c>
      <c r="H175" s="70">
        <f>+H180+H176</f>
        <v>0</v>
      </c>
      <c r="I175" s="70">
        <f>+G175+H175</f>
        <v>296175000</v>
      </c>
      <c r="J175" s="70">
        <f>+J180+J176</f>
        <v>64609600</v>
      </c>
      <c r="K175" s="70">
        <f>+K180+K176</f>
        <v>796100</v>
      </c>
      <c r="L175" s="70">
        <f>+J175+K175</f>
        <v>65405700</v>
      </c>
      <c r="M175" s="70">
        <f t="shared" si="87"/>
        <v>361580700</v>
      </c>
      <c r="N175" s="47">
        <f>+F175-M175</f>
        <v>1238869300</v>
      </c>
      <c r="P175" s="192"/>
      <c r="S175" s="282"/>
      <c r="T175" s="282"/>
      <c r="U175" s="249"/>
    </row>
    <row r="176" spans="1:21" s="55" customFormat="1" ht="18" customHeight="1" x14ac:dyDescent="0.25">
      <c r="A176" s="50"/>
      <c r="B176" s="51"/>
      <c r="C176" s="50"/>
      <c r="D176" s="71" t="s">
        <v>263</v>
      </c>
      <c r="E176" s="51" t="s">
        <v>264</v>
      </c>
      <c r="F176" s="53">
        <f>+F177</f>
        <v>32500000</v>
      </c>
      <c r="G176" s="72">
        <f>+G177</f>
        <v>0</v>
      </c>
      <c r="H176" s="72">
        <f>+H177</f>
        <v>0</v>
      </c>
      <c r="I176" s="72">
        <f>+G176+H176</f>
        <v>0</v>
      </c>
      <c r="J176" s="72">
        <f t="shared" si="86"/>
        <v>0</v>
      </c>
      <c r="K176" s="72">
        <f t="shared" si="86"/>
        <v>0</v>
      </c>
      <c r="L176" s="72">
        <f>+J176+K176</f>
        <v>0</v>
      </c>
      <c r="M176" s="72">
        <f t="shared" si="87"/>
        <v>0</v>
      </c>
      <c r="N176" s="53">
        <f>+F176-M176</f>
        <v>32500000</v>
      </c>
      <c r="P176" s="195"/>
      <c r="S176" s="282"/>
      <c r="T176" s="282"/>
      <c r="U176" s="243"/>
    </row>
    <row r="177" spans="1:21" s="67" customFormat="1" ht="18" customHeight="1" x14ac:dyDescent="0.25">
      <c r="A177" s="83"/>
      <c r="B177" s="84"/>
      <c r="C177" s="56"/>
      <c r="D177" s="57" t="s">
        <v>64</v>
      </c>
      <c r="E177" s="57" t="s">
        <v>65</v>
      </c>
      <c r="F177" s="58">
        <f>+F179+F178</f>
        <v>32500000</v>
      </c>
      <c r="G177" s="59">
        <f>+G179</f>
        <v>0</v>
      </c>
      <c r="H177" s="59">
        <f>SUM(H179)</f>
        <v>0</v>
      </c>
      <c r="I177" s="59">
        <f>+G177+H177</f>
        <v>0</v>
      </c>
      <c r="J177" s="59">
        <f>+J179</f>
        <v>0</v>
      </c>
      <c r="K177" s="59">
        <f>+K179</f>
        <v>0</v>
      </c>
      <c r="L177" s="59">
        <f>+J177+K177</f>
        <v>0</v>
      </c>
      <c r="M177" s="59">
        <f t="shared" si="87"/>
        <v>0</v>
      </c>
      <c r="N177" s="58">
        <f>+F177-M177</f>
        <v>32500000</v>
      </c>
      <c r="P177" s="192"/>
      <c r="S177" s="282"/>
      <c r="T177" s="282"/>
      <c r="U177" s="249"/>
    </row>
    <row r="178" spans="1:21" s="86" customFormat="1" ht="18" customHeight="1" x14ac:dyDescent="0.25">
      <c r="A178" s="85"/>
      <c r="B178" s="66"/>
      <c r="C178" s="61"/>
      <c r="D178" s="62" t="s">
        <v>443</v>
      </c>
      <c r="E178" s="62" t="s">
        <v>444</v>
      </c>
      <c r="F178" s="63">
        <v>17500000</v>
      </c>
      <c r="G178" s="75"/>
      <c r="H178" s="75"/>
      <c r="I178" s="75">
        <f t="shared" ref="I178:I179" si="88">+G178+H178</f>
        <v>0</v>
      </c>
      <c r="J178" s="75"/>
      <c r="K178" s="75"/>
      <c r="L178" s="75">
        <f t="shared" ref="L178:L179" si="89">+J178+K178</f>
        <v>0</v>
      </c>
      <c r="M178" s="75">
        <f t="shared" si="87"/>
        <v>0</v>
      </c>
      <c r="N178" s="63">
        <f t="shared" ref="N178:N179" si="90">+F178-M178</f>
        <v>17500000</v>
      </c>
      <c r="P178" s="194"/>
      <c r="S178" s="282"/>
      <c r="T178" s="282"/>
      <c r="U178" s="250"/>
    </row>
    <row r="179" spans="1:21" s="86" customFormat="1" ht="18" customHeight="1" x14ac:dyDescent="0.25">
      <c r="A179" s="85"/>
      <c r="B179" s="66"/>
      <c r="C179" s="61"/>
      <c r="D179" s="62" t="s">
        <v>447</v>
      </c>
      <c r="E179" s="62" t="s">
        <v>448</v>
      </c>
      <c r="F179" s="63">
        <v>15000000</v>
      </c>
      <c r="G179" s="75"/>
      <c r="H179" s="75"/>
      <c r="I179" s="75">
        <f t="shared" si="88"/>
        <v>0</v>
      </c>
      <c r="J179" s="75"/>
      <c r="K179" s="75"/>
      <c r="L179" s="75">
        <f t="shared" si="89"/>
        <v>0</v>
      </c>
      <c r="M179" s="75">
        <f t="shared" si="87"/>
        <v>0</v>
      </c>
      <c r="N179" s="63">
        <f t="shared" si="90"/>
        <v>15000000</v>
      </c>
      <c r="P179" s="194"/>
      <c r="S179" s="282"/>
      <c r="T179" s="282"/>
      <c r="U179" s="250"/>
    </row>
    <row r="180" spans="1:21" s="55" customFormat="1" ht="18" customHeight="1" x14ac:dyDescent="0.25">
      <c r="A180" s="50"/>
      <c r="B180" s="51"/>
      <c r="C180" s="50"/>
      <c r="D180" s="71" t="s">
        <v>265</v>
      </c>
      <c r="E180" s="51" t="s">
        <v>266</v>
      </c>
      <c r="F180" s="53">
        <f t="shared" si="85"/>
        <v>1567950000</v>
      </c>
      <c r="G180" s="72">
        <f>+G181</f>
        <v>296175000</v>
      </c>
      <c r="H180" s="72">
        <f>+H181</f>
        <v>0</v>
      </c>
      <c r="I180" s="72">
        <f>+G180+H180</f>
        <v>296175000</v>
      </c>
      <c r="J180" s="72">
        <f t="shared" si="86"/>
        <v>64609600</v>
      </c>
      <c r="K180" s="72">
        <f t="shared" si="86"/>
        <v>796100</v>
      </c>
      <c r="L180" s="72">
        <f>+J180+K180</f>
        <v>65405700</v>
      </c>
      <c r="M180" s="72">
        <f t="shared" si="87"/>
        <v>361580700</v>
      </c>
      <c r="N180" s="53">
        <f>+F180-M180</f>
        <v>1206369300</v>
      </c>
      <c r="P180" s="195"/>
      <c r="S180" s="282"/>
      <c r="T180" s="282"/>
      <c r="U180" s="243"/>
    </row>
    <row r="181" spans="1:21" s="67" customFormat="1" ht="18" customHeight="1" x14ac:dyDescent="0.25">
      <c r="A181" s="83"/>
      <c r="B181" s="84"/>
      <c r="C181" s="56"/>
      <c r="D181" s="57" t="s">
        <v>71</v>
      </c>
      <c r="E181" s="57" t="s">
        <v>72</v>
      </c>
      <c r="F181" s="58">
        <f>SUM(F182:F183)</f>
        <v>1567950000</v>
      </c>
      <c r="G181" s="59">
        <f>SUM(G182:G183)</f>
        <v>296175000</v>
      </c>
      <c r="H181" s="59">
        <f>SUM(H182:H183)</f>
        <v>0</v>
      </c>
      <c r="I181" s="59">
        <f>+G181+H181</f>
        <v>296175000</v>
      </c>
      <c r="J181" s="59">
        <f>SUM(J182:J183)</f>
        <v>64609600</v>
      </c>
      <c r="K181" s="59">
        <f>SUM(K182:K183)</f>
        <v>796100</v>
      </c>
      <c r="L181" s="59">
        <f>+J181+K181</f>
        <v>65405700</v>
      </c>
      <c r="M181" s="59">
        <f t="shared" si="87"/>
        <v>361580700</v>
      </c>
      <c r="N181" s="58">
        <f>+F181-M181</f>
        <v>1206369300</v>
      </c>
      <c r="P181" s="192"/>
      <c r="S181" s="282"/>
      <c r="T181" s="282"/>
      <c r="U181" s="249"/>
    </row>
    <row r="182" spans="1:21" s="86" customFormat="1" ht="18" customHeight="1" x14ac:dyDescent="0.25">
      <c r="A182" s="85"/>
      <c r="B182" s="66"/>
      <c r="C182" s="61"/>
      <c r="D182" s="62" t="s">
        <v>73</v>
      </c>
      <c r="E182" s="62" t="s">
        <v>74</v>
      </c>
      <c r="F182" s="63">
        <v>1501270000</v>
      </c>
      <c r="G182" s="75">
        <v>296175000</v>
      </c>
      <c r="H182" s="75"/>
      <c r="I182" s="75">
        <f t="shared" ref="I182" si="91">+G182+H182</f>
        <v>296175000</v>
      </c>
      <c r="J182" s="75">
        <v>55809700</v>
      </c>
      <c r="K182" s="75"/>
      <c r="L182" s="75">
        <f t="shared" ref="L182:L193" si="92">+J182+K182</f>
        <v>55809700</v>
      </c>
      <c r="M182" s="75">
        <f t="shared" si="87"/>
        <v>351984700</v>
      </c>
      <c r="N182" s="63">
        <f t="shared" ref="N182:N183" si="93">+F182-M182</f>
        <v>1149285300</v>
      </c>
      <c r="P182" s="194"/>
      <c r="S182" s="478"/>
      <c r="T182" s="282"/>
      <c r="U182" s="250"/>
    </row>
    <row r="183" spans="1:21" s="144" customFormat="1" ht="18" customHeight="1" x14ac:dyDescent="0.25">
      <c r="A183" s="142"/>
      <c r="B183" s="143"/>
      <c r="C183" s="123"/>
      <c r="D183" s="124" t="s">
        <v>88</v>
      </c>
      <c r="E183" s="124" t="s">
        <v>89</v>
      </c>
      <c r="F183" s="125">
        <v>66680000</v>
      </c>
      <c r="G183" s="140"/>
      <c r="H183" s="140"/>
      <c r="I183" s="140"/>
      <c r="J183" s="140">
        <v>8799900</v>
      </c>
      <c r="K183" s="140">
        <f>503000+293100</f>
        <v>796100</v>
      </c>
      <c r="L183" s="140">
        <f t="shared" si="92"/>
        <v>9596000</v>
      </c>
      <c r="M183" s="140">
        <f>+I183+L183</f>
        <v>9596000</v>
      </c>
      <c r="N183" s="125">
        <f t="shared" si="93"/>
        <v>57084000</v>
      </c>
      <c r="P183" s="196"/>
      <c r="S183" s="467">
        <f>503000+293100</f>
        <v>796100</v>
      </c>
      <c r="T183" s="286"/>
      <c r="U183" s="252"/>
    </row>
    <row r="184" spans="1:21" s="121" customFormat="1" ht="18" customHeight="1" x14ac:dyDescent="0.25">
      <c r="A184" s="116">
        <v>9</v>
      </c>
      <c r="B184" s="117"/>
      <c r="C184" s="145" t="s">
        <v>109</v>
      </c>
      <c r="D184" s="118"/>
      <c r="E184" s="128" t="s">
        <v>110</v>
      </c>
      <c r="F184" s="119">
        <f>+F185+F201</f>
        <v>200844000</v>
      </c>
      <c r="G184" s="120">
        <f>+G185+G201</f>
        <v>0</v>
      </c>
      <c r="H184" s="120">
        <f>+H185+H201</f>
        <v>0</v>
      </c>
      <c r="I184" s="120">
        <f>+G184+H184</f>
        <v>0</v>
      </c>
      <c r="J184" s="120">
        <f>+J185+J201</f>
        <v>18880000</v>
      </c>
      <c r="K184" s="120">
        <f>+K185+K201</f>
        <v>0</v>
      </c>
      <c r="L184" s="120">
        <f t="shared" si="92"/>
        <v>18880000</v>
      </c>
      <c r="M184" s="120">
        <f>+I184+L184</f>
        <v>18880000</v>
      </c>
      <c r="N184" s="119">
        <f>+F184-M184</f>
        <v>181964000</v>
      </c>
      <c r="P184" s="190"/>
      <c r="R184" s="122"/>
      <c r="S184" s="283"/>
      <c r="T184" s="283"/>
      <c r="U184" s="246"/>
    </row>
    <row r="185" spans="1:21" s="107" customFormat="1" ht="18" customHeight="1" x14ac:dyDescent="0.25">
      <c r="A185" s="101"/>
      <c r="B185" s="102"/>
      <c r="C185" s="141"/>
      <c r="D185" s="103" t="s">
        <v>207</v>
      </c>
      <c r="E185" s="104" t="s">
        <v>262</v>
      </c>
      <c r="F185" s="105">
        <f>+F186</f>
        <v>174844000</v>
      </c>
      <c r="G185" s="106">
        <f>+G186</f>
        <v>0</v>
      </c>
      <c r="H185" s="106">
        <f>+H186</f>
        <v>0</v>
      </c>
      <c r="I185" s="106">
        <f>+G185+H185</f>
        <v>0</v>
      </c>
      <c r="J185" s="106">
        <f>+J186</f>
        <v>18880000</v>
      </c>
      <c r="K185" s="106">
        <f>+K186</f>
        <v>0</v>
      </c>
      <c r="L185" s="106">
        <f t="shared" si="92"/>
        <v>18880000</v>
      </c>
      <c r="M185" s="106">
        <f>+I185+L185</f>
        <v>18880000</v>
      </c>
      <c r="N185" s="105">
        <f>+F185-M185</f>
        <v>155964000</v>
      </c>
      <c r="P185" s="191"/>
      <c r="R185" s="108"/>
      <c r="S185" s="284"/>
      <c r="T185" s="284"/>
      <c r="U185" s="241"/>
    </row>
    <row r="186" spans="1:21" s="67" customFormat="1" ht="18" customHeight="1" x14ac:dyDescent="0.25">
      <c r="A186" s="81"/>
      <c r="B186" s="82"/>
      <c r="C186" s="44"/>
      <c r="D186" s="45" t="s">
        <v>63</v>
      </c>
      <c r="E186" s="45" t="s">
        <v>30</v>
      </c>
      <c r="F186" s="47">
        <f>+F187+F194+F198</f>
        <v>174844000</v>
      </c>
      <c r="G186" s="70">
        <f>+G187+G194</f>
        <v>0</v>
      </c>
      <c r="H186" s="70">
        <f>+H187+H194</f>
        <v>0</v>
      </c>
      <c r="I186" s="70">
        <f>+G186+H186</f>
        <v>0</v>
      </c>
      <c r="J186" s="70">
        <f>+J187+J194</f>
        <v>18880000</v>
      </c>
      <c r="K186" s="70">
        <f>+K187+K194</f>
        <v>0</v>
      </c>
      <c r="L186" s="70">
        <f t="shared" si="92"/>
        <v>18880000</v>
      </c>
      <c r="M186" s="70">
        <f t="shared" ref="M186:M196" si="94">+I186+L186</f>
        <v>18880000</v>
      </c>
      <c r="N186" s="47">
        <f>+F186-M186</f>
        <v>155964000</v>
      </c>
      <c r="P186" s="192"/>
      <c r="S186" s="282"/>
      <c r="T186" s="282"/>
      <c r="U186" s="249"/>
    </row>
    <row r="187" spans="1:21" s="55" customFormat="1" ht="18" customHeight="1" x14ac:dyDescent="0.25">
      <c r="A187" s="50"/>
      <c r="B187" s="51"/>
      <c r="C187" s="50"/>
      <c r="D187" s="71" t="s">
        <v>263</v>
      </c>
      <c r="E187" s="51" t="s">
        <v>264</v>
      </c>
      <c r="F187" s="53">
        <f t="shared" ref="F187" si="95">+F188</f>
        <v>44044000</v>
      </c>
      <c r="G187" s="72">
        <f>+G188</f>
        <v>0</v>
      </c>
      <c r="H187" s="72">
        <f>+H188</f>
        <v>0</v>
      </c>
      <c r="I187" s="72">
        <f>+G187+H187</f>
        <v>0</v>
      </c>
      <c r="J187" s="72">
        <f>+J188</f>
        <v>0</v>
      </c>
      <c r="K187" s="72">
        <f>+K188</f>
        <v>0</v>
      </c>
      <c r="L187" s="72">
        <f t="shared" si="92"/>
        <v>0</v>
      </c>
      <c r="M187" s="72">
        <f t="shared" si="94"/>
        <v>0</v>
      </c>
      <c r="N187" s="53">
        <f>+F187-M187</f>
        <v>44044000</v>
      </c>
      <c r="P187" s="195"/>
      <c r="S187" s="282"/>
      <c r="T187" s="282"/>
      <c r="U187" s="243"/>
    </row>
    <row r="188" spans="1:21" s="67" customFormat="1" ht="18" customHeight="1" x14ac:dyDescent="0.25">
      <c r="A188" s="83"/>
      <c r="B188" s="84"/>
      <c r="C188" s="56"/>
      <c r="D188" s="57" t="s">
        <v>64</v>
      </c>
      <c r="E188" s="57" t="s">
        <v>65</v>
      </c>
      <c r="F188" s="58">
        <f>SUM(F189:F193)</f>
        <v>44044000</v>
      </c>
      <c r="G188" s="59">
        <f>SUM(G189:G193)</f>
        <v>0</v>
      </c>
      <c r="H188" s="59">
        <f>SUM(H189:H193)</f>
        <v>0</v>
      </c>
      <c r="I188" s="59">
        <f>+G188+H188</f>
        <v>0</v>
      </c>
      <c r="J188" s="59">
        <f>SUM(J189:J193)</f>
        <v>0</v>
      </c>
      <c r="K188" s="59">
        <f>SUM(K189:K193)</f>
        <v>0</v>
      </c>
      <c r="L188" s="59">
        <f t="shared" si="92"/>
        <v>0</v>
      </c>
      <c r="M188" s="59">
        <f t="shared" si="94"/>
        <v>0</v>
      </c>
      <c r="N188" s="58">
        <f>+F188-M188</f>
        <v>44044000</v>
      </c>
      <c r="P188" s="192"/>
      <c r="S188" s="282"/>
      <c r="T188" s="282"/>
      <c r="U188" s="249"/>
    </row>
    <row r="189" spans="1:21" s="86" customFormat="1" ht="18" customHeight="1" x14ac:dyDescent="0.25">
      <c r="A189" s="85"/>
      <c r="B189" s="66"/>
      <c r="C189" s="61"/>
      <c r="D189" s="62" t="s">
        <v>66</v>
      </c>
      <c r="E189" s="62" t="s">
        <v>67</v>
      </c>
      <c r="F189" s="63">
        <v>24037500</v>
      </c>
      <c r="G189" s="75"/>
      <c r="H189" s="75"/>
      <c r="I189" s="75">
        <f t="shared" ref="I189" si="96">+G189+H189</f>
        <v>0</v>
      </c>
      <c r="J189" s="75"/>
      <c r="K189" s="75"/>
      <c r="L189" s="75">
        <f t="shared" si="92"/>
        <v>0</v>
      </c>
      <c r="M189" s="140">
        <f t="shared" si="94"/>
        <v>0</v>
      </c>
      <c r="N189" s="63">
        <f t="shared" ref="N189:N193" si="97">+F189-M189</f>
        <v>24037500</v>
      </c>
      <c r="P189" s="194"/>
      <c r="S189" s="282"/>
      <c r="T189" s="282"/>
      <c r="U189" s="250"/>
    </row>
    <row r="190" spans="1:21" s="86" customFormat="1" ht="18" customHeight="1" x14ac:dyDescent="0.25">
      <c r="A190" s="85"/>
      <c r="B190" s="66"/>
      <c r="C190" s="61"/>
      <c r="D190" s="62" t="s">
        <v>337</v>
      </c>
      <c r="E190" s="62" t="s">
        <v>338</v>
      </c>
      <c r="F190" s="63">
        <v>12104000</v>
      </c>
      <c r="G190" s="75"/>
      <c r="H190" s="75"/>
      <c r="I190" s="75"/>
      <c r="J190" s="75"/>
      <c r="K190" s="75"/>
      <c r="L190" s="75">
        <f t="shared" si="92"/>
        <v>0</v>
      </c>
      <c r="M190" s="140">
        <f t="shared" si="94"/>
        <v>0</v>
      </c>
      <c r="N190" s="63">
        <f t="shared" si="97"/>
        <v>12104000</v>
      </c>
      <c r="P190" s="194"/>
      <c r="S190" s="282"/>
      <c r="T190" s="282"/>
      <c r="U190" s="250"/>
    </row>
    <row r="191" spans="1:21" s="86" customFormat="1" ht="18" customHeight="1" x14ac:dyDescent="0.25">
      <c r="A191" s="85"/>
      <c r="B191" s="66"/>
      <c r="C191" s="61"/>
      <c r="D191" s="62" t="s">
        <v>367</v>
      </c>
      <c r="E191" s="62" t="s">
        <v>368</v>
      </c>
      <c r="F191" s="63">
        <v>3142500</v>
      </c>
      <c r="G191" s="75"/>
      <c r="H191" s="75"/>
      <c r="I191" s="75"/>
      <c r="J191" s="75"/>
      <c r="K191" s="75"/>
      <c r="L191" s="75">
        <f t="shared" si="92"/>
        <v>0</v>
      </c>
      <c r="M191" s="140">
        <f t="shared" si="94"/>
        <v>0</v>
      </c>
      <c r="N191" s="63">
        <f t="shared" si="97"/>
        <v>3142500</v>
      </c>
      <c r="P191" s="194"/>
      <c r="S191" s="282"/>
      <c r="T191" s="282"/>
      <c r="U191" s="250"/>
    </row>
    <row r="192" spans="1:21" s="86" customFormat="1" ht="18" customHeight="1" x14ac:dyDescent="0.25">
      <c r="A192" s="85"/>
      <c r="B192" s="66"/>
      <c r="C192" s="61"/>
      <c r="D192" s="62" t="s">
        <v>373</v>
      </c>
      <c r="E192" s="62" t="s">
        <v>392</v>
      </c>
      <c r="F192" s="63">
        <v>560000</v>
      </c>
      <c r="G192" s="75"/>
      <c r="H192" s="75"/>
      <c r="I192" s="75"/>
      <c r="J192" s="75"/>
      <c r="K192" s="75"/>
      <c r="L192" s="75">
        <f t="shared" si="92"/>
        <v>0</v>
      </c>
      <c r="M192" s="140">
        <f t="shared" si="94"/>
        <v>0</v>
      </c>
      <c r="N192" s="63">
        <f t="shared" si="97"/>
        <v>560000</v>
      </c>
      <c r="P192" s="194"/>
      <c r="S192" s="282"/>
      <c r="T192" s="282"/>
      <c r="U192" s="250"/>
    </row>
    <row r="193" spans="1:21" s="86" customFormat="1" ht="18" customHeight="1" x14ac:dyDescent="0.25">
      <c r="A193" s="85"/>
      <c r="B193" s="66"/>
      <c r="C193" s="61"/>
      <c r="D193" s="62" t="s">
        <v>70</v>
      </c>
      <c r="E193" s="62" t="s">
        <v>33</v>
      </c>
      <c r="F193" s="63">
        <v>4200000</v>
      </c>
      <c r="G193" s="75"/>
      <c r="H193" s="75"/>
      <c r="I193" s="75"/>
      <c r="J193" s="75"/>
      <c r="K193" s="75"/>
      <c r="L193" s="75">
        <f t="shared" si="92"/>
        <v>0</v>
      </c>
      <c r="M193" s="140">
        <f t="shared" si="94"/>
        <v>0</v>
      </c>
      <c r="N193" s="63">
        <f t="shared" si="97"/>
        <v>4200000</v>
      </c>
      <c r="P193" s="194"/>
      <c r="S193" s="282"/>
      <c r="T193" s="282"/>
      <c r="U193" s="250"/>
    </row>
    <row r="194" spans="1:21" s="55" customFormat="1" ht="18" customHeight="1" x14ac:dyDescent="0.25">
      <c r="A194" s="50"/>
      <c r="B194" s="51"/>
      <c r="C194" s="50"/>
      <c r="D194" s="71" t="s">
        <v>271</v>
      </c>
      <c r="E194" s="51" t="s">
        <v>272</v>
      </c>
      <c r="F194" s="53">
        <f t="shared" ref="F194" si="98">+F195</f>
        <v>78300000</v>
      </c>
      <c r="G194" s="72">
        <f>+G195</f>
        <v>0</v>
      </c>
      <c r="H194" s="72">
        <f>+H195</f>
        <v>0</v>
      </c>
      <c r="I194" s="72">
        <f>+G194+H194</f>
        <v>0</v>
      </c>
      <c r="J194" s="72">
        <f>+J195</f>
        <v>18880000</v>
      </c>
      <c r="K194" s="72">
        <f>+K195</f>
        <v>0</v>
      </c>
      <c r="L194" s="72">
        <f>+J194+K194</f>
        <v>18880000</v>
      </c>
      <c r="M194" s="72">
        <f t="shared" si="94"/>
        <v>18880000</v>
      </c>
      <c r="N194" s="53">
        <f>+F194-M194</f>
        <v>59420000</v>
      </c>
      <c r="P194" s="195"/>
      <c r="S194" s="282"/>
      <c r="T194" s="282"/>
      <c r="U194" s="243"/>
    </row>
    <row r="195" spans="1:21" s="67" customFormat="1" ht="18" customHeight="1" x14ac:dyDescent="0.25">
      <c r="A195" s="83"/>
      <c r="B195" s="84"/>
      <c r="C195" s="56"/>
      <c r="D195" s="57" t="s">
        <v>81</v>
      </c>
      <c r="E195" s="57" t="s">
        <v>31</v>
      </c>
      <c r="F195" s="58">
        <f>SUM(F196:F197)</f>
        <v>78300000</v>
      </c>
      <c r="G195" s="59">
        <f>SUM(G197:G197)</f>
        <v>0</v>
      </c>
      <c r="H195" s="59">
        <f>+H197</f>
        <v>0</v>
      </c>
      <c r="I195" s="59">
        <f>+G195+H195</f>
        <v>0</v>
      </c>
      <c r="J195" s="59">
        <f>SUM(J197:J197)</f>
        <v>18880000</v>
      </c>
      <c r="K195" s="59">
        <f>+K197</f>
        <v>0</v>
      </c>
      <c r="L195" s="59">
        <f>+J195+K195</f>
        <v>18880000</v>
      </c>
      <c r="M195" s="59">
        <f t="shared" si="94"/>
        <v>18880000</v>
      </c>
      <c r="N195" s="58">
        <f>+F195-M195</f>
        <v>59420000</v>
      </c>
      <c r="P195" s="192"/>
      <c r="S195" s="282"/>
      <c r="T195" s="282"/>
      <c r="U195" s="249"/>
    </row>
    <row r="196" spans="1:21" s="86" customFormat="1" ht="18" customHeight="1" x14ac:dyDescent="0.25">
      <c r="A196" s="85"/>
      <c r="B196" s="66"/>
      <c r="C196" s="61"/>
      <c r="D196" s="62" t="s">
        <v>451</v>
      </c>
      <c r="E196" s="62" t="s">
        <v>452</v>
      </c>
      <c r="F196" s="63">
        <v>1500000</v>
      </c>
      <c r="G196" s="75"/>
      <c r="H196" s="75"/>
      <c r="I196" s="75">
        <f t="shared" ref="I196" si="99">+G196+H196</f>
        <v>0</v>
      </c>
      <c r="J196" s="75"/>
      <c r="K196" s="75"/>
      <c r="L196" s="75">
        <f t="shared" ref="L196" si="100">+J196+K196</f>
        <v>0</v>
      </c>
      <c r="M196" s="75">
        <f t="shared" si="94"/>
        <v>0</v>
      </c>
      <c r="N196" s="63">
        <f t="shared" ref="N196:N197" si="101">+F196-M196</f>
        <v>1500000</v>
      </c>
      <c r="P196" s="194"/>
      <c r="S196" s="282"/>
      <c r="T196" s="282"/>
      <c r="U196" s="250"/>
    </row>
    <row r="197" spans="1:21" s="86" customFormat="1" ht="18" customHeight="1" x14ac:dyDescent="0.25">
      <c r="A197" s="85"/>
      <c r="B197" s="66"/>
      <c r="C197" s="61"/>
      <c r="D197" s="62" t="s">
        <v>82</v>
      </c>
      <c r="E197" s="62" t="s">
        <v>83</v>
      </c>
      <c r="F197" s="63">
        <v>76800000</v>
      </c>
      <c r="G197" s="75"/>
      <c r="H197" s="75"/>
      <c r="I197" s="75">
        <f>+G197+H197</f>
        <v>0</v>
      </c>
      <c r="J197" s="75">
        <v>18880000</v>
      </c>
      <c r="K197" s="75"/>
      <c r="L197" s="75">
        <f>+J197+K197</f>
        <v>18880000</v>
      </c>
      <c r="M197" s="75">
        <f>+I197+L197</f>
        <v>18880000</v>
      </c>
      <c r="N197" s="63">
        <f t="shared" si="101"/>
        <v>57920000</v>
      </c>
      <c r="P197" s="194"/>
      <c r="S197" s="282"/>
      <c r="T197" s="282"/>
      <c r="U197" s="250"/>
    </row>
    <row r="198" spans="1:21" s="55" customFormat="1" ht="18" customHeight="1" x14ac:dyDescent="0.25">
      <c r="A198" s="50"/>
      <c r="B198" s="51"/>
      <c r="C198" s="50"/>
      <c r="D198" s="71" t="s">
        <v>275</v>
      </c>
      <c r="E198" s="51" t="s">
        <v>276</v>
      </c>
      <c r="F198" s="53">
        <f>+F199</f>
        <v>52500000</v>
      </c>
      <c r="G198" s="72">
        <f>+G199</f>
        <v>0</v>
      </c>
      <c r="H198" s="72">
        <f>+H199</f>
        <v>0</v>
      </c>
      <c r="I198" s="72">
        <f>+G198+H198</f>
        <v>0</v>
      </c>
      <c r="J198" s="72">
        <f>+J199</f>
        <v>0</v>
      </c>
      <c r="K198" s="72">
        <f>+K199</f>
        <v>0</v>
      </c>
      <c r="L198" s="72">
        <f>+J198+K198</f>
        <v>0</v>
      </c>
      <c r="M198" s="72">
        <f t="shared" ref="M198:M205" si="102">+I198+L198</f>
        <v>0</v>
      </c>
      <c r="N198" s="53">
        <f>+F198-M198</f>
        <v>52500000</v>
      </c>
      <c r="P198" s="195"/>
      <c r="S198" s="282"/>
      <c r="T198" s="282"/>
      <c r="U198" s="243"/>
    </row>
    <row r="199" spans="1:21" s="67" customFormat="1" ht="18" customHeight="1" x14ac:dyDescent="0.25">
      <c r="A199" s="83"/>
      <c r="B199" s="84"/>
      <c r="C199" s="56"/>
      <c r="D199" s="57" t="s">
        <v>150</v>
      </c>
      <c r="E199" s="57" t="s">
        <v>32</v>
      </c>
      <c r="F199" s="58">
        <f>+F200</f>
        <v>52500000</v>
      </c>
      <c r="G199" s="59">
        <f>SUM(G201:G201)</f>
        <v>0</v>
      </c>
      <c r="H199" s="59">
        <f>+H201</f>
        <v>0</v>
      </c>
      <c r="I199" s="59">
        <f>+G199+H199</f>
        <v>0</v>
      </c>
      <c r="J199" s="59">
        <f>SUM(J201:J201)</f>
        <v>0</v>
      </c>
      <c r="K199" s="59">
        <f>+K201</f>
        <v>0</v>
      </c>
      <c r="L199" s="59">
        <f>+J199+K199</f>
        <v>0</v>
      </c>
      <c r="M199" s="59">
        <f t="shared" si="102"/>
        <v>0</v>
      </c>
      <c r="N199" s="58">
        <f>+F199-M199</f>
        <v>52500000</v>
      </c>
      <c r="P199" s="192"/>
      <c r="S199" s="282"/>
      <c r="T199" s="282"/>
      <c r="U199" s="249"/>
    </row>
    <row r="200" spans="1:21" s="86" customFormat="1" ht="36" customHeight="1" x14ac:dyDescent="0.25">
      <c r="A200" s="85"/>
      <c r="B200" s="66"/>
      <c r="C200" s="61"/>
      <c r="D200" s="62" t="s">
        <v>462</v>
      </c>
      <c r="E200" s="76" t="s">
        <v>463</v>
      </c>
      <c r="F200" s="63">
        <v>52500000</v>
      </c>
      <c r="G200" s="75"/>
      <c r="H200" s="75"/>
      <c r="I200" s="75">
        <f t="shared" ref="I200" si="103">+G200+H200</f>
        <v>0</v>
      </c>
      <c r="J200" s="75"/>
      <c r="K200" s="75"/>
      <c r="L200" s="75">
        <f t="shared" ref="L200" si="104">+J200+K200</f>
        <v>0</v>
      </c>
      <c r="M200" s="75">
        <f t="shared" si="102"/>
        <v>0</v>
      </c>
      <c r="N200" s="63">
        <f t="shared" ref="N200" si="105">+F200-M200</f>
        <v>52500000</v>
      </c>
      <c r="P200" s="194"/>
      <c r="S200" s="282"/>
      <c r="T200" s="282"/>
      <c r="U200" s="250"/>
    </row>
    <row r="201" spans="1:21" s="42" customFormat="1" ht="18" customHeight="1" x14ac:dyDescent="0.25">
      <c r="A201" s="36"/>
      <c r="B201" s="37"/>
      <c r="C201" s="80"/>
      <c r="D201" s="38" t="s">
        <v>267</v>
      </c>
      <c r="E201" s="39" t="s">
        <v>268</v>
      </c>
      <c r="F201" s="40">
        <f t="shared" ref="F201:H203" si="106">+F202</f>
        <v>26000000</v>
      </c>
      <c r="G201" s="41">
        <f t="shared" si="106"/>
        <v>0</v>
      </c>
      <c r="H201" s="41">
        <f t="shared" si="106"/>
        <v>0</v>
      </c>
      <c r="I201" s="41">
        <f>+G201+H201</f>
        <v>0</v>
      </c>
      <c r="J201" s="41">
        <f t="shared" ref="J201:K204" si="107">+J202</f>
        <v>0</v>
      </c>
      <c r="K201" s="41">
        <f t="shared" si="107"/>
        <v>0</v>
      </c>
      <c r="L201" s="41">
        <f>+J201+K201</f>
        <v>0</v>
      </c>
      <c r="M201" s="41">
        <f t="shared" si="102"/>
        <v>0</v>
      </c>
      <c r="N201" s="40">
        <f>+F201-M201</f>
        <v>26000000</v>
      </c>
      <c r="P201" s="199"/>
      <c r="R201" s="43"/>
      <c r="S201" s="282"/>
      <c r="T201" s="282"/>
      <c r="U201" s="251"/>
    </row>
    <row r="202" spans="1:21" s="67" customFormat="1" ht="18" customHeight="1" x14ac:dyDescent="0.25">
      <c r="A202" s="81"/>
      <c r="B202" s="82"/>
      <c r="C202" s="44"/>
      <c r="D202" s="45" t="s">
        <v>78</v>
      </c>
      <c r="E202" s="45" t="s">
        <v>75</v>
      </c>
      <c r="F202" s="47">
        <f t="shared" si="106"/>
        <v>26000000</v>
      </c>
      <c r="G202" s="70">
        <f t="shared" si="106"/>
        <v>0</v>
      </c>
      <c r="H202" s="70">
        <f t="shared" si="106"/>
        <v>0</v>
      </c>
      <c r="I202" s="70">
        <f t="shared" ref="I202:I205" si="108">+G202+H202</f>
        <v>0</v>
      </c>
      <c r="J202" s="70">
        <f t="shared" si="107"/>
        <v>0</v>
      </c>
      <c r="K202" s="70">
        <f t="shared" si="107"/>
        <v>0</v>
      </c>
      <c r="L202" s="70">
        <f t="shared" ref="L202:L203" si="109">+J202+K202</f>
        <v>0</v>
      </c>
      <c r="M202" s="70">
        <f t="shared" si="102"/>
        <v>0</v>
      </c>
      <c r="N202" s="47">
        <f>+F202-M202</f>
        <v>26000000</v>
      </c>
      <c r="P202" s="192"/>
      <c r="S202" s="282"/>
      <c r="T202" s="282"/>
      <c r="U202" s="249"/>
    </row>
    <row r="203" spans="1:21" s="55" customFormat="1" ht="18" customHeight="1" x14ac:dyDescent="0.25">
      <c r="A203" s="50"/>
      <c r="B203" s="51"/>
      <c r="C203" s="50"/>
      <c r="D203" s="71" t="s">
        <v>269</v>
      </c>
      <c r="E203" s="51" t="s">
        <v>270</v>
      </c>
      <c r="F203" s="53">
        <f t="shared" si="106"/>
        <v>26000000</v>
      </c>
      <c r="G203" s="72">
        <f>+G204</f>
        <v>0</v>
      </c>
      <c r="H203" s="72">
        <f>+H204</f>
        <v>0</v>
      </c>
      <c r="I203" s="72">
        <f t="shared" si="108"/>
        <v>0</v>
      </c>
      <c r="J203" s="72">
        <f t="shared" si="107"/>
        <v>0</v>
      </c>
      <c r="K203" s="72">
        <f t="shared" si="107"/>
        <v>0</v>
      </c>
      <c r="L203" s="72">
        <f t="shared" si="109"/>
        <v>0</v>
      </c>
      <c r="M203" s="72">
        <f t="shared" si="102"/>
        <v>0</v>
      </c>
      <c r="N203" s="53">
        <f>+F203-M203</f>
        <v>26000000</v>
      </c>
      <c r="P203" s="195"/>
      <c r="S203" s="282"/>
      <c r="T203" s="282"/>
      <c r="U203" s="243"/>
    </row>
    <row r="204" spans="1:21" s="67" customFormat="1" ht="18" customHeight="1" x14ac:dyDescent="0.25">
      <c r="A204" s="83"/>
      <c r="B204" s="84"/>
      <c r="C204" s="56"/>
      <c r="D204" s="57" t="s">
        <v>76</v>
      </c>
      <c r="E204" s="57" t="s">
        <v>77</v>
      </c>
      <c r="F204" s="58">
        <f>SUM(F205)</f>
        <v>26000000</v>
      </c>
      <c r="G204" s="59">
        <f>+G205</f>
        <v>0</v>
      </c>
      <c r="H204" s="59">
        <f>+H205</f>
        <v>0</v>
      </c>
      <c r="I204" s="59">
        <f>+G204+H204</f>
        <v>0</v>
      </c>
      <c r="J204" s="59">
        <f t="shared" si="107"/>
        <v>0</v>
      </c>
      <c r="K204" s="59">
        <f t="shared" si="107"/>
        <v>0</v>
      </c>
      <c r="L204" s="59">
        <f>+J204+K204</f>
        <v>0</v>
      </c>
      <c r="M204" s="59">
        <f t="shared" si="102"/>
        <v>0</v>
      </c>
      <c r="N204" s="58">
        <f>+F204-M204</f>
        <v>26000000</v>
      </c>
      <c r="P204" s="192"/>
      <c r="S204" s="282"/>
      <c r="T204" s="282"/>
      <c r="U204" s="249"/>
    </row>
    <row r="205" spans="1:21" s="144" customFormat="1" ht="18" customHeight="1" x14ac:dyDescent="0.25">
      <c r="A205" s="142"/>
      <c r="B205" s="143"/>
      <c r="C205" s="123"/>
      <c r="D205" s="124" t="s">
        <v>393</v>
      </c>
      <c r="E205" s="124" t="s">
        <v>394</v>
      </c>
      <c r="F205" s="125">
        <v>26000000</v>
      </c>
      <c r="G205" s="140"/>
      <c r="H205" s="140"/>
      <c r="I205" s="140">
        <f t="shared" si="108"/>
        <v>0</v>
      </c>
      <c r="J205" s="140"/>
      <c r="K205" s="140"/>
      <c r="L205" s="140">
        <f t="shared" ref="L205" si="110">+J205+K205</f>
        <v>0</v>
      </c>
      <c r="M205" s="140">
        <f t="shared" si="102"/>
        <v>0</v>
      </c>
      <c r="N205" s="125">
        <f t="shared" ref="N205" si="111">+F205-M205</f>
        <v>26000000</v>
      </c>
      <c r="P205" s="196"/>
      <c r="S205" s="286"/>
      <c r="T205" s="286"/>
      <c r="U205" s="252"/>
    </row>
    <row r="206" spans="1:21" s="121" customFormat="1" ht="18" customHeight="1" x14ac:dyDescent="0.25">
      <c r="A206" s="116">
        <v>10</v>
      </c>
      <c r="B206" s="117"/>
      <c r="C206" s="145" t="s">
        <v>112</v>
      </c>
      <c r="D206" s="118"/>
      <c r="E206" s="128" t="s">
        <v>113</v>
      </c>
      <c r="F206" s="119">
        <f>+F207+F221</f>
        <v>810211500</v>
      </c>
      <c r="G206" s="120">
        <f>G207+G221</f>
        <v>0</v>
      </c>
      <c r="H206" s="120">
        <f>H207+H221</f>
        <v>0</v>
      </c>
      <c r="I206" s="120">
        <f>+G206+H206</f>
        <v>0</v>
      </c>
      <c r="J206" s="120">
        <f>J207+J221</f>
        <v>8375000</v>
      </c>
      <c r="K206" s="120">
        <f>K207+K221</f>
        <v>0</v>
      </c>
      <c r="L206" s="120">
        <f>+J206+K206</f>
        <v>8375000</v>
      </c>
      <c r="M206" s="120">
        <f>+I206+L206</f>
        <v>8375000</v>
      </c>
      <c r="N206" s="119">
        <f>+F206-M206</f>
        <v>801836500</v>
      </c>
      <c r="P206" s="190"/>
      <c r="R206" s="122"/>
      <c r="S206" s="283"/>
      <c r="T206" s="283"/>
      <c r="U206" s="246"/>
    </row>
    <row r="207" spans="1:21" s="107" customFormat="1" ht="18" customHeight="1" x14ac:dyDescent="0.25">
      <c r="A207" s="101"/>
      <c r="B207" s="102"/>
      <c r="C207" s="141"/>
      <c r="D207" s="103" t="s">
        <v>207</v>
      </c>
      <c r="E207" s="104" t="s">
        <v>262</v>
      </c>
      <c r="F207" s="105">
        <f>+F208</f>
        <v>441471500</v>
      </c>
      <c r="G207" s="106">
        <f>+G208</f>
        <v>0</v>
      </c>
      <c r="H207" s="106">
        <f>+H208</f>
        <v>0</v>
      </c>
      <c r="I207" s="106">
        <f>+G207+H207</f>
        <v>0</v>
      </c>
      <c r="J207" s="106">
        <f>+J208</f>
        <v>8375000</v>
      </c>
      <c r="K207" s="106">
        <f>+K208</f>
        <v>0</v>
      </c>
      <c r="L207" s="106">
        <f>+J207+K207</f>
        <v>8375000</v>
      </c>
      <c r="M207" s="106">
        <f t="shared" ref="M207:M220" si="112">+I207+L207</f>
        <v>8375000</v>
      </c>
      <c r="N207" s="105">
        <f>+F207-M207</f>
        <v>433096500</v>
      </c>
      <c r="P207" s="191"/>
      <c r="R207" s="108"/>
      <c r="S207" s="284"/>
      <c r="T207" s="284"/>
      <c r="U207" s="241"/>
    </row>
    <row r="208" spans="1:21" s="67" customFormat="1" ht="18" customHeight="1" x14ac:dyDescent="0.25">
      <c r="A208" s="81"/>
      <c r="B208" s="82"/>
      <c r="C208" s="44"/>
      <c r="D208" s="45" t="s">
        <v>63</v>
      </c>
      <c r="E208" s="45" t="s">
        <v>30</v>
      </c>
      <c r="F208" s="47">
        <f>+F209+F212+F216</f>
        <v>441471500</v>
      </c>
      <c r="G208" s="70">
        <f>+G209+G212+G216</f>
        <v>0</v>
      </c>
      <c r="H208" s="70">
        <f>+H209+H212+H216</f>
        <v>0</v>
      </c>
      <c r="I208" s="70">
        <f t="shared" ref="I208:I218" si="113">+G208+H208</f>
        <v>0</v>
      </c>
      <c r="J208" s="70">
        <f>+J209+J212+J216</f>
        <v>8375000</v>
      </c>
      <c r="K208" s="70">
        <f>+K209+K212+K216</f>
        <v>0</v>
      </c>
      <c r="L208" s="70">
        <f t="shared" ref="L208:L209" si="114">+J208+K208</f>
        <v>8375000</v>
      </c>
      <c r="M208" s="70">
        <f t="shared" si="112"/>
        <v>8375000</v>
      </c>
      <c r="N208" s="47">
        <f>+F208-M208</f>
        <v>433096500</v>
      </c>
      <c r="P208" s="192"/>
      <c r="S208" s="282"/>
      <c r="T208" s="282"/>
      <c r="U208" s="249"/>
    </row>
    <row r="209" spans="1:21" s="55" customFormat="1" ht="18" customHeight="1" x14ac:dyDescent="0.25">
      <c r="A209" s="50"/>
      <c r="B209" s="51"/>
      <c r="C209" s="50"/>
      <c r="D209" s="71" t="s">
        <v>263</v>
      </c>
      <c r="E209" s="51" t="s">
        <v>264</v>
      </c>
      <c r="F209" s="53">
        <f t="shared" ref="F209:H209" si="115">+F210</f>
        <v>4031500</v>
      </c>
      <c r="G209" s="72">
        <f>+G210</f>
        <v>0</v>
      </c>
      <c r="H209" s="72">
        <f t="shared" si="115"/>
        <v>0</v>
      </c>
      <c r="I209" s="72">
        <f t="shared" si="113"/>
        <v>0</v>
      </c>
      <c r="J209" s="72">
        <f>+J210</f>
        <v>0</v>
      </c>
      <c r="K209" s="72">
        <f t="shared" ref="K209" si="116">+K210</f>
        <v>0</v>
      </c>
      <c r="L209" s="72">
        <f t="shared" si="114"/>
        <v>0</v>
      </c>
      <c r="M209" s="72">
        <f t="shared" si="112"/>
        <v>0</v>
      </c>
      <c r="N209" s="53">
        <f>+F209-M209</f>
        <v>4031500</v>
      </c>
      <c r="P209" s="195"/>
      <c r="S209" s="282"/>
      <c r="T209" s="282"/>
      <c r="U209" s="243"/>
    </row>
    <row r="210" spans="1:21" s="67" customFormat="1" ht="18" customHeight="1" x14ac:dyDescent="0.25">
      <c r="A210" s="83"/>
      <c r="B210" s="84"/>
      <c r="C210" s="56"/>
      <c r="D210" s="57" t="s">
        <v>64</v>
      </c>
      <c r="E210" s="57" t="s">
        <v>65</v>
      </c>
      <c r="F210" s="58">
        <f>F211</f>
        <v>4031500</v>
      </c>
      <c r="G210" s="59">
        <f>SUM(G211:G211)</f>
        <v>0</v>
      </c>
      <c r="H210" s="59">
        <f>SUM(H211:H211)</f>
        <v>0</v>
      </c>
      <c r="I210" s="59">
        <f>+G210+H210</f>
        <v>0</v>
      </c>
      <c r="J210" s="59">
        <f>SUM(J211:J211)</f>
        <v>0</v>
      </c>
      <c r="K210" s="59">
        <f>SUM(K211:K211)</f>
        <v>0</v>
      </c>
      <c r="L210" s="59">
        <f>+J210+K210</f>
        <v>0</v>
      </c>
      <c r="M210" s="59">
        <f t="shared" si="112"/>
        <v>0</v>
      </c>
      <c r="N210" s="58">
        <f>+F210-M210</f>
        <v>4031500</v>
      </c>
      <c r="P210" s="192"/>
      <c r="S210" s="282"/>
      <c r="T210" s="282"/>
      <c r="U210" s="249"/>
    </row>
    <row r="211" spans="1:21" s="86" customFormat="1" ht="18" customHeight="1" x14ac:dyDescent="0.25">
      <c r="A211" s="85"/>
      <c r="B211" s="66"/>
      <c r="C211" s="61"/>
      <c r="D211" s="62" t="s">
        <v>339</v>
      </c>
      <c r="E211" s="62" t="s">
        <v>340</v>
      </c>
      <c r="F211" s="63">
        <v>4031500</v>
      </c>
      <c r="G211" s="75"/>
      <c r="H211" s="75"/>
      <c r="I211" s="75">
        <f t="shared" si="113"/>
        <v>0</v>
      </c>
      <c r="J211" s="75"/>
      <c r="K211" s="75"/>
      <c r="L211" s="75">
        <f t="shared" ref="L211" si="117">+J211+K211</f>
        <v>0</v>
      </c>
      <c r="M211" s="75">
        <f t="shared" si="112"/>
        <v>0</v>
      </c>
      <c r="N211" s="63">
        <f t="shared" ref="N211" si="118">+F211-M211</f>
        <v>4031500</v>
      </c>
      <c r="P211" s="194"/>
      <c r="S211" s="282"/>
      <c r="T211" s="282"/>
      <c r="U211" s="250"/>
    </row>
    <row r="212" spans="1:21" s="55" customFormat="1" ht="18" customHeight="1" x14ac:dyDescent="0.25">
      <c r="A212" s="50"/>
      <c r="B212" s="51"/>
      <c r="C212" s="50"/>
      <c r="D212" s="71" t="s">
        <v>271</v>
      </c>
      <c r="E212" s="51" t="s">
        <v>272</v>
      </c>
      <c r="F212" s="53">
        <f t="shared" ref="F212:H212" si="119">+F213</f>
        <v>98700000</v>
      </c>
      <c r="G212" s="72">
        <f>+G213</f>
        <v>0</v>
      </c>
      <c r="H212" s="72">
        <f t="shared" si="119"/>
        <v>0</v>
      </c>
      <c r="I212" s="72">
        <f t="shared" si="113"/>
        <v>0</v>
      </c>
      <c r="J212" s="72">
        <f>+J213</f>
        <v>4800000</v>
      </c>
      <c r="K212" s="72">
        <f t="shared" ref="K212" si="120">+K213</f>
        <v>0</v>
      </c>
      <c r="L212" s="72">
        <f>+J212+K212</f>
        <v>4800000</v>
      </c>
      <c r="M212" s="72">
        <f t="shared" si="112"/>
        <v>4800000</v>
      </c>
      <c r="N212" s="53">
        <f>+F212-M212</f>
        <v>93900000</v>
      </c>
      <c r="P212" s="195"/>
      <c r="S212" s="282"/>
      <c r="T212" s="282"/>
      <c r="U212" s="243"/>
    </row>
    <row r="213" spans="1:21" s="67" customFormat="1" ht="18" customHeight="1" x14ac:dyDescent="0.25">
      <c r="A213" s="83"/>
      <c r="B213" s="84"/>
      <c r="C213" s="56"/>
      <c r="D213" s="57" t="s">
        <v>81</v>
      </c>
      <c r="E213" s="57" t="s">
        <v>31</v>
      </c>
      <c r="F213" s="58">
        <f>SUM(F214:F215)</f>
        <v>98700000</v>
      </c>
      <c r="G213" s="59">
        <f>SUM(G214:G215)</f>
        <v>0</v>
      </c>
      <c r="H213" s="59">
        <f>SUM(H214:H215)</f>
        <v>0</v>
      </c>
      <c r="I213" s="59">
        <f t="shared" si="113"/>
        <v>0</v>
      </c>
      <c r="J213" s="59">
        <f>SUM(J214:J215)</f>
        <v>4800000</v>
      </c>
      <c r="K213" s="59">
        <f>SUM(K214:K215)</f>
        <v>0</v>
      </c>
      <c r="L213" s="59">
        <f>+J213+K213</f>
        <v>4800000</v>
      </c>
      <c r="M213" s="59">
        <f t="shared" si="112"/>
        <v>4800000</v>
      </c>
      <c r="N213" s="58">
        <f>+F213-M213</f>
        <v>93900000</v>
      </c>
      <c r="P213" s="192"/>
      <c r="S213" s="282"/>
      <c r="T213" s="282"/>
      <c r="U213" s="249"/>
    </row>
    <row r="214" spans="1:21" s="86" customFormat="1" ht="18" customHeight="1" x14ac:dyDescent="0.25">
      <c r="A214" s="175"/>
      <c r="B214" s="65"/>
      <c r="C214" s="171"/>
      <c r="D214" s="162" t="s">
        <v>82</v>
      </c>
      <c r="E214" s="162" t="s">
        <v>83</v>
      </c>
      <c r="F214" s="173">
        <v>38400000</v>
      </c>
      <c r="G214" s="163"/>
      <c r="H214" s="163"/>
      <c r="I214" s="163">
        <f t="shared" si="113"/>
        <v>0</v>
      </c>
      <c r="J214" s="163">
        <v>4800000</v>
      </c>
      <c r="K214" s="163"/>
      <c r="L214" s="163">
        <f>+J214+K214</f>
        <v>4800000</v>
      </c>
      <c r="M214" s="163">
        <f>+I214+L214</f>
        <v>4800000</v>
      </c>
      <c r="N214" s="173">
        <f>+F214-M214</f>
        <v>33600000</v>
      </c>
      <c r="P214" s="194"/>
      <c r="S214" s="282"/>
      <c r="T214" s="282"/>
      <c r="U214" s="250"/>
    </row>
    <row r="215" spans="1:21" s="86" customFormat="1" ht="18" customHeight="1" x14ac:dyDescent="0.25">
      <c r="A215" s="175"/>
      <c r="B215" s="65"/>
      <c r="C215" s="171"/>
      <c r="D215" s="162" t="s">
        <v>111</v>
      </c>
      <c r="E215" s="162" t="s">
        <v>44</v>
      </c>
      <c r="F215" s="173">
        <v>60300000</v>
      </c>
      <c r="G215" s="163"/>
      <c r="H215" s="163"/>
      <c r="I215" s="163">
        <f t="shared" si="113"/>
        <v>0</v>
      </c>
      <c r="J215" s="163"/>
      <c r="K215" s="163"/>
      <c r="L215" s="163">
        <f t="shared" ref="L215" si="121">+J215+K215</f>
        <v>0</v>
      </c>
      <c r="M215" s="163">
        <f t="shared" si="112"/>
        <v>0</v>
      </c>
      <c r="N215" s="173">
        <f t="shared" ref="N215" si="122">+F215-M215</f>
        <v>60300000</v>
      </c>
      <c r="P215" s="194"/>
      <c r="S215" s="282"/>
      <c r="T215" s="282"/>
      <c r="U215" s="250"/>
    </row>
    <row r="216" spans="1:21" s="55" customFormat="1" ht="18" customHeight="1" x14ac:dyDescent="0.25">
      <c r="A216" s="50"/>
      <c r="B216" s="51"/>
      <c r="C216" s="50"/>
      <c r="D216" s="71" t="s">
        <v>275</v>
      </c>
      <c r="E216" s="51" t="s">
        <v>276</v>
      </c>
      <c r="F216" s="53">
        <f t="shared" ref="F216:H216" si="123">+F217</f>
        <v>338740000</v>
      </c>
      <c r="G216" s="72">
        <f>+G217</f>
        <v>0</v>
      </c>
      <c r="H216" s="72">
        <f t="shared" si="123"/>
        <v>0</v>
      </c>
      <c r="I216" s="72">
        <f t="shared" si="113"/>
        <v>0</v>
      </c>
      <c r="J216" s="72">
        <f>+J217</f>
        <v>3575000</v>
      </c>
      <c r="K216" s="72">
        <f t="shared" ref="K216" si="124">+K217</f>
        <v>0</v>
      </c>
      <c r="L216" s="72">
        <f>+J216+K216</f>
        <v>3575000</v>
      </c>
      <c r="M216" s="72">
        <f t="shared" si="112"/>
        <v>3575000</v>
      </c>
      <c r="N216" s="53">
        <f>+F216-M216</f>
        <v>335165000</v>
      </c>
      <c r="P216" s="195"/>
      <c r="S216" s="282"/>
      <c r="T216" s="282"/>
      <c r="U216" s="243"/>
    </row>
    <row r="217" spans="1:21" s="67" customFormat="1" ht="18" customHeight="1" x14ac:dyDescent="0.25">
      <c r="A217" s="83"/>
      <c r="B217" s="84"/>
      <c r="C217" s="56"/>
      <c r="D217" s="57" t="s">
        <v>114</v>
      </c>
      <c r="E217" s="57" t="s">
        <v>43</v>
      </c>
      <c r="F217" s="58">
        <f>SUM(F218:F220)</f>
        <v>338740000</v>
      </c>
      <c r="G217" s="59">
        <f>SUM(G218:G220)</f>
        <v>0</v>
      </c>
      <c r="H217" s="59">
        <f>SUM(H218:H220)</f>
        <v>0</v>
      </c>
      <c r="I217" s="59">
        <f t="shared" si="113"/>
        <v>0</v>
      </c>
      <c r="J217" s="59">
        <f>SUM(J218:J220)</f>
        <v>3575000</v>
      </c>
      <c r="K217" s="59">
        <f>SUM(K218:K220)</f>
        <v>0</v>
      </c>
      <c r="L217" s="59">
        <f>+J217+K217</f>
        <v>3575000</v>
      </c>
      <c r="M217" s="59">
        <f t="shared" si="112"/>
        <v>3575000</v>
      </c>
      <c r="N217" s="58">
        <f>+F217-M217</f>
        <v>335165000</v>
      </c>
      <c r="P217" s="192"/>
      <c r="S217" s="282"/>
      <c r="T217" s="282"/>
      <c r="U217" s="249"/>
    </row>
    <row r="218" spans="1:21" s="86" customFormat="1" ht="21" customHeight="1" x14ac:dyDescent="0.25">
      <c r="A218" s="175"/>
      <c r="B218" s="65"/>
      <c r="C218" s="171"/>
      <c r="D218" s="162" t="s">
        <v>349</v>
      </c>
      <c r="E218" s="172" t="s">
        <v>350</v>
      </c>
      <c r="F218" s="173">
        <v>21240000</v>
      </c>
      <c r="G218" s="163"/>
      <c r="H218" s="163"/>
      <c r="I218" s="163">
        <f t="shared" si="113"/>
        <v>0</v>
      </c>
      <c r="J218" s="163">
        <v>3575000</v>
      </c>
      <c r="K218" s="163"/>
      <c r="L218" s="163">
        <f t="shared" ref="L218" si="125">+J218+K218</f>
        <v>3575000</v>
      </c>
      <c r="M218" s="163">
        <f t="shared" si="112"/>
        <v>3575000</v>
      </c>
      <c r="N218" s="173">
        <f>+F218-M218</f>
        <v>17665000</v>
      </c>
      <c r="P218" s="194"/>
      <c r="S218" s="282"/>
      <c r="T218" s="282"/>
      <c r="U218" s="250"/>
    </row>
    <row r="219" spans="1:21" s="86" customFormat="1" ht="30.75" customHeight="1" x14ac:dyDescent="0.25">
      <c r="A219" s="175"/>
      <c r="B219" s="65"/>
      <c r="C219" s="171"/>
      <c r="D219" s="162" t="s">
        <v>395</v>
      </c>
      <c r="E219" s="172" t="s">
        <v>396</v>
      </c>
      <c r="F219" s="173">
        <v>2500000</v>
      </c>
      <c r="G219" s="163"/>
      <c r="H219" s="163"/>
      <c r="I219" s="163"/>
      <c r="J219" s="163"/>
      <c r="K219" s="163"/>
      <c r="L219" s="163">
        <f>+J219+K219</f>
        <v>0</v>
      </c>
      <c r="M219" s="163">
        <f t="shared" si="112"/>
        <v>0</v>
      </c>
      <c r="N219" s="173">
        <f>+F219-M219</f>
        <v>2500000</v>
      </c>
      <c r="P219" s="194"/>
      <c r="S219" s="282"/>
      <c r="T219" s="282"/>
      <c r="U219" s="250"/>
    </row>
    <row r="220" spans="1:21" s="86" customFormat="1" ht="18" customHeight="1" x14ac:dyDescent="0.25">
      <c r="A220" s="175"/>
      <c r="B220" s="65"/>
      <c r="C220" s="171"/>
      <c r="D220" s="162" t="s">
        <v>354</v>
      </c>
      <c r="E220" s="172" t="s">
        <v>355</v>
      </c>
      <c r="F220" s="173">
        <v>315000000</v>
      </c>
      <c r="G220" s="163"/>
      <c r="H220" s="163"/>
      <c r="I220" s="163">
        <f>+G220+H220</f>
        <v>0</v>
      </c>
      <c r="J220" s="163"/>
      <c r="K220" s="163"/>
      <c r="L220" s="163"/>
      <c r="M220" s="163">
        <f t="shared" si="112"/>
        <v>0</v>
      </c>
      <c r="N220" s="173">
        <f t="shared" ref="N220" si="126">+F220-M220</f>
        <v>315000000</v>
      </c>
      <c r="P220" s="194"/>
      <c r="S220" s="282"/>
      <c r="T220" s="282"/>
      <c r="U220" s="250"/>
    </row>
    <row r="221" spans="1:21" s="42" customFormat="1" ht="18" customHeight="1" x14ac:dyDescent="0.25">
      <c r="A221" s="36"/>
      <c r="B221" s="37"/>
      <c r="C221" s="80"/>
      <c r="D221" s="38" t="s">
        <v>267</v>
      </c>
      <c r="E221" s="39" t="s">
        <v>268</v>
      </c>
      <c r="F221" s="40">
        <f>+F222+F234</f>
        <v>368740000</v>
      </c>
      <c r="G221" s="41">
        <f>+G222+G234</f>
        <v>0</v>
      </c>
      <c r="H221" s="41">
        <f>+H222+H234</f>
        <v>0</v>
      </c>
      <c r="I221" s="41">
        <f>+G221+H221</f>
        <v>0</v>
      </c>
      <c r="J221" s="41">
        <f>+J222</f>
        <v>0</v>
      </c>
      <c r="K221" s="41">
        <f>+K222</f>
        <v>0</v>
      </c>
      <c r="L221" s="41">
        <f>+J221+K221</f>
        <v>0</v>
      </c>
      <c r="M221" s="41">
        <f>+I221+L221</f>
        <v>0</v>
      </c>
      <c r="N221" s="40">
        <f>+F221-M221</f>
        <v>368740000</v>
      </c>
      <c r="P221" s="199"/>
      <c r="R221" s="43"/>
      <c r="S221" s="282"/>
      <c r="T221" s="282"/>
      <c r="U221" s="251"/>
    </row>
    <row r="222" spans="1:21" s="67" customFormat="1" ht="18" customHeight="1" x14ac:dyDescent="0.25">
      <c r="A222" s="81"/>
      <c r="B222" s="82"/>
      <c r="C222" s="44"/>
      <c r="D222" s="45" t="s">
        <v>78</v>
      </c>
      <c r="E222" s="45" t="s">
        <v>75</v>
      </c>
      <c r="F222" s="47">
        <f>+F223+F226+F231</f>
        <v>268740000</v>
      </c>
      <c r="G222" s="70">
        <f>+G223+G226</f>
        <v>0</v>
      </c>
      <c r="H222" s="70">
        <f>+H223+H226</f>
        <v>0</v>
      </c>
      <c r="I222" s="70">
        <f t="shared" ref="I222:I235" si="127">+G222+H222</f>
        <v>0</v>
      </c>
      <c r="J222" s="70">
        <f>+J223+J226</f>
        <v>0</v>
      </c>
      <c r="K222" s="70">
        <f t="shared" ref="K222:K223" si="128">+K223</f>
        <v>0</v>
      </c>
      <c r="L222" s="70">
        <f t="shared" ref="L222:L223" si="129">+J222+K222</f>
        <v>0</v>
      </c>
      <c r="M222" s="70">
        <f t="shared" ref="M222:M226" si="130">+I222+L222</f>
        <v>0</v>
      </c>
      <c r="N222" s="47">
        <f>+F222-M222</f>
        <v>268740000</v>
      </c>
      <c r="P222" s="192"/>
      <c r="S222" s="282"/>
      <c r="T222" s="282"/>
      <c r="U222" s="249"/>
    </row>
    <row r="223" spans="1:21" s="55" customFormat="1" ht="18" customHeight="1" x14ac:dyDescent="0.25">
      <c r="A223" s="50"/>
      <c r="B223" s="51"/>
      <c r="C223" s="50"/>
      <c r="D223" s="71" t="s">
        <v>269</v>
      </c>
      <c r="E223" s="51" t="s">
        <v>270</v>
      </c>
      <c r="F223" s="53">
        <f t="shared" ref="F223:H223" si="131">+F224</f>
        <v>32340000</v>
      </c>
      <c r="G223" s="72">
        <f>+G224</f>
        <v>0</v>
      </c>
      <c r="H223" s="72">
        <f t="shared" si="131"/>
        <v>0</v>
      </c>
      <c r="I223" s="72">
        <f t="shared" si="127"/>
        <v>0</v>
      </c>
      <c r="J223" s="72">
        <f>+J224</f>
        <v>0</v>
      </c>
      <c r="K223" s="72">
        <f t="shared" si="128"/>
        <v>0</v>
      </c>
      <c r="L223" s="72">
        <f t="shared" si="129"/>
        <v>0</v>
      </c>
      <c r="M223" s="72">
        <f t="shared" si="130"/>
        <v>0</v>
      </c>
      <c r="N223" s="53">
        <f>+F223-M223</f>
        <v>32340000</v>
      </c>
      <c r="P223" s="195"/>
      <c r="S223" s="282"/>
      <c r="T223" s="282"/>
      <c r="U223" s="243"/>
    </row>
    <row r="224" spans="1:21" s="67" customFormat="1" ht="18" customHeight="1" x14ac:dyDescent="0.25">
      <c r="A224" s="83"/>
      <c r="B224" s="84"/>
      <c r="C224" s="56"/>
      <c r="D224" s="57" t="s">
        <v>92</v>
      </c>
      <c r="E224" s="57" t="s">
        <v>94</v>
      </c>
      <c r="F224" s="58">
        <f>SUM(F225)</f>
        <v>32340000</v>
      </c>
      <c r="G224" s="59">
        <f>+G225</f>
        <v>0</v>
      </c>
      <c r="H224" s="59">
        <f>+H225</f>
        <v>0</v>
      </c>
      <c r="I224" s="59">
        <f>+G224+H224</f>
        <v>0</v>
      </c>
      <c r="J224" s="59">
        <f>+J225</f>
        <v>0</v>
      </c>
      <c r="K224" s="59">
        <f>+K225</f>
        <v>0</v>
      </c>
      <c r="L224" s="59">
        <f>+J224+K224</f>
        <v>0</v>
      </c>
      <c r="M224" s="59">
        <f t="shared" si="130"/>
        <v>0</v>
      </c>
      <c r="N224" s="58">
        <f>+F224-M224</f>
        <v>32340000</v>
      </c>
      <c r="P224" s="192"/>
      <c r="S224" s="282"/>
      <c r="T224" s="282"/>
      <c r="U224" s="249"/>
    </row>
    <row r="225" spans="1:21" s="86" customFormat="1" ht="18" customHeight="1" x14ac:dyDescent="0.25">
      <c r="A225" s="85"/>
      <c r="B225" s="66"/>
      <c r="C225" s="61"/>
      <c r="D225" s="62" t="s">
        <v>397</v>
      </c>
      <c r="E225" s="62" t="s">
        <v>398</v>
      </c>
      <c r="F225" s="63">
        <v>32340000</v>
      </c>
      <c r="G225" s="75"/>
      <c r="H225" s="75"/>
      <c r="I225" s="75">
        <f t="shared" si="127"/>
        <v>0</v>
      </c>
      <c r="J225" s="75"/>
      <c r="K225" s="75"/>
      <c r="L225" s="75">
        <f t="shared" ref="L225:L235" si="132">+J225+K225</f>
        <v>0</v>
      </c>
      <c r="M225" s="75">
        <f t="shared" si="130"/>
        <v>0</v>
      </c>
      <c r="N225" s="63">
        <f t="shared" ref="N225:N237" si="133">+F225-M225</f>
        <v>32340000</v>
      </c>
      <c r="P225" s="194"/>
      <c r="S225" s="282"/>
      <c r="T225" s="282"/>
      <c r="U225" s="250"/>
    </row>
    <row r="226" spans="1:21" s="55" customFormat="1" ht="18" customHeight="1" x14ac:dyDescent="0.25">
      <c r="A226" s="50"/>
      <c r="B226" s="51"/>
      <c r="C226" s="50"/>
      <c r="D226" s="71" t="s">
        <v>399</v>
      </c>
      <c r="E226" s="51" t="s">
        <v>400</v>
      </c>
      <c r="F226" s="53">
        <f t="shared" ref="F226:H226" si="134">+F227</f>
        <v>234600000</v>
      </c>
      <c r="G226" s="72">
        <f>+G227</f>
        <v>0</v>
      </c>
      <c r="H226" s="72">
        <f t="shared" si="134"/>
        <v>0</v>
      </c>
      <c r="I226" s="72">
        <f t="shared" si="127"/>
        <v>0</v>
      </c>
      <c r="J226" s="72">
        <f>+J227</f>
        <v>0</v>
      </c>
      <c r="K226" s="72">
        <f t="shared" ref="K226" si="135">+K227</f>
        <v>0</v>
      </c>
      <c r="L226" s="72">
        <f t="shared" si="132"/>
        <v>0</v>
      </c>
      <c r="M226" s="72">
        <f t="shared" si="130"/>
        <v>0</v>
      </c>
      <c r="N226" s="53">
        <f t="shared" si="133"/>
        <v>234600000</v>
      </c>
      <c r="P226" s="195"/>
      <c r="S226" s="282"/>
      <c r="T226" s="282"/>
      <c r="U226" s="243"/>
    </row>
    <row r="227" spans="1:21" s="67" customFormat="1" ht="18" customHeight="1" x14ac:dyDescent="0.25">
      <c r="A227" s="83"/>
      <c r="B227" s="84"/>
      <c r="C227" s="56"/>
      <c r="D227" s="57" t="s">
        <v>401</v>
      </c>
      <c r="E227" s="57" t="s">
        <v>402</v>
      </c>
      <c r="F227" s="58">
        <f>SUM(F228:F230)</f>
        <v>234600000</v>
      </c>
      <c r="G227" s="59">
        <f>SUM(G229:G229)</f>
        <v>0</v>
      </c>
      <c r="H227" s="59">
        <f>SUM(H229:H229)</f>
        <v>0</v>
      </c>
      <c r="I227" s="59">
        <f t="shared" si="127"/>
        <v>0</v>
      </c>
      <c r="J227" s="59">
        <f>SUM(J229:J229)</f>
        <v>0</v>
      </c>
      <c r="K227" s="59">
        <f>SUM(K229:K229)</f>
        <v>0</v>
      </c>
      <c r="L227" s="59">
        <f t="shared" si="132"/>
        <v>0</v>
      </c>
      <c r="M227" s="59">
        <f>+I227+L227</f>
        <v>0</v>
      </c>
      <c r="N227" s="58">
        <f t="shared" si="133"/>
        <v>234600000</v>
      </c>
      <c r="P227" s="192"/>
      <c r="S227" s="282"/>
      <c r="T227" s="282"/>
      <c r="U227" s="249"/>
    </row>
    <row r="228" spans="1:21" s="86" customFormat="1" ht="18" customHeight="1" x14ac:dyDescent="0.25">
      <c r="A228" s="85"/>
      <c r="B228" s="66"/>
      <c r="C228" s="61"/>
      <c r="D228" s="62" t="s">
        <v>464</v>
      </c>
      <c r="E228" s="62" t="s">
        <v>465</v>
      </c>
      <c r="F228" s="63">
        <v>3000000</v>
      </c>
      <c r="G228" s="75"/>
      <c r="H228" s="75"/>
      <c r="I228" s="75">
        <f t="shared" si="127"/>
        <v>0</v>
      </c>
      <c r="J228" s="75"/>
      <c r="K228" s="75"/>
      <c r="L228" s="75">
        <f t="shared" si="132"/>
        <v>0</v>
      </c>
      <c r="M228" s="75">
        <f>+I228+L228</f>
        <v>0</v>
      </c>
      <c r="N228" s="63">
        <f t="shared" si="133"/>
        <v>3000000</v>
      </c>
      <c r="O228" s="87"/>
      <c r="P228" s="194"/>
      <c r="S228" s="282"/>
      <c r="T228" s="282"/>
      <c r="U228" s="250"/>
    </row>
    <row r="229" spans="1:21" s="86" customFormat="1" ht="18" customHeight="1" x14ac:dyDescent="0.25">
      <c r="A229" s="85"/>
      <c r="B229" s="66"/>
      <c r="C229" s="61"/>
      <c r="D229" s="62" t="s">
        <v>403</v>
      </c>
      <c r="E229" s="62" t="s">
        <v>404</v>
      </c>
      <c r="F229" s="63">
        <v>36600000</v>
      </c>
      <c r="G229" s="75"/>
      <c r="H229" s="75"/>
      <c r="I229" s="75">
        <f t="shared" si="127"/>
        <v>0</v>
      </c>
      <c r="J229" s="75"/>
      <c r="K229" s="75"/>
      <c r="L229" s="75">
        <f t="shared" si="132"/>
        <v>0</v>
      </c>
      <c r="M229" s="75">
        <f>+I229+L229</f>
        <v>0</v>
      </c>
      <c r="N229" s="63">
        <f t="shared" si="133"/>
        <v>36600000</v>
      </c>
      <c r="O229" s="87"/>
      <c r="P229" s="194"/>
      <c r="S229" s="282"/>
      <c r="T229" s="282"/>
      <c r="U229" s="250"/>
    </row>
    <row r="230" spans="1:21" s="86" customFormat="1" ht="18" customHeight="1" x14ac:dyDescent="0.25">
      <c r="A230" s="85"/>
      <c r="B230" s="66"/>
      <c r="C230" s="61"/>
      <c r="D230" s="62" t="s">
        <v>459</v>
      </c>
      <c r="E230" s="62" t="s">
        <v>460</v>
      </c>
      <c r="F230" s="63">
        <v>195000000</v>
      </c>
      <c r="G230" s="75"/>
      <c r="H230" s="75"/>
      <c r="I230" s="75">
        <f t="shared" si="127"/>
        <v>0</v>
      </c>
      <c r="J230" s="75"/>
      <c r="K230" s="75"/>
      <c r="L230" s="75">
        <f t="shared" si="132"/>
        <v>0</v>
      </c>
      <c r="M230" s="75">
        <f>+I230+L230</f>
        <v>0</v>
      </c>
      <c r="N230" s="63">
        <f t="shared" si="133"/>
        <v>195000000</v>
      </c>
      <c r="O230" s="87"/>
      <c r="P230" s="194"/>
      <c r="S230" s="282"/>
      <c r="T230" s="282"/>
      <c r="U230" s="250"/>
    </row>
    <row r="231" spans="1:21" s="55" customFormat="1" ht="18" customHeight="1" x14ac:dyDescent="0.25">
      <c r="A231" s="50"/>
      <c r="B231" s="51"/>
      <c r="C231" s="50"/>
      <c r="D231" s="71" t="s">
        <v>273</v>
      </c>
      <c r="E231" s="51" t="s">
        <v>274</v>
      </c>
      <c r="F231" s="53">
        <f>+F232</f>
        <v>1800000</v>
      </c>
      <c r="G231" s="72">
        <f>+G232</f>
        <v>0</v>
      </c>
      <c r="H231" s="72">
        <f t="shared" ref="H231" si="136">+H232</f>
        <v>0</v>
      </c>
      <c r="I231" s="72">
        <f t="shared" si="127"/>
        <v>0</v>
      </c>
      <c r="J231" s="72">
        <f>+J232</f>
        <v>0</v>
      </c>
      <c r="K231" s="72">
        <f t="shared" ref="K231" si="137">+K232</f>
        <v>0</v>
      </c>
      <c r="L231" s="72">
        <f t="shared" si="132"/>
        <v>0</v>
      </c>
      <c r="M231" s="72">
        <f t="shared" ref="M231" si="138">+I231+L231</f>
        <v>0</v>
      </c>
      <c r="N231" s="53">
        <f t="shared" si="133"/>
        <v>1800000</v>
      </c>
      <c r="P231" s="195"/>
      <c r="S231" s="282"/>
      <c r="T231" s="282"/>
      <c r="U231" s="243"/>
    </row>
    <row r="232" spans="1:21" s="67" customFormat="1" ht="18" customHeight="1" x14ac:dyDescent="0.25">
      <c r="A232" s="83"/>
      <c r="B232" s="84"/>
      <c r="C232" s="56"/>
      <c r="D232" s="57" t="s">
        <v>382</v>
      </c>
      <c r="E232" s="57" t="s">
        <v>383</v>
      </c>
      <c r="F232" s="58">
        <f>+F233</f>
        <v>1800000</v>
      </c>
      <c r="G232" s="59">
        <f>SUM(G234:G234)</f>
        <v>0</v>
      </c>
      <c r="H232" s="59">
        <f>SUM(H234:H234)</f>
        <v>0</v>
      </c>
      <c r="I232" s="59">
        <f t="shared" si="127"/>
        <v>0</v>
      </c>
      <c r="J232" s="59">
        <f>SUM(J234:J234)</f>
        <v>0</v>
      </c>
      <c r="K232" s="59">
        <f>SUM(K234:K234)</f>
        <v>0</v>
      </c>
      <c r="L232" s="59">
        <f t="shared" si="132"/>
        <v>0</v>
      </c>
      <c r="M232" s="59">
        <f>+I232+L232</f>
        <v>0</v>
      </c>
      <c r="N232" s="58">
        <f t="shared" si="133"/>
        <v>1800000</v>
      </c>
      <c r="P232" s="192"/>
      <c r="S232" s="282"/>
      <c r="T232" s="282"/>
      <c r="U232" s="249"/>
    </row>
    <row r="233" spans="1:21" s="86" customFormat="1" ht="18" customHeight="1" x14ac:dyDescent="0.25">
      <c r="A233" s="85"/>
      <c r="B233" s="66"/>
      <c r="C233" s="61"/>
      <c r="D233" s="62" t="s">
        <v>386</v>
      </c>
      <c r="E233" s="62" t="s">
        <v>387</v>
      </c>
      <c r="F233" s="63">
        <v>1800000</v>
      </c>
      <c r="G233" s="75"/>
      <c r="H233" s="75"/>
      <c r="I233" s="75">
        <f t="shared" si="127"/>
        <v>0</v>
      </c>
      <c r="J233" s="75"/>
      <c r="K233" s="75"/>
      <c r="L233" s="75">
        <f t="shared" si="132"/>
        <v>0</v>
      </c>
      <c r="M233" s="75">
        <f>+I233+L233</f>
        <v>0</v>
      </c>
      <c r="N233" s="63">
        <f t="shared" si="133"/>
        <v>1800000</v>
      </c>
      <c r="O233" s="87"/>
      <c r="P233" s="194"/>
      <c r="S233" s="282"/>
      <c r="T233" s="282"/>
      <c r="U233" s="250"/>
    </row>
    <row r="234" spans="1:21" s="67" customFormat="1" ht="18" customHeight="1" x14ac:dyDescent="0.25">
      <c r="A234" s="81"/>
      <c r="B234" s="82"/>
      <c r="C234" s="44"/>
      <c r="D234" s="45" t="s">
        <v>466</v>
      </c>
      <c r="E234" s="45" t="s">
        <v>467</v>
      </c>
      <c r="F234" s="47">
        <f>+F235</f>
        <v>100000000</v>
      </c>
      <c r="G234" s="70">
        <f>+G235</f>
        <v>0</v>
      </c>
      <c r="H234" s="70">
        <f>+H235+H238</f>
        <v>0</v>
      </c>
      <c r="I234" s="70">
        <f t="shared" si="127"/>
        <v>0</v>
      </c>
      <c r="J234" s="70">
        <f>+J235</f>
        <v>0</v>
      </c>
      <c r="K234" s="70">
        <f t="shared" ref="K234:K235" si="139">+K235</f>
        <v>0</v>
      </c>
      <c r="L234" s="70">
        <f t="shared" si="132"/>
        <v>0</v>
      </c>
      <c r="M234" s="70">
        <f>+I234+L234</f>
        <v>0</v>
      </c>
      <c r="N234" s="47">
        <f t="shared" si="133"/>
        <v>100000000</v>
      </c>
      <c r="P234" s="192"/>
      <c r="S234" s="282"/>
      <c r="T234" s="282"/>
      <c r="U234" s="249"/>
    </row>
    <row r="235" spans="1:21" s="55" customFormat="1" ht="18" customHeight="1" x14ac:dyDescent="0.25">
      <c r="A235" s="50"/>
      <c r="B235" s="51"/>
      <c r="C235" s="50"/>
      <c r="D235" s="71" t="s">
        <v>468</v>
      </c>
      <c r="E235" s="51" t="s">
        <v>469</v>
      </c>
      <c r="F235" s="53">
        <f t="shared" ref="F235:H235" si="140">+F236</f>
        <v>100000000</v>
      </c>
      <c r="G235" s="72">
        <f>+G236</f>
        <v>0</v>
      </c>
      <c r="H235" s="72">
        <f t="shared" si="140"/>
        <v>0</v>
      </c>
      <c r="I235" s="72">
        <f t="shared" si="127"/>
        <v>0</v>
      </c>
      <c r="J235" s="72">
        <f>+J236</f>
        <v>0</v>
      </c>
      <c r="K235" s="72">
        <f t="shared" si="139"/>
        <v>0</v>
      </c>
      <c r="L235" s="72">
        <f t="shared" si="132"/>
        <v>0</v>
      </c>
      <c r="M235" s="72">
        <f t="shared" ref="M235:M236" si="141">+I235+L235</f>
        <v>0</v>
      </c>
      <c r="N235" s="53">
        <f t="shared" si="133"/>
        <v>100000000</v>
      </c>
      <c r="P235" s="195"/>
      <c r="S235" s="282"/>
      <c r="T235" s="282"/>
      <c r="U235" s="243"/>
    </row>
    <row r="236" spans="1:21" s="67" customFormat="1" ht="18" customHeight="1" x14ac:dyDescent="0.25">
      <c r="A236" s="83"/>
      <c r="B236" s="84"/>
      <c r="C236" s="56"/>
      <c r="D236" s="57" t="s">
        <v>470</v>
      </c>
      <c r="E236" s="57" t="s">
        <v>471</v>
      </c>
      <c r="F236" s="58">
        <f>SUM(F237)</f>
        <v>100000000</v>
      </c>
      <c r="G236" s="59">
        <f>+G237</f>
        <v>0</v>
      </c>
      <c r="H236" s="59">
        <f>+H237</f>
        <v>0</v>
      </c>
      <c r="I236" s="59">
        <f>+G236+H236</f>
        <v>0</v>
      </c>
      <c r="J236" s="59">
        <f>+J237</f>
        <v>0</v>
      </c>
      <c r="K236" s="59">
        <f>+K237</f>
        <v>0</v>
      </c>
      <c r="L236" s="59">
        <f>+J236+K236</f>
        <v>0</v>
      </c>
      <c r="M236" s="59">
        <f t="shared" si="141"/>
        <v>0</v>
      </c>
      <c r="N236" s="58">
        <f t="shared" si="133"/>
        <v>100000000</v>
      </c>
      <c r="P236" s="192"/>
      <c r="S236" s="282"/>
      <c r="T236" s="282"/>
      <c r="U236" s="249"/>
    </row>
    <row r="237" spans="1:21" s="86" customFormat="1" ht="18" customHeight="1" x14ac:dyDescent="0.25">
      <c r="A237" s="85"/>
      <c r="B237" s="66"/>
      <c r="C237" s="61"/>
      <c r="D237" s="62" t="s">
        <v>472</v>
      </c>
      <c r="E237" s="62" t="s">
        <v>473</v>
      </c>
      <c r="F237" s="63">
        <v>100000000</v>
      </c>
      <c r="G237" s="75"/>
      <c r="H237" s="75"/>
      <c r="I237" s="75">
        <f>+G237+H237</f>
        <v>0</v>
      </c>
      <c r="J237" s="75"/>
      <c r="K237" s="75"/>
      <c r="L237" s="75">
        <f t="shared" ref="L237" si="142">+J237+K237</f>
        <v>0</v>
      </c>
      <c r="M237" s="75">
        <f>+I237+L237</f>
        <v>0</v>
      </c>
      <c r="N237" s="63">
        <f t="shared" si="133"/>
        <v>100000000</v>
      </c>
      <c r="P237" s="194"/>
      <c r="S237" s="282"/>
      <c r="T237" s="282"/>
      <c r="U237" s="250"/>
    </row>
    <row r="238" spans="1:21" s="134" customFormat="1" ht="18" customHeight="1" x14ac:dyDescent="0.25">
      <c r="A238" s="129"/>
      <c r="B238" s="131"/>
      <c r="C238" s="131"/>
      <c r="D238" s="131"/>
      <c r="E238" s="131"/>
      <c r="F238" s="132"/>
      <c r="G238" s="133"/>
      <c r="H238" s="133"/>
      <c r="I238" s="133"/>
      <c r="J238" s="133"/>
      <c r="K238" s="133"/>
      <c r="L238" s="133"/>
      <c r="M238" s="133"/>
      <c r="N238" s="132"/>
      <c r="P238" s="197"/>
      <c r="S238" s="286"/>
      <c r="T238" s="286"/>
      <c r="U238" s="247"/>
    </row>
    <row r="239" spans="1:21" s="137" customFormat="1" ht="18" customHeight="1" x14ac:dyDescent="0.25">
      <c r="A239" s="109"/>
      <c r="B239" s="110" t="s">
        <v>357</v>
      </c>
      <c r="C239" s="110"/>
      <c r="D239" s="110"/>
      <c r="E239" s="110" t="s">
        <v>358</v>
      </c>
      <c r="F239" s="135">
        <f>+F241</f>
        <v>260000000</v>
      </c>
      <c r="G239" s="136">
        <f>+G240</f>
        <v>0</v>
      </c>
      <c r="H239" s="136">
        <f>+H240</f>
        <v>0</v>
      </c>
      <c r="I239" s="136">
        <f>+G239+H239</f>
        <v>0</v>
      </c>
      <c r="J239" s="136">
        <f>+J240</f>
        <v>0</v>
      </c>
      <c r="K239" s="136">
        <f>+K240</f>
        <v>0</v>
      </c>
      <c r="L239" s="136">
        <f>+J239+K239</f>
        <v>0</v>
      </c>
      <c r="M239" s="136">
        <f t="shared" ref="M239" si="143">+I239+L239</f>
        <v>0</v>
      </c>
      <c r="N239" s="135">
        <f t="shared" ref="N239:N245" si="144">+F239-M239</f>
        <v>260000000</v>
      </c>
      <c r="P239" s="198"/>
      <c r="R239" s="138"/>
      <c r="S239" s="287"/>
      <c r="T239" s="287"/>
      <c r="U239" s="248"/>
    </row>
    <row r="240" spans="1:21" s="121" customFormat="1" ht="18" customHeight="1" x14ac:dyDescent="0.25">
      <c r="A240" s="116">
        <v>11</v>
      </c>
      <c r="B240" s="117"/>
      <c r="C240" s="117" t="s">
        <v>119</v>
      </c>
      <c r="D240" s="118"/>
      <c r="E240" s="128" t="s">
        <v>120</v>
      </c>
      <c r="F240" s="119">
        <f>+F241</f>
        <v>260000000</v>
      </c>
      <c r="G240" s="120">
        <f>+G241</f>
        <v>0</v>
      </c>
      <c r="H240" s="120">
        <f>+H241</f>
        <v>0</v>
      </c>
      <c r="I240" s="120">
        <f>+G240+H240</f>
        <v>0</v>
      </c>
      <c r="J240" s="120">
        <f>+J241</f>
        <v>0</v>
      </c>
      <c r="K240" s="120">
        <f>+K241</f>
        <v>0</v>
      </c>
      <c r="L240" s="120">
        <f>+J240+K240</f>
        <v>0</v>
      </c>
      <c r="M240" s="120">
        <f>+I240+L240</f>
        <v>0</v>
      </c>
      <c r="N240" s="119">
        <f t="shared" si="144"/>
        <v>260000000</v>
      </c>
      <c r="P240" s="190"/>
      <c r="R240" s="122"/>
      <c r="S240" s="283"/>
      <c r="T240" s="283"/>
      <c r="U240" s="246"/>
    </row>
    <row r="241" spans="1:21" s="107" customFormat="1" ht="18" customHeight="1" x14ac:dyDescent="0.25">
      <c r="A241" s="101"/>
      <c r="B241" s="102"/>
      <c r="C241" s="102"/>
      <c r="D241" s="103" t="s">
        <v>267</v>
      </c>
      <c r="E241" s="104" t="s">
        <v>268</v>
      </c>
      <c r="F241" s="105">
        <f t="shared" ref="F241:H243" si="145">+F242</f>
        <v>260000000</v>
      </c>
      <c r="G241" s="106">
        <f>+G242</f>
        <v>0</v>
      </c>
      <c r="H241" s="106">
        <f t="shared" si="145"/>
        <v>0</v>
      </c>
      <c r="I241" s="106">
        <f t="shared" ref="I241:I245" si="146">+G241+H241</f>
        <v>0</v>
      </c>
      <c r="J241" s="106">
        <f>+J242</f>
        <v>0</v>
      </c>
      <c r="K241" s="106">
        <f t="shared" ref="K241:K243" si="147">+K242</f>
        <v>0</v>
      </c>
      <c r="L241" s="106">
        <f t="shared" ref="L241:L244" si="148">+J241+K241</f>
        <v>0</v>
      </c>
      <c r="M241" s="106">
        <f t="shared" ref="M241:M244" si="149">+I241+L241</f>
        <v>0</v>
      </c>
      <c r="N241" s="105">
        <f t="shared" si="144"/>
        <v>260000000</v>
      </c>
      <c r="P241" s="191"/>
      <c r="R241" s="108"/>
      <c r="S241" s="284"/>
      <c r="T241" s="284"/>
      <c r="U241" s="241"/>
    </row>
    <row r="242" spans="1:21" s="49" customFormat="1" ht="18" customHeight="1" x14ac:dyDescent="0.25">
      <c r="A242" s="44"/>
      <c r="B242" s="82"/>
      <c r="C242" s="44"/>
      <c r="D242" s="45" t="s">
        <v>78</v>
      </c>
      <c r="E242" s="45" t="s">
        <v>75</v>
      </c>
      <c r="F242" s="47">
        <f t="shared" si="145"/>
        <v>260000000</v>
      </c>
      <c r="G242" s="70">
        <f>+G243</f>
        <v>0</v>
      </c>
      <c r="H242" s="70">
        <f t="shared" si="145"/>
        <v>0</v>
      </c>
      <c r="I242" s="70">
        <f t="shared" si="146"/>
        <v>0</v>
      </c>
      <c r="J242" s="70">
        <f>+J243</f>
        <v>0</v>
      </c>
      <c r="K242" s="70">
        <f t="shared" si="147"/>
        <v>0</v>
      </c>
      <c r="L242" s="70">
        <f t="shared" si="148"/>
        <v>0</v>
      </c>
      <c r="M242" s="70">
        <f t="shared" si="149"/>
        <v>0</v>
      </c>
      <c r="N242" s="47">
        <f t="shared" si="144"/>
        <v>260000000</v>
      </c>
      <c r="P242" s="192"/>
      <c r="S242" s="282"/>
      <c r="T242" s="282"/>
      <c r="U242" s="242"/>
    </row>
    <row r="243" spans="1:21" s="55" customFormat="1" ht="18" customHeight="1" x14ac:dyDescent="0.25">
      <c r="A243" s="50"/>
      <c r="B243" s="51"/>
      <c r="C243" s="50"/>
      <c r="D243" s="71" t="s">
        <v>277</v>
      </c>
      <c r="E243" s="51" t="s">
        <v>278</v>
      </c>
      <c r="F243" s="53">
        <f t="shared" si="145"/>
        <v>260000000</v>
      </c>
      <c r="G243" s="72">
        <f>+G244</f>
        <v>0</v>
      </c>
      <c r="H243" s="72">
        <f t="shared" si="145"/>
        <v>0</v>
      </c>
      <c r="I243" s="72">
        <f t="shared" si="146"/>
        <v>0</v>
      </c>
      <c r="J243" s="72">
        <f>+J244</f>
        <v>0</v>
      </c>
      <c r="K243" s="72">
        <f t="shared" si="147"/>
        <v>0</v>
      </c>
      <c r="L243" s="72">
        <f t="shared" si="148"/>
        <v>0</v>
      </c>
      <c r="M243" s="72">
        <f t="shared" si="149"/>
        <v>0</v>
      </c>
      <c r="N243" s="53">
        <f t="shared" si="144"/>
        <v>260000000</v>
      </c>
      <c r="P243" s="195"/>
      <c r="S243" s="282"/>
      <c r="T243" s="282"/>
      <c r="U243" s="243"/>
    </row>
    <row r="244" spans="1:21" s="49" customFormat="1" ht="18" customHeight="1" x14ac:dyDescent="0.25">
      <c r="A244" s="56"/>
      <c r="B244" s="84"/>
      <c r="C244" s="56"/>
      <c r="D244" s="57" t="s">
        <v>121</v>
      </c>
      <c r="E244" s="57" t="s">
        <v>123</v>
      </c>
      <c r="F244" s="58">
        <f>F245</f>
        <v>260000000</v>
      </c>
      <c r="G244" s="59">
        <f>+G245</f>
        <v>0</v>
      </c>
      <c r="H244" s="59">
        <f>+H245</f>
        <v>0</v>
      </c>
      <c r="I244" s="59">
        <f t="shared" si="146"/>
        <v>0</v>
      </c>
      <c r="J244" s="59">
        <f>+J245</f>
        <v>0</v>
      </c>
      <c r="K244" s="59">
        <f>+K245</f>
        <v>0</v>
      </c>
      <c r="L244" s="59">
        <f t="shared" si="148"/>
        <v>0</v>
      </c>
      <c r="M244" s="59">
        <f t="shared" si="149"/>
        <v>0</v>
      </c>
      <c r="N244" s="58">
        <f t="shared" si="144"/>
        <v>260000000</v>
      </c>
      <c r="P244" s="192"/>
      <c r="S244" s="282"/>
      <c r="T244" s="282"/>
      <c r="U244" s="242"/>
    </row>
    <row r="245" spans="1:21" s="49" customFormat="1" ht="18" customHeight="1" x14ac:dyDescent="0.25">
      <c r="A245" s="61"/>
      <c r="B245" s="66"/>
      <c r="C245" s="61"/>
      <c r="D245" s="62" t="s">
        <v>122</v>
      </c>
      <c r="E245" s="62" t="s">
        <v>124</v>
      </c>
      <c r="F245" s="63">
        <v>260000000</v>
      </c>
      <c r="G245" s="75"/>
      <c r="H245" s="75"/>
      <c r="I245" s="75">
        <f t="shared" si="146"/>
        <v>0</v>
      </c>
      <c r="J245" s="75"/>
      <c r="K245" s="75"/>
      <c r="L245" s="75"/>
      <c r="M245" s="75">
        <f>+I245+L245</f>
        <v>0</v>
      </c>
      <c r="N245" s="63">
        <f t="shared" si="144"/>
        <v>260000000</v>
      </c>
      <c r="P245" s="192"/>
      <c r="S245" s="282"/>
      <c r="T245" s="282"/>
      <c r="U245" s="242"/>
    </row>
    <row r="246" spans="1:21" s="134" customFormat="1" ht="18" customHeight="1" x14ac:dyDescent="0.25">
      <c r="A246" s="129"/>
      <c r="B246" s="131"/>
      <c r="C246" s="131"/>
      <c r="D246" s="131"/>
      <c r="E246" s="131"/>
      <c r="F246" s="132"/>
      <c r="G246" s="133"/>
      <c r="H246" s="133"/>
      <c r="I246" s="133"/>
      <c r="J246" s="133"/>
      <c r="K246" s="133"/>
      <c r="L246" s="133"/>
      <c r="M246" s="133"/>
      <c r="N246" s="132"/>
      <c r="P246" s="197"/>
      <c r="S246" s="286"/>
      <c r="T246" s="286"/>
      <c r="U246" s="247"/>
    </row>
    <row r="247" spans="1:21" s="137" customFormat="1" ht="16.5" customHeight="1" x14ac:dyDescent="0.25">
      <c r="A247" s="109"/>
      <c r="B247" s="110" t="s">
        <v>359</v>
      </c>
      <c r="C247" s="110"/>
      <c r="D247" s="110"/>
      <c r="E247" s="110" t="s">
        <v>360</v>
      </c>
      <c r="F247" s="135">
        <f>+F248+F256+F269+F278</f>
        <v>39780847375</v>
      </c>
      <c r="G247" s="136">
        <f>+G248+G256+G269+G278</f>
        <v>9469897278</v>
      </c>
      <c r="H247" s="136">
        <f>+H248+H256+H269+H278</f>
        <v>3055188038</v>
      </c>
      <c r="I247" s="136">
        <f>+G247+H247</f>
        <v>12525085316</v>
      </c>
      <c r="J247" s="136">
        <f>+J248+J256+J269+J278</f>
        <v>328721370</v>
      </c>
      <c r="K247" s="136">
        <f>+K248+K256+K269+K278</f>
        <v>32384184</v>
      </c>
      <c r="L247" s="136">
        <f>+J247+K247</f>
        <v>361105554</v>
      </c>
      <c r="M247" s="113">
        <f t="shared" ref="M247" si="150">+I247+L247</f>
        <v>12886190870</v>
      </c>
      <c r="N247" s="135">
        <f t="shared" ref="N247:N255" si="151">+F247-M247</f>
        <v>26894656505</v>
      </c>
      <c r="P247" s="198"/>
      <c r="R247" s="138"/>
      <c r="S247" s="287"/>
      <c r="T247" s="287"/>
      <c r="U247" s="248"/>
    </row>
    <row r="248" spans="1:21" s="121" customFormat="1" ht="18" customHeight="1" x14ac:dyDescent="0.25">
      <c r="A248" s="116">
        <v>12</v>
      </c>
      <c r="B248" s="117"/>
      <c r="C248" s="117" t="s">
        <v>125</v>
      </c>
      <c r="D248" s="118"/>
      <c r="E248" s="128" t="s">
        <v>34</v>
      </c>
      <c r="F248" s="119">
        <f>+F249</f>
        <v>219414700</v>
      </c>
      <c r="G248" s="120">
        <f>+G249</f>
        <v>149879620</v>
      </c>
      <c r="H248" s="120">
        <f>+H249</f>
        <v>0</v>
      </c>
      <c r="I248" s="120">
        <f>+G248+H248</f>
        <v>149879620</v>
      </c>
      <c r="J248" s="120">
        <f>+J249</f>
        <v>9738375</v>
      </c>
      <c r="K248" s="120">
        <f>+K249</f>
        <v>7350750</v>
      </c>
      <c r="L248" s="120">
        <f>+J248+K248</f>
        <v>17089125</v>
      </c>
      <c r="M248" s="120">
        <f>+I248+L248</f>
        <v>166968745</v>
      </c>
      <c r="N248" s="119">
        <f t="shared" si="151"/>
        <v>52445955</v>
      </c>
      <c r="P248" s="190"/>
      <c r="R248" s="122"/>
      <c r="S248" s="283"/>
      <c r="T248" s="283"/>
      <c r="U248" s="246"/>
    </row>
    <row r="249" spans="1:21" s="107" customFormat="1" ht="18" customHeight="1" x14ac:dyDescent="0.25">
      <c r="A249" s="101"/>
      <c r="B249" s="102"/>
      <c r="C249" s="141"/>
      <c r="D249" s="103" t="s">
        <v>207</v>
      </c>
      <c r="E249" s="104" t="s">
        <v>262</v>
      </c>
      <c r="F249" s="105">
        <f t="shared" ref="F249:H251" si="152">+F250</f>
        <v>219414700</v>
      </c>
      <c r="G249" s="106">
        <f>+G250</f>
        <v>149879620</v>
      </c>
      <c r="H249" s="106">
        <f t="shared" si="152"/>
        <v>0</v>
      </c>
      <c r="I249" s="106">
        <f t="shared" ref="I249:I253" si="153">+G249+H249</f>
        <v>149879620</v>
      </c>
      <c r="J249" s="106">
        <f t="shared" ref="J249:K251" si="154">+J250</f>
        <v>9738375</v>
      </c>
      <c r="K249" s="106">
        <f t="shared" si="154"/>
        <v>7350750</v>
      </c>
      <c r="L249" s="106">
        <f t="shared" ref="L249:L251" si="155">+J249+K249</f>
        <v>17089125</v>
      </c>
      <c r="M249" s="106">
        <f t="shared" ref="M249:M252" si="156">+I249+L249</f>
        <v>166968745</v>
      </c>
      <c r="N249" s="105">
        <f t="shared" si="151"/>
        <v>52445955</v>
      </c>
      <c r="P249" s="191"/>
      <c r="R249" s="108"/>
      <c r="S249" s="284"/>
      <c r="T249" s="284"/>
      <c r="U249" s="241"/>
    </row>
    <row r="250" spans="1:21" s="49" customFormat="1" ht="18" customHeight="1" x14ac:dyDescent="0.25">
      <c r="A250" s="44"/>
      <c r="B250" s="82"/>
      <c r="C250" s="44"/>
      <c r="D250" s="45" t="s">
        <v>63</v>
      </c>
      <c r="E250" s="45" t="s">
        <v>30</v>
      </c>
      <c r="F250" s="47">
        <f t="shared" si="152"/>
        <v>219414700</v>
      </c>
      <c r="G250" s="70">
        <f>+G251</f>
        <v>149879620</v>
      </c>
      <c r="H250" s="70">
        <f t="shared" si="152"/>
        <v>0</v>
      </c>
      <c r="I250" s="70">
        <f t="shared" si="153"/>
        <v>149879620</v>
      </c>
      <c r="J250" s="70">
        <f t="shared" si="154"/>
        <v>9738375</v>
      </c>
      <c r="K250" s="70">
        <f t="shared" si="154"/>
        <v>7350750</v>
      </c>
      <c r="L250" s="70">
        <f t="shared" si="155"/>
        <v>17089125</v>
      </c>
      <c r="M250" s="70">
        <f t="shared" si="156"/>
        <v>166968745</v>
      </c>
      <c r="N250" s="47">
        <f t="shared" si="151"/>
        <v>52445955</v>
      </c>
      <c r="P250" s="192"/>
      <c r="S250" s="282"/>
      <c r="T250" s="282"/>
      <c r="U250" s="242"/>
    </row>
    <row r="251" spans="1:21" s="55" customFormat="1" ht="18" customHeight="1" x14ac:dyDescent="0.25">
      <c r="A251" s="50"/>
      <c r="B251" s="51"/>
      <c r="C251" s="50"/>
      <c r="D251" s="71" t="s">
        <v>263</v>
      </c>
      <c r="E251" s="51" t="s">
        <v>264</v>
      </c>
      <c r="F251" s="53">
        <f t="shared" si="152"/>
        <v>219414700</v>
      </c>
      <c r="G251" s="72">
        <f>+G252</f>
        <v>149879620</v>
      </c>
      <c r="H251" s="72">
        <f t="shared" si="152"/>
        <v>0</v>
      </c>
      <c r="I251" s="72">
        <f t="shared" si="153"/>
        <v>149879620</v>
      </c>
      <c r="J251" s="72">
        <f t="shared" si="154"/>
        <v>9738375</v>
      </c>
      <c r="K251" s="72">
        <f t="shared" si="154"/>
        <v>7350750</v>
      </c>
      <c r="L251" s="72">
        <f t="shared" si="155"/>
        <v>17089125</v>
      </c>
      <c r="M251" s="72">
        <f t="shared" si="156"/>
        <v>166968745</v>
      </c>
      <c r="N251" s="53">
        <f t="shared" si="151"/>
        <v>52445955</v>
      </c>
      <c r="P251" s="195"/>
      <c r="S251" s="282"/>
      <c r="T251" s="282"/>
      <c r="U251" s="243"/>
    </row>
    <row r="252" spans="1:21" s="49" customFormat="1" ht="18" customHeight="1" x14ac:dyDescent="0.25">
      <c r="A252" s="56"/>
      <c r="B252" s="84"/>
      <c r="C252" s="56"/>
      <c r="D252" s="57" t="s">
        <v>64</v>
      </c>
      <c r="E252" s="57" t="s">
        <v>65</v>
      </c>
      <c r="F252" s="58">
        <f>SUM(F253:F255)</f>
        <v>219414700</v>
      </c>
      <c r="G252" s="59">
        <f>SUM(G253:G255)</f>
        <v>149879620</v>
      </c>
      <c r="H252" s="59">
        <f>SUM(H253:H255)</f>
        <v>0</v>
      </c>
      <c r="I252" s="59">
        <f t="shared" si="153"/>
        <v>149879620</v>
      </c>
      <c r="J252" s="59">
        <f>SUM(J253:J255)</f>
        <v>9738375</v>
      </c>
      <c r="K252" s="59">
        <f>SUM(K253:K255)</f>
        <v>7350750</v>
      </c>
      <c r="L252" s="59">
        <f>+J252+K252</f>
        <v>17089125</v>
      </c>
      <c r="M252" s="59">
        <f t="shared" si="156"/>
        <v>166968745</v>
      </c>
      <c r="N252" s="58">
        <f t="shared" si="151"/>
        <v>52445955</v>
      </c>
      <c r="P252" s="192"/>
      <c r="S252" s="282"/>
      <c r="T252" s="282"/>
      <c r="U252" s="242"/>
    </row>
    <row r="253" spans="1:21" s="65" customFormat="1" ht="18" customHeight="1" x14ac:dyDescent="0.25">
      <c r="A253" s="61"/>
      <c r="B253" s="66"/>
      <c r="C253" s="61"/>
      <c r="D253" s="62" t="s">
        <v>337</v>
      </c>
      <c r="E253" s="62" t="s">
        <v>338</v>
      </c>
      <c r="F253" s="63">
        <v>875000</v>
      </c>
      <c r="G253" s="75"/>
      <c r="H253" s="75"/>
      <c r="I253" s="75">
        <f t="shared" si="153"/>
        <v>0</v>
      </c>
      <c r="J253" s="75"/>
      <c r="K253" s="75"/>
      <c r="L253" s="75">
        <f>+J253+K253</f>
        <v>0</v>
      </c>
      <c r="M253" s="75">
        <f>+I253+L253</f>
        <v>0</v>
      </c>
      <c r="N253" s="63">
        <f t="shared" si="151"/>
        <v>875000</v>
      </c>
      <c r="P253" s="194"/>
      <c r="S253" s="282"/>
      <c r="T253" s="282"/>
      <c r="U253" s="244"/>
    </row>
    <row r="254" spans="1:21" s="65" customFormat="1" ht="18" customHeight="1" x14ac:dyDescent="0.25">
      <c r="A254" s="61"/>
      <c r="B254" s="66"/>
      <c r="C254" s="61"/>
      <c r="D254" s="62" t="s">
        <v>68</v>
      </c>
      <c r="E254" s="62" t="s">
        <v>69</v>
      </c>
      <c r="F254" s="63">
        <v>182539700</v>
      </c>
      <c r="G254" s="75">
        <v>149879620</v>
      </c>
      <c r="H254" s="75"/>
      <c r="I254" s="75">
        <f>+G254+H254</f>
        <v>149879620</v>
      </c>
      <c r="J254" s="75">
        <v>4938375</v>
      </c>
      <c r="K254" s="75">
        <f>996750+959250+999375+997125+998250</f>
        <v>4950750</v>
      </c>
      <c r="L254" s="75">
        <f>+J254+K254</f>
        <v>9889125</v>
      </c>
      <c r="M254" s="75">
        <f>+I254+L254</f>
        <v>159768745</v>
      </c>
      <c r="N254" s="63">
        <f t="shared" si="151"/>
        <v>22770955</v>
      </c>
      <c r="P254" s="194"/>
      <c r="S254" s="281">
        <f>996750+959250+999375+997125+998250</f>
        <v>4950750</v>
      </c>
      <c r="T254" s="282"/>
      <c r="U254" s="244"/>
    </row>
    <row r="255" spans="1:21" s="127" customFormat="1" ht="18" customHeight="1" x14ac:dyDescent="0.25">
      <c r="A255" s="123"/>
      <c r="B255" s="143"/>
      <c r="C255" s="123"/>
      <c r="D255" s="124" t="s">
        <v>126</v>
      </c>
      <c r="E255" s="124" t="s">
        <v>127</v>
      </c>
      <c r="F255" s="125">
        <v>36000000</v>
      </c>
      <c r="G255" s="140">
        <v>0</v>
      </c>
      <c r="H255" s="140"/>
      <c r="I255" s="140">
        <f>+G255+H255</f>
        <v>0</v>
      </c>
      <c r="J255" s="140">
        <v>4800000</v>
      </c>
      <c r="K255" s="140">
        <v>2400000</v>
      </c>
      <c r="L255" s="140">
        <f>+J255+K255</f>
        <v>7200000</v>
      </c>
      <c r="M255" s="140">
        <f>+I255+L255</f>
        <v>7200000</v>
      </c>
      <c r="N255" s="125">
        <f t="shared" si="151"/>
        <v>28800000</v>
      </c>
      <c r="P255" s="196"/>
      <c r="S255" s="285">
        <v>2400000</v>
      </c>
      <c r="T255" s="286"/>
      <c r="U255" s="245"/>
    </row>
    <row r="256" spans="1:21" s="121" customFormat="1" ht="18" customHeight="1" x14ac:dyDescent="0.25">
      <c r="A256" s="116">
        <v>13</v>
      </c>
      <c r="B256" s="117"/>
      <c r="C256" s="117" t="s">
        <v>128</v>
      </c>
      <c r="D256" s="118"/>
      <c r="E256" s="128" t="s">
        <v>46</v>
      </c>
      <c r="F256" s="119">
        <f>+F257</f>
        <v>38400620000</v>
      </c>
      <c r="G256" s="120">
        <f>+G257</f>
        <v>9165451928</v>
      </c>
      <c r="H256" s="120">
        <f>+H257</f>
        <v>3055188038</v>
      </c>
      <c r="I256" s="120">
        <f>+G256+H256</f>
        <v>12220639966</v>
      </c>
      <c r="J256" s="120">
        <f>+J257</f>
        <v>76062995</v>
      </c>
      <c r="K256" s="120">
        <f>+K257</f>
        <v>25033434</v>
      </c>
      <c r="L256" s="120">
        <f>+J256+K256</f>
        <v>101096429</v>
      </c>
      <c r="M256" s="120">
        <f>+I256+L256</f>
        <v>12321736395</v>
      </c>
      <c r="N256" s="119">
        <f>+F256-M256</f>
        <v>26078883605</v>
      </c>
      <c r="P256" s="190"/>
      <c r="R256" s="122"/>
      <c r="S256" s="283"/>
      <c r="T256" s="283"/>
      <c r="U256" s="246"/>
    </row>
    <row r="257" spans="1:21" s="107" customFormat="1" ht="18" customHeight="1" x14ac:dyDescent="0.25">
      <c r="A257" s="101"/>
      <c r="B257" s="102"/>
      <c r="C257" s="141"/>
      <c r="D257" s="103" t="s">
        <v>207</v>
      </c>
      <c r="E257" s="104" t="s">
        <v>262</v>
      </c>
      <c r="F257" s="105">
        <f>+F258</f>
        <v>38400620000</v>
      </c>
      <c r="G257" s="106">
        <f>+G258</f>
        <v>9165451928</v>
      </c>
      <c r="H257" s="106">
        <f t="shared" ref="F257:H259" si="157">+H258</f>
        <v>3055188038</v>
      </c>
      <c r="I257" s="106">
        <f t="shared" ref="I257:I262" si="158">+G257+H257</f>
        <v>12220639966</v>
      </c>
      <c r="J257" s="106">
        <f t="shared" ref="J257:K259" si="159">+J258</f>
        <v>76062995</v>
      </c>
      <c r="K257" s="106">
        <f t="shared" si="159"/>
        <v>25033434</v>
      </c>
      <c r="L257" s="106">
        <f t="shared" ref="L257:L260" si="160">+J257+K257</f>
        <v>101096429</v>
      </c>
      <c r="M257" s="106">
        <f t="shared" ref="M257:M260" si="161">+I257+L257</f>
        <v>12321736395</v>
      </c>
      <c r="N257" s="105">
        <f>+F257-M257</f>
        <v>26078883605</v>
      </c>
      <c r="P257" s="191"/>
      <c r="R257" s="108"/>
      <c r="S257" s="284"/>
      <c r="T257" s="284"/>
      <c r="U257" s="241"/>
    </row>
    <row r="258" spans="1:21" s="49" customFormat="1" ht="18" customHeight="1" x14ac:dyDescent="0.25">
      <c r="A258" s="44"/>
      <c r="B258" s="82"/>
      <c r="C258" s="44"/>
      <c r="D258" s="45" t="s">
        <v>63</v>
      </c>
      <c r="E258" s="45" t="s">
        <v>30</v>
      </c>
      <c r="F258" s="47">
        <f>+F259+F262</f>
        <v>38400620000</v>
      </c>
      <c r="G258" s="70">
        <f>+G259+G262</f>
        <v>9165451928</v>
      </c>
      <c r="H258" s="70">
        <f>+H259+H262</f>
        <v>3055188038</v>
      </c>
      <c r="I258" s="70">
        <f t="shared" si="158"/>
        <v>12220639966</v>
      </c>
      <c r="J258" s="70">
        <f>+J259+J262</f>
        <v>76062995</v>
      </c>
      <c r="K258" s="70">
        <f>+K259+K262</f>
        <v>25033434</v>
      </c>
      <c r="L258" s="70">
        <f t="shared" si="160"/>
        <v>101096429</v>
      </c>
      <c r="M258" s="70">
        <f t="shared" si="161"/>
        <v>12321736395</v>
      </c>
      <c r="N258" s="47">
        <f>+F258-M258</f>
        <v>26078883605</v>
      </c>
      <c r="P258" s="192"/>
      <c r="S258" s="282"/>
      <c r="T258" s="282"/>
      <c r="U258" s="242"/>
    </row>
    <row r="259" spans="1:21" s="55" customFormat="1" ht="18" customHeight="1" x14ac:dyDescent="0.25">
      <c r="A259" s="50"/>
      <c r="B259" s="51"/>
      <c r="C259" s="50"/>
      <c r="D259" s="71" t="s">
        <v>263</v>
      </c>
      <c r="E259" s="51" t="s">
        <v>264</v>
      </c>
      <c r="F259" s="53">
        <f t="shared" si="157"/>
        <v>35000000</v>
      </c>
      <c r="G259" s="72">
        <f>+G260</f>
        <v>0</v>
      </c>
      <c r="H259" s="72">
        <f t="shared" si="157"/>
        <v>0</v>
      </c>
      <c r="I259" s="72">
        <f t="shared" si="158"/>
        <v>0</v>
      </c>
      <c r="J259" s="72">
        <f t="shared" si="159"/>
        <v>7269779</v>
      </c>
      <c r="K259" s="72">
        <f t="shared" si="159"/>
        <v>2000000</v>
      </c>
      <c r="L259" s="72">
        <f t="shared" si="160"/>
        <v>9269779</v>
      </c>
      <c r="M259" s="72">
        <f t="shared" si="161"/>
        <v>9269779</v>
      </c>
      <c r="N259" s="53">
        <f>+F259-M259</f>
        <v>25730221</v>
      </c>
      <c r="P259" s="195"/>
      <c r="S259" s="282"/>
      <c r="T259" s="282"/>
      <c r="U259" s="243"/>
    </row>
    <row r="260" spans="1:21" s="49" customFormat="1" ht="18" customHeight="1" x14ac:dyDescent="0.25">
      <c r="A260" s="56"/>
      <c r="B260" s="84"/>
      <c r="C260" s="56"/>
      <c r="D260" s="57" t="s">
        <v>64</v>
      </c>
      <c r="E260" s="57" t="s">
        <v>65</v>
      </c>
      <c r="F260" s="58">
        <f>+F261</f>
        <v>35000000</v>
      </c>
      <c r="G260" s="59">
        <f>+G261</f>
        <v>0</v>
      </c>
      <c r="H260" s="59">
        <f>+H261+H265</f>
        <v>0</v>
      </c>
      <c r="I260" s="59">
        <f t="shared" si="158"/>
        <v>0</v>
      </c>
      <c r="J260" s="59">
        <f>J261</f>
        <v>7269779</v>
      </c>
      <c r="K260" s="59">
        <f>+K261</f>
        <v>2000000</v>
      </c>
      <c r="L260" s="59">
        <f t="shared" si="160"/>
        <v>9269779</v>
      </c>
      <c r="M260" s="59">
        <f t="shared" si="161"/>
        <v>9269779</v>
      </c>
      <c r="N260" s="58">
        <f>+F260-M260</f>
        <v>25730221</v>
      </c>
      <c r="P260" s="192"/>
      <c r="S260" s="282"/>
      <c r="T260" s="282"/>
      <c r="U260" s="242"/>
    </row>
    <row r="261" spans="1:21" s="65" customFormat="1" ht="18" customHeight="1" x14ac:dyDescent="0.25">
      <c r="A261" s="61"/>
      <c r="B261" s="66"/>
      <c r="C261" s="61"/>
      <c r="D261" s="62" t="s">
        <v>129</v>
      </c>
      <c r="E261" s="62" t="s">
        <v>130</v>
      </c>
      <c r="F261" s="63">
        <v>35000000</v>
      </c>
      <c r="G261" s="75"/>
      <c r="H261" s="75"/>
      <c r="I261" s="75">
        <f t="shared" si="158"/>
        <v>0</v>
      </c>
      <c r="J261" s="75">
        <v>7269779</v>
      </c>
      <c r="K261" s="75">
        <v>2000000</v>
      </c>
      <c r="L261" s="75">
        <f>+J261+K261</f>
        <v>9269779</v>
      </c>
      <c r="M261" s="75">
        <f>+I261+L261</f>
        <v>9269779</v>
      </c>
      <c r="N261" s="63">
        <f t="shared" ref="N261" si="162">+F261-M261</f>
        <v>25730221</v>
      </c>
      <c r="P261" s="194"/>
      <c r="S261" s="281">
        <v>2000000</v>
      </c>
      <c r="T261" s="282"/>
      <c r="U261" s="244"/>
    </row>
    <row r="262" spans="1:21" s="55" customFormat="1" ht="18" customHeight="1" x14ac:dyDescent="0.25">
      <c r="A262" s="50"/>
      <c r="B262" s="51"/>
      <c r="C262" s="50"/>
      <c r="D262" s="71" t="s">
        <v>271</v>
      </c>
      <c r="E262" s="51" t="s">
        <v>272</v>
      </c>
      <c r="F262" s="53">
        <f t="shared" ref="F262:H262" si="163">+F263</f>
        <v>38365620000</v>
      </c>
      <c r="G262" s="72">
        <f>+G263</f>
        <v>9165451928</v>
      </c>
      <c r="H262" s="72">
        <f t="shared" si="163"/>
        <v>3055188038</v>
      </c>
      <c r="I262" s="72">
        <f t="shared" si="158"/>
        <v>12220639966</v>
      </c>
      <c r="J262" s="72">
        <f>+J263</f>
        <v>68793216</v>
      </c>
      <c r="K262" s="72">
        <f t="shared" ref="K262" si="164">+K263</f>
        <v>23033434</v>
      </c>
      <c r="L262" s="72">
        <f t="shared" ref="L262" si="165">+J262+K262</f>
        <v>91826650</v>
      </c>
      <c r="M262" s="72">
        <f t="shared" ref="M262:M263" si="166">+I262+L262</f>
        <v>12312466616</v>
      </c>
      <c r="N262" s="53">
        <f>+F262-M262</f>
        <v>26053153384</v>
      </c>
      <c r="P262" s="195"/>
      <c r="S262" s="282"/>
      <c r="T262" s="282"/>
      <c r="U262" s="243"/>
    </row>
    <row r="263" spans="1:21" s="49" customFormat="1" ht="18" customHeight="1" x14ac:dyDescent="0.25">
      <c r="A263" s="56"/>
      <c r="B263" s="84"/>
      <c r="C263" s="56"/>
      <c r="D263" s="57" t="s">
        <v>81</v>
      </c>
      <c r="E263" s="57" t="s">
        <v>31</v>
      </c>
      <c r="F263" s="58">
        <f>SUM(F264:F268)</f>
        <v>38365620000</v>
      </c>
      <c r="G263" s="59">
        <f>SUM(G264:G268)</f>
        <v>9165451928</v>
      </c>
      <c r="H263" s="59">
        <f>SUM(H264:H268)</f>
        <v>3055188038</v>
      </c>
      <c r="I263" s="59">
        <f>+G263+H263</f>
        <v>12220639966</v>
      </c>
      <c r="J263" s="59">
        <f>SUM(J264:J268)</f>
        <v>68793216</v>
      </c>
      <c r="K263" s="59">
        <f>SUM(K264:K268)</f>
        <v>23033434</v>
      </c>
      <c r="L263" s="59">
        <f>+J263+K263</f>
        <v>91826650</v>
      </c>
      <c r="M263" s="59">
        <f t="shared" si="166"/>
        <v>12312466616</v>
      </c>
      <c r="N263" s="58">
        <f>+F263-M263</f>
        <v>26053153384</v>
      </c>
      <c r="P263" s="192"/>
      <c r="S263" s="282"/>
      <c r="T263" s="282"/>
      <c r="U263" s="242"/>
    </row>
    <row r="264" spans="1:21" s="65" customFormat="1" ht="18" customHeight="1" x14ac:dyDescent="0.25">
      <c r="A264" s="61"/>
      <c r="B264" s="66"/>
      <c r="C264" s="61"/>
      <c r="D264" s="62" t="s">
        <v>131</v>
      </c>
      <c r="E264" s="62" t="s">
        <v>132</v>
      </c>
      <c r="F264" s="63">
        <v>16800000</v>
      </c>
      <c r="G264" s="75"/>
      <c r="H264" s="75"/>
      <c r="I264" s="75">
        <f t="shared" ref="I264:I268" si="167">+G264+H264</f>
        <v>0</v>
      </c>
      <c r="J264" s="75">
        <v>514387</v>
      </c>
      <c r="K264" s="75">
        <f>34357+92720+34357</f>
        <v>161434</v>
      </c>
      <c r="L264" s="75">
        <f>+J264+K264</f>
        <v>675821</v>
      </c>
      <c r="M264" s="75">
        <f>+I264+L264</f>
        <v>675821</v>
      </c>
      <c r="N264" s="63">
        <f t="shared" ref="N264:N268" si="168">+F264-M264</f>
        <v>16124179</v>
      </c>
      <c r="P264" s="194"/>
      <c r="S264" s="281">
        <f>34357+92720+34357</f>
        <v>161434</v>
      </c>
      <c r="T264" s="282"/>
      <c r="U264" s="244"/>
    </row>
    <row r="265" spans="1:21" s="65" customFormat="1" ht="18" customHeight="1" x14ac:dyDescent="0.25">
      <c r="A265" s="61"/>
      <c r="B265" s="66"/>
      <c r="C265" s="61"/>
      <c r="D265" s="62" t="s">
        <v>133</v>
      </c>
      <c r="E265" s="62" t="s">
        <v>134</v>
      </c>
      <c r="F265" s="63">
        <v>42000000</v>
      </c>
      <c r="G265" s="75">
        <v>0</v>
      </c>
      <c r="H265" s="75"/>
      <c r="I265" s="75">
        <f t="shared" si="167"/>
        <v>0</v>
      </c>
      <c r="J265" s="75">
        <v>7204200</v>
      </c>
      <c r="K265" s="75">
        <v>2792000</v>
      </c>
      <c r="L265" s="75">
        <f>+J265+K265</f>
        <v>9996200</v>
      </c>
      <c r="M265" s="75">
        <f>+I265+L265</f>
        <v>9996200</v>
      </c>
      <c r="N265" s="63">
        <f t="shared" si="168"/>
        <v>32003800</v>
      </c>
      <c r="P265" s="194"/>
      <c r="S265" s="281">
        <v>2792000</v>
      </c>
      <c r="T265" s="282"/>
      <c r="U265" s="244"/>
    </row>
    <row r="266" spans="1:21" s="65" customFormat="1" ht="18" customHeight="1" x14ac:dyDescent="0.25">
      <c r="A266" s="61"/>
      <c r="B266" s="66"/>
      <c r="C266" s="61"/>
      <c r="D266" s="62" t="s">
        <v>135</v>
      </c>
      <c r="E266" s="62" t="s">
        <v>136</v>
      </c>
      <c r="F266" s="63">
        <v>37992800000</v>
      </c>
      <c r="G266" s="75">
        <v>9165451928</v>
      </c>
      <c r="H266" s="75">
        <f>31940770+3023247268</f>
        <v>3055188038</v>
      </c>
      <c r="I266" s="75">
        <f t="shared" si="167"/>
        <v>12220639966</v>
      </c>
      <c r="J266" s="75">
        <v>64183</v>
      </c>
      <c r="K266" s="75"/>
      <c r="L266" s="75">
        <f>+J266+K266</f>
        <v>64183</v>
      </c>
      <c r="M266" s="75">
        <f>+I266+L266</f>
        <v>12220704149</v>
      </c>
      <c r="N266" s="63">
        <f t="shared" si="168"/>
        <v>25772095851</v>
      </c>
      <c r="P266" s="194"/>
      <c r="S266" s="282"/>
      <c r="T266" s="281">
        <f>31940770+3023247268</f>
        <v>3055188038</v>
      </c>
      <c r="U266" s="244"/>
    </row>
    <row r="267" spans="1:21" s="65" customFormat="1" ht="18" customHeight="1" x14ac:dyDescent="0.25">
      <c r="A267" s="61"/>
      <c r="B267" s="66"/>
      <c r="C267" s="61"/>
      <c r="D267" s="62" t="s">
        <v>137</v>
      </c>
      <c r="E267" s="62" t="s">
        <v>138</v>
      </c>
      <c r="F267" s="63">
        <v>12820000</v>
      </c>
      <c r="G267" s="75"/>
      <c r="H267" s="75"/>
      <c r="I267" s="75">
        <f t="shared" si="167"/>
        <v>0</v>
      </c>
      <c r="J267" s="75">
        <v>1290000</v>
      </c>
      <c r="K267" s="75">
        <v>230000</v>
      </c>
      <c r="L267" s="75">
        <f t="shared" ref="L267:L272" si="169">+J267+K267</f>
        <v>1520000</v>
      </c>
      <c r="M267" s="75">
        <f t="shared" ref="M267:M268" si="170">+I267+L267</f>
        <v>1520000</v>
      </c>
      <c r="N267" s="63">
        <f t="shared" si="168"/>
        <v>11300000</v>
      </c>
      <c r="P267" s="194"/>
      <c r="S267" s="281">
        <v>230000</v>
      </c>
      <c r="T267" s="282"/>
      <c r="U267" s="244"/>
    </row>
    <row r="268" spans="1:21" s="65" customFormat="1" ht="18" customHeight="1" x14ac:dyDescent="0.25">
      <c r="A268" s="61"/>
      <c r="B268" s="66"/>
      <c r="C268" s="61"/>
      <c r="D268" s="62" t="s">
        <v>139</v>
      </c>
      <c r="E268" s="62" t="s">
        <v>140</v>
      </c>
      <c r="F268" s="63">
        <v>301200000</v>
      </c>
      <c r="G268" s="75"/>
      <c r="H268" s="75"/>
      <c r="I268" s="75">
        <f t="shared" si="167"/>
        <v>0</v>
      </c>
      <c r="J268" s="75">
        <v>59720446</v>
      </c>
      <c r="K268" s="75">
        <v>19850000</v>
      </c>
      <c r="L268" s="75">
        <f t="shared" si="169"/>
        <v>79570446</v>
      </c>
      <c r="M268" s="75">
        <f t="shared" si="170"/>
        <v>79570446</v>
      </c>
      <c r="N268" s="63">
        <f t="shared" si="168"/>
        <v>221629554</v>
      </c>
      <c r="P268" s="194"/>
      <c r="S268" s="281">
        <v>19850000</v>
      </c>
      <c r="T268" s="282"/>
      <c r="U268" s="244"/>
    </row>
    <row r="269" spans="1:21" s="121" customFormat="1" ht="18" customHeight="1" x14ac:dyDescent="0.25">
      <c r="A269" s="116">
        <v>14</v>
      </c>
      <c r="B269" s="117"/>
      <c r="C269" s="117" t="s">
        <v>141</v>
      </c>
      <c r="D269" s="118"/>
      <c r="E269" s="128" t="s">
        <v>142</v>
      </c>
      <c r="F269" s="119">
        <f>+F270</f>
        <v>100000000</v>
      </c>
      <c r="G269" s="120">
        <f>+G270</f>
        <v>99545055</v>
      </c>
      <c r="H269" s="120">
        <f>+H270</f>
        <v>0</v>
      </c>
      <c r="I269" s="120">
        <f>+G269+H269</f>
        <v>99545055</v>
      </c>
      <c r="J269" s="120">
        <f>+J270</f>
        <v>0</v>
      </c>
      <c r="K269" s="120">
        <f>+K270</f>
        <v>0</v>
      </c>
      <c r="L269" s="120">
        <f t="shared" si="169"/>
        <v>0</v>
      </c>
      <c r="M269" s="120">
        <f>+I269+L269</f>
        <v>99545055</v>
      </c>
      <c r="N269" s="119">
        <f>+F269-M269</f>
        <v>454945</v>
      </c>
      <c r="P269" s="190"/>
      <c r="R269" s="122"/>
      <c r="S269" s="283"/>
      <c r="T269" s="283"/>
      <c r="U269" s="246"/>
    </row>
    <row r="270" spans="1:21" s="107" customFormat="1" ht="16.5" customHeight="1" x14ac:dyDescent="0.25">
      <c r="A270" s="101"/>
      <c r="B270" s="102"/>
      <c r="C270" s="102"/>
      <c r="D270" s="103" t="s">
        <v>207</v>
      </c>
      <c r="E270" s="104" t="s">
        <v>262</v>
      </c>
      <c r="F270" s="105">
        <f>+F271</f>
        <v>100000000</v>
      </c>
      <c r="G270" s="106">
        <f>+G271</f>
        <v>99545055</v>
      </c>
      <c r="H270" s="106">
        <f t="shared" ref="F270:H272" si="171">+H271</f>
        <v>0</v>
      </c>
      <c r="I270" s="106">
        <f t="shared" ref="I270:I276" si="172">+G270+H270</f>
        <v>99545055</v>
      </c>
      <c r="J270" s="106">
        <f t="shared" ref="J270:J272" si="173">+J271</f>
        <v>0</v>
      </c>
      <c r="K270" s="106">
        <f>+K271</f>
        <v>0</v>
      </c>
      <c r="L270" s="106">
        <f t="shared" si="169"/>
        <v>0</v>
      </c>
      <c r="M270" s="106">
        <f t="shared" ref="M270:M273" si="174">+I270+L270</f>
        <v>99545055</v>
      </c>
      <c r="N270" s="105">
        <f>+F270-M270</f>
        <v>454945</v>
      </c>
      <c r="P270" s="191"/>
      <c r="R270" s="108"/>
      <c r="S270" s="284"/>
      <c r="T270" s="284"/>
      <c r="U270" s="241"/>
    </row>
    <row r="271" spans="1:21" s="49" customFormat="1" ht="16.5" customHeight="1" x14ac:dyDescent="0.25">
      <c r="A271" s="44"/>
      <c r="B271" s="82"/>
      <c r="C271" s="44"/>
      <c r="D271" s="45" t="s">
        <v>63</v>
      </c>
      <c r="E271" s="45" t="s">
        <v>30</v>
      </c>
      <c r="F271" s="47">
        <f>F272</f>
        <v>100000000</v>
      </c>
      <c r="G271" s="70">
        <f>+G272</f>
        <v>99545055</v>
      </c>
      <c r="H271" s="70">
        <f t="shared" si="171"/>
        <v>0</v>
      </c>
      <c r="I271" s="70">
        <f t="shared" si="172"/>
        <v>99545055</v>
      </c>
      <c r="J271" s="70">
        <f t="shared" si="173"/>
        <v>0</v>
      </c>
      <c r="K271" s="70">
        <f>+K272</f>
        <v>0</v>
      </c>
      <c r="L271" s="70">
        <f t="shared" si="169"/>
        <v>0</v>
      </c>
      <c r="M271" s="70">
        <f t="shared" si="174"/>
        <v>99545055</v>
      </c>
      <c r="N271" s="47">
        <f>+F271-M271</f>
        <v>454945</v>
      </c>
      <c r="P271" s="192"/>
      <c r="S271" s="282"/>
      <c r="T271" s="282"/>
      <c r="U271" s="242"/>
    </row>
    <row r="272" spans="1:21" s="55" customFormat="1" ht="16.5" customHeight="1" x14ac:dyDescent="0.25">
      <c r="A272" s="50"/>
      <c r="B272" s="51"/>
      <c r="C272" s="50"/>
      <c r="D272" s="71" t="s">
        <v>263</v>
      </c>
      <c r="E272" s="51" t="s">
        <v>264</v>
      </c>
      <c r="F272" s="53">
        <f t="shared" si="171"/>
        <v>100000000</v>
      </c>
      <c r="G272" s="72">
        <f>+G273</f>
        <v>99545055</v>
      </c>
      <c r="H272" s="72">
        <f t="shared" si="171"/>
        <v>0</v>
      </c>
      <c r="I272" s="72">
        <f t="shared" si="172"/>
        <v>99545055</v>
      </c>
      <c r="J272" s="72">
        <f t="shared" si="173"/>
        <v>0</v>
      </c>
      <c r="K272" s="72">
        <f>+K273</f>
        <v>0</v>
      </c>
      <c r="L272" s="72">
        <f t="shared" si="169"/>
        <v>0</v>
      </c>
      <c r="M272" s="72">
        <f t="shared" si="174"/>
        <v>99545055</v>
      </c>
      <c r="N272" s="53">
        <f>+F272-M272</f>
        <v>454945</v>
      </c>
      <c r="P272" s="195"/>
      <c r="S272" s="282"/>
      <c r="T272" s="282"/>
      <c r="U272" s="243"/>
    </row>
    <row r="273" spans="1:21" s="49" customFormat="1" ht="16.5" customHeight="1" x14ac:dyDescent="0.25">
      <c r="A273" s="56"/>
      <c r="B273" s="84"/>
      <c r="C273" s="56"/>
      <c r="D273" s="57" t="s">
        <v>64</v>
      </c>
      <c r="E273" s="57" t="s">
        <v>65</v>
      </c>
      <c r="F273" s="58">
        <f>SUM(F274:F277)</f>
        <v>100000000</v>
      </c>
      <c r="G273" s="59">
        <f>SUM(G274:G277)</f>
        <v>99545055</v>
      </c>
      <c r="H273" s="59">
        <f>SUM(H274:H277)</f>
        <v>0</v>
      </c>
      <c r="I273" s="59">
        <f>+G273+H273</f>
        <v>99545055</v>
      </c>
      <c r="J273" s="59">
        <f>SUM(J274:J277)</f>
        <v>0</v>
      </c>
      <c r="K273" s="59">
        <f>SUM(K274:K277)</f>
        <v>0</v>
      </c>
      <c r="L273" s="59">
        <f>+J273+K273</f>
        <v>0</v>
      </c>
      <c r="M273" s="59">
        <f t="shared" si="174"/>
        <v>99545055</v>
      </c>
      <c r="N273" s="58">
        <f>+F273-M273</f>
        <v>454945</v>
      </c>
      <c r="P273" s="192"/>
      <c r="S273" s="282"/>
      <c r="T273" s="282"/>
      <c r="U273" s="242"/>
    </row>
    <row r="274" spans="1:21" s="65" customFormat="1" ht="16.5" customHeight="1" x14ac:dyDescent="0.25">
      <c r="A274" s="61"/>
      <c r="B274" s="66"/>
      <c r="C274" s="61"/>
      <c r="D274" s="62" t="s">
        <v>66</v>
      </c>
      <c r="E274" s="62" t="s">
        <v>67</v>
      </c>
      <c r="F274" s="63">
        <v>57982150</v>
      </c>
      <c r="G274" s="75">
        <v>57659915</v>
      </c>
      <c r="H274" s="75"/>
      <c r="I274" s="75">
        <f t="shared" si="172"/>
        <v>57659915</v>
      </c>
      <c r="J274" s="75"/>
      <c r="K274" s="75"/>
      <c r="L274" s="75">
        <f>+J274+K274</f>
        <v>0</v>
      </c>
      <c r="M274" s="75">
        <f>+I274+L274</f>
        <v>57659915</v>
      </c>
      <c r="N274" s="63">
        <f t="shared" ref="N274:N277" si="175">+F274-M274</f>
        <v>322235</v>
      </c>
      <c r="P274" s="194"/>
      <c r="S274" s="282"/>
      <c r="T274" s="282"/>
      <c r="U274" s="244"/>
    </row>
    <row r="275" spans="1:21" s="65" customFormat="1" ht="18" customHeight="1" x14ac:dyDescent="0.25">
      <c r="A275" s="61"/>
      <c r="B275" s="66"/>
      <c r="C275" s="61"/>
      <c r="D275" s="62" t="s">
        <v>337</v>
      </c>
      <c r="E275" s="62" t="s">
        <v>338</v>
      </c>
      <c r="F275" s="63">
        <v>29743300</v>
      </c>
      <c r="G275" s="75">
        <v>29686975</v>
      </c>
      <c r="H275" s="75"/>
      <c r="I275" s="75">
        <f t="shared" si="172"/>
        <v>29686975</v>
      </c>
      <c r="J275" s="75"/>
      <c r="K275" s="75"/>
      <c r="L275" s="75"/>
      <c r="M275" s="75">
        <f t="shared" ref="M275:M276" si="176">+I275+L275</f>
        <v>29686975</v>
      </c>
      <c r="N275" s="63">
        <f t="shared" si="175"/>
        <v>56325</v>
      </c>
      <c r="P275" s="194"/>
      <c r="S275" s="282"/>
      <c r="T275" s="282"/>
      <c r="U275" s="244"/>
    </row>
    <row r="276" spans="1:21" s="65" customFormat="1" ht="18" customHeight="1" x14ac:dyDescent="0.25">
      <c r="A276" s="61"/>
      <c r="B276" s="66"/>
      <c r="C276" s="61"/>
      <c r="D276" s="62" t="s">
        <v>339</v>
      </c>
      <c r="E276" s="62" t="s">
        <v>340</v>
      </c>
      <c r="F276" s="63">
        <v>8842500</v>
      </c>
      <c r="G276" s="75">
        <v>8822700</v>
      </c>
      <c r="H276" s="75"/>
      <c r="I276" s="75">
        <f t="shared" si="172"/>
        <v>8822700</v>
      </c>
      <c r="J276" s="75"/>
      <c r="K276" s="75"/>
      <c r="L276" s="75"/>
      <c r="M276" s="75">
        <f t="shared" si="176"/>
        <v>8822700</v>
      </c>
      <c r="N276" s="63">
        <f t="shared" si="175"/>
        <v>19800</v>
      </c>
      <c r="P276" s="194"/>
      <c r="S276" s="282"/>
      <c r="T276" s="282"/>
      <c r="U276" s="244"/>
    </row>
    <row r="277" spans="1:21" s="127" customFormat="1" ht="18" customHeight="1" x14ac:dyDescent="0.25">
      <c r="A277" s="123"/>
      <c r="B277" s="143"/>
      <c r="C277" s="123"/>
      <c r="D277" s="124" t="s">
        <v>361</v>
      </c>
      <c r="E277" s="124" t="s">
        <v>362</v>
      </c>
      <c r="F277" s="125">
        <v>3432050</v>
      </c>
      <c r="G277" s="140">
        <v>3375465</v>
      </c>
      <c r="H277" s="140"/>
      <c r="I277" s="140">
        <f>+G277+H277</f>
        <v>3375465</v>
      </c>
      <c r="J277" s="140"/>
      <c r="K277" s="140"/>
      <c r="L277" s="140">
        <f>+J277+K277</f>
        <v>0</v>
      </c>
      <c r="M277" s="140">
        <f>+I277+L277</f>
        <v>3375465</v>
      </c>
      <c r="N277" s="125">
        <f t="shared" si="175"/>
        <v>56585</v>
      </c>
      <c r="P277" s="196"/>
      <c r="S277" s="286"/>
      <c r="T277" s="286"/>
      <c r="U277" s="245"/>
    </row>
    <row r="278" spans="1:21" s="121" customFormat="1" ht="18" customHeight="1" x14ac:dyDescent="0.25">
      <c r="A278" s="154">
        <v>15</v>
      </c>
      <c r="B278" s="117"/>
      <c r="C278" s="117" t="s">
        <v>363</v>
      </c>
      <c r="D278" s="118"/>
      <c r="E278" s="128" t="s">
        <v>364</v>
      </c>
      <c r="F278" s="119">
        <f t="shared" ref="F278:H279" si="177">+F279</f>
        <v>1060812675</v>
      </c>
      <c r="G278" s="120">
        <f t="shared" si="177"/>
        <v>55020675</v>
      </c>
      <c r="H278" s="120">
        <f t="shared" si="177"/>
        <v>0</v>
      </c>
      <c r="I278" s="120">
        <f>+G278+H278</f>
        <v>55020675</v>
      </c>
      <c r="J278" s="120">
        <f>+J279</f>
        <v>242920000</v>
      </c>
      <c r="K278" s="120">
        <f>+K279</f>
        <v>0</v>
      </c>
      <c r="L278" s="120">
        <f>+J278+K278</f>
        <v>242920000</v>
      </c>
      <c r="M278" s="120">
        <f>+I278+L278</f>
        <v>297940675</v>
      </c>
      <c r="N278" s="119">
        <f>+F278-M278</f>
        <v>762872000</v>
      </c>
      <c r="P278" s="190"/>
      <c r="R278" s="122"/>
      <c r="S278" s="283"/>
      <c r="T278" s="283"/>
      <c r="U278" s="246"/>
    </row>
    <row r="279" spans="1:21" s="107" customFormat="1" ht="18" customHeight="1" x14ac:dyDescent="0.25">
      <c r="A279" s="101"/>
      <c r="B279" s="102"/>
      <c r="C279" s="102"/>
      <c r="D279" s="103" t="s">
        <v>207</v>
      </c>
      <c r="E279" s="104" t="s">
        <v>262</v>
      </c>
      <c r="F279" s="105">
        <f t="shared" si="177"/>
        <v>1060812675</v>
      </c>
      <c r="G279" s="106">
        <f t="shared" si="177"/>
        <v>55020675</v>
      </c>
      <c r="H279" s="106">
        <f t="shared" si="177"/>
        <v>0</v>
      </c>
      <c r="I279" s="106">
        <f t="shared" ref="I279:I283" si="178">+G279+H279</f>
        <v>55020675</v>
      </c>
      <c r="J279" s="106">
        <f>+J280</f>
        <v>242920000</v>
      </c>
      <c r="K279" s="106">
        <f>+K280</f>
        <v>0</v>
      </c>
      <c r="L279" s="106">
        <f t="shared" ref="L279:L281" si="179">+J279+K279</f>
        <v>242920000</v>
      </c>
      <c r="M279" s="106">
        <f t="shared" ref="M279:M282" si="180">+I279+L279</f>
        <v>297940675</v>
      </c>
      <c r="N279" s="105">
        <f>+F279-M279</f>
        <v>762872000</v>
      </c>
      <c r="P279" s="191"/>
      <c r="R279" s="108"/>
      <c r="S279" s="284"/>
      <c r="T279" s="284"/>
      <c r="U279" s="241"/>
    </row>
    <row r="280" spans="1:21" s="49" customFormat="1" ht="18" customHeight="1" x14ac:dyDescent="0.25">
      <c r="A280" s="44"/>
      <c r="B280" s="82"/>
      <c r="C280" s="44"/>
      <c r="D280" s="45" t="s">
        <v>63</v>
      </c>
      <c r="E280" s="45" t="s">
        <v>30</v>
      </c>
      <c r="F280" s="47">
        <f>+F281+F291</f>
        <v>1060812675</v>
      </c>
      <c r="G280" s="70">
        <f>+G281+G291</f>
        <v>55020675</v>
      </c>
      <c r="H280" s="70">
        <f>+H281+H291</f>
        <v>0</v>
      </c>
      <c r="I280" s="70">
        <f t="shared" si="178"/>
        <v>55020675</v>
      </c>
      <c r="J280" s="70">
        <f>+J281+J291</f>
        <v>242920000</v>
      </c>
      <c r="K280" s="70">
        <f>+K281+K291</f>
        <v>0</v>
      </c>
      <c r="L280" s="70">
        <f t="shared" si="179"/>
        <v>242920000</v>
      </c>
      <c r="M280" s="70">
        <f t="shared" si="180"/>
        <v>297940675</v>
      </c>
      <c r="N280" s="47">
        <f>+F280-M280</f>
        <v>762872000</v>
      </c>
      <c r="P280" s="192"/>
      <c r="S280" s="282"/>
      <c r="T280" s="282"/>
      <c r="U280" s="242"/>
    </row>
    <row r="281" spans="1:21" s="55" customFormat="1" ht="18" customHeight="1" x14ac:dyDescent="0.25">
      <c r="A281" s="50"/>
      <c r="B281" s="51"/>
      <c r="C281" s="50"/>
      <c r="D281" s="71" t="s">
        <v>263</v>
      </c>
      <c r="E281" s="51" t="s">
        <v>264</v>
      </c>
      <c r="F281" s="53">
        <f>+F282</f>
        <v>105412675</v>
      </c>
      <c r="G281" s="72">
        <f t="shared" ref="G281:J281" si="181">+G282</f>
        <v>55020675</v>
      </c>
      <c r="H281" s="72">
        <f>+H282</f>
        <v>0</v>
      </c>
      <c r="I281" s="72">
        <f t="shared" si="178"/>
        <v>55020675</v>
      </c>
      <c r="J281" s="72">
        <f t="shared" si="181"/>
        <v>0</v>
      </c>
      <c r="K281" s="72">
        <f>+K282</f>
        <v>0</v>
      </c>
      <c r="L281" s="72">
        <f t="shared" si="179"/>
        <v>0</v>
      </c>
      <c r="M281" s="72">
        <f t="shared" si="180"/>
        <v>55020675</v>
      </c>
      <c r="N281" s="53">
        <f>+F281-M281</f>
        <v>50392000</v>
      </c>
      <c r="P281" s="195"/>
      <c r="S281" s="282"/>
      <c r="T281" s="282"/>
      <c r="U281" s="243"/>
    </row>
    <row r="282" spans="1:21" s="49" customFormat="1" ht="18" customHeight="1" x14ac:dyDescent="0.25">
      <c r="A282" s="56"/>
      <c r="B282" s="84"/>
      <c r="C282" s="56"/>
      <c r="D282" s="57" t="s">
        <v>64</v>
      </c>
      <c r="E282" s="57" t="s">
        <v>65</v>
      </c>
      <c r="F282" s="58">
        <f>SUM(F283:F290)</f>
        <v>105412675</v>
      </c>
      <c r="G282" s="59">
        <f>SUM(G283:G290)</f>
        <v>55020675</v>
      </c>
      <c r="H282" s="59">
        <f>SUM(H283:H290)</f>
        <v>0</v>
      </c>
      <c r="I282" s="59">
        <f>+G282+H282</f>
        <v>55020675</v>
      </c>
      <c r="J282" s="59">
        <f>SUM(J283:J290)</f>
        <v>0</v>
      </c>
      <c r="K282" s="59">
        <f>SUM(K283:K290)</f>
        <v>0</v>
      </c>
      <c r="L282" s="59">
        <f>+J282+K282</f>
        <v>0</v>
      </c>
      <c r="M282" s="59">
        <f t="shared" si="180"/>
        <v>55020675</v>
      </c>
      <c r="N282" s="58">
        <f>+F282-M282</f>
        <v>50392000</v>
      </c>
      <c r="P282" s="192"/>
      <c r="S282" s="282"/>
      <c r="T282" s="282"/>
      <c r="U282" s="242"/>
    </row>
    <row r="283" spans="1:21" s="65" customFormat="1" ht="18" customHeight="1" x14ac:dyDescent="0.25">
      <c r="A283" s="171"/>
      <c r="C283" s="171"/>
      <c r="D283" s="162" t="s">
        <v>365</v>
      </c>
      <c r="E283" s="162" t="s">
        <v>366</v>
      </c>
      <c r="F283" s="173">
        <v>9228650</v>
      </c>
      <c r="G283" s="163"/>
      <c r="H283" s="163"/>
      <c r="I283" s="163">
        <f t="shared" si="178"/>
        <v>0</v>
      </c>
      <c r="J283" s="163"/>
      <c r="K283" s="163"/>
      <c r="L283" s="163">
        <f>+J283+K283</f>
        <v>0</v>
      </c>
      <c r="M283" s="163">
        <f>+I283+L283</f>
        <v>0</v>
      </c>
      <c r="N283" s="173">
        <f t="shared" ref="N283:N290" si="182">+F283-M283</f>
        <v>9228650</v>
      </c>
      <c r="P283" s="194"/>
      <c r="S283" s="282"/>
      <c r="T283" s="282"/>
      <c r="U283" s="244"/>
    </row>
    <row r="284" spans="1:21" s="65" customFormat="1" ht="18" customHeight="1" x14ac:dyDescent="0.25">
      <c r="A284" s="171"/>
      <c r="C284" s="171"/>
      <c r="D284" s="162" t="s">
        <v>66</v>
      </c>
      <c r="E284" s="162" t="s">
        <v>67</v>
      </c>
      <c r="F284" s="173">
        <v>4831925</v>
      </c>
      <c r="G284" s="163"/>
      <c r="H284" s="163"/>
      <c r="I284" s="163"/>
      <c r="J284" s="163"/>
      <c r="K284" s="163"/>
      <c r="L284" s="163">
        <f t="shared" ref="L284:L296" si="183">+J284+K284</f>
        <v>0</v>
      </c>
      <c r="M284" s="163">
        <f t="shared" ref="M284:M292" si="184">+I284+L284</f>
        <v>0</v>
      </c>
      <c r="N284" s="173">
        <f t="shared" si="182"/>
        <v>4831925</v>
      </c>
      <c r="P284" s="194"/>
      <c r="S284" s="282"/>
      <c r="T284" s="282"/>
      <c r="U284" s="244"/>
    </row>
    <row r="285" spans="1:21" s="65" customFormat="1" ht="18" customHeight="1" x14ac:dyDescent="0.25">
      <c r="A285" s="171"/>
      <c r="C285" s="171"/>
      <c r="D285" s="162" t="s">
        <v>337</v>
      </c>
      <c r="E285" s="162" t="s">
        <v>338</v>
      </c>
      <c r="F285" s="173">
        <v>18985000</v>
      </c>
      <c r="G285" s="163"/>
      <c r="H285" s="163"/>
      <c r="I285" s="163"/>
      <c r="J285" s="163"/>
      <c r="K285" s="163"/>
      <c r="L285" s="163">
        <f t="shared" si="183"/>
        <v>0</v>
      </c>
      <c r="M285" s="163">
        <f t="shared" si="184"/>
        <v>0</v>
      </c>
      <c r="N285" s="173">
        <f t="shared" si="182"/>
        <v>18985000</v>
      </c>
      <c r="P285" s="194"/>
      <c r="S285" s="282"/>
      <c r="T285" s="282"/>
      <c r="U285" s="244"/>
    </row>
    <row r="286" spans="1:21" s="65" customFormat="1" ht="18" customHeight="1" x14ac:dyDescent="0.25">
      <c r="A286" s="171"/>
      <c r="C286" s="171"/>
      <c r="D286" s="162" t="s">
        <v>339</v>
      </c>
      <c r="E286" s="162" t="s">
        <v>340</v>
      </c>
      <c r="F286" s="173">
        <v>2175000</v>
      </c>
      <c r="G286" s="163"/>
      <c r="H286" s="163"/>
      <c r="I286" s="163"/>
      <c r="J286" s="163"/>
      <c r="K286" s="163"/>
      <c r="L286" s="163">
        <f t="shared" si="183"/>
        <v>0</v>
      </c>
      <c r="M286" s="163">
        <f t="shared" si="184"/>
        <v>0</v>
      </c>
      <c r="N286" s="173">
        <f t="shared" si="182"/>
        <v>2175000</v>
      </c>
      <c r="P286" s="194"/>
      <c r="S286" s="282"/>
      <c r="T286" s="282"/>
      <c r="U286" s="244"/>
    </row>
    <row r="287" spans="1:21" s="65" customFormat="1" ht="18" customHeight="1" x14ac:dyDescent="0.25">
      <c r="A287" s="171"/>
      <c r="C287" s="171"/>
      <c r="D287" s="162" t="s">
        <v>367</v>
      </c>
      <c r="E287" s="162" t="s">
        <v>368</v>
      </c>
      <c r="F287" s="173">
        <v>55592100</v>
      </c>
      <c r="G287" s="163">
        <v>55020675</v>
      </c>
      <c r="H287" s="163"/>
      <c r="I287" s="163">
        <f>+G287+H287</f>
        <v>55020675</v>
      </c>
      <c r="J287" s="163"/>
      <c r="K287" s="163"/>
      <c r="L287" s="163">
        <f t="shared" si="183"/>
        <v>0</v>
      </c>
      <c r="M287" s="163">
        <f t="shared" si="184"/>
        <v>55020675</v>
      </c>
      <c r="N287" s="173">
        <f t="shared" si="182"/>
        <v>571425</v>
      </c>
      <c r="P287" s="194"/>
      <c r="S287" s="282"/>
      <c r="T287" s="282"/>
      <c r="U287" s="244"/>
    </row>
    <row r="288" spans="1:21" s="65" customFormat="1" ht="22.5" customHeight="1" x14ac:dyDescent="0.25">
      <c r="A288" s="171"/>
      <c r="C288" s="171"/>
      <c r="D288" s="162" t="s">
        <v>369</v>
      </c>
      <c r="E288" s="162" t="s">
        <v>370</v>
      </c>
      <c r="F288" s="173">
        <v>7200000</v>
      </c>
      <c r="G288" s="163"/>
      <c r="H288" s="163"/>
      <c r="I288" s="163"/>
      <c r="J288" s="163"/>
      <c r="K288" s="163"/>
      <c r="L288" s="163">
        <f t="shared" si="183"/>
        <v>0</v>
      </c>
      <c r="M288" s="163">
        <f t="shared" si="184"/>
        <v>0</v>
      </c>
      <c r="N288" s="173">
        <f t="shared" si="182"/>
        <v>7200000</v>
      </c>
      <c r="P288" s="194"/>
      <c r="S288" s="282"/>
      <c r="T288" s="282"/>
      <c r="U288" s="244"/>
    </row>
    <row r="289" spans="1:21" s="65" customFormat="1" ht="18" customHeight="1" x14ac:dyDescent="0.25">
      <c r="A289" s="171"/>
      <c r="C289" s="171"/>
      <c r="D289" s="162" t="s">
        <v>70</v>
      </c>
      <c r="E289" s="162" t="s">
        <v>33</v>
      </c>
      <c r="F289" s="173">
        <v>5000000</v>
      </c>
      <c r="G289" s="163"/>
      <c r="H289" s="163"/>
      <c r="I289" s="163"/>
      <c r="J289" s="163"/>
      <c r="K289" s="163"/>
      <c r="L289" s="163">
        <f t="shared" si="183"/>
        <v>0</v>
      </c>
      <c r="M289" s="163">
        <f t="shared" si="184"/>
        <v>0</v>
      </c>
      <c r="N289" s="173">
        <f t="shared" si="182"/>
        <v>5000000</v>
      </c>
      <c r="P289" s="194"/>
      <c r="S289" s="282"/>
      <c r="T289" s="282"/>
      <c r="U289" s="244"/>
    </row>
    <row r="290" spans="1:21" s="65" customFormat="1" ht="18" customHeight="1" x14ac:dyDescent="0.25">
      <c r="A290" s="171"/>
      <c r="C290" s="171"/>
      <c r="D290" s="162" t="s">
        <v>374</v>
      </c>
      <c r="E290" s="162" t="s">
        <v>375</v>
      </c>
      <c r="F290" s="173">
        <v>2400000</v>
      </c>
      <c r="G290" s="163"/>
      <c r="H290" s="163"/>
      <c r="I290" s="163"/>
      <c r="J290" s="163"/>
      <c r="K290" s="163"/>
      <c r="L290" s="163">
        <f t="shared" si="183"/>
        <v>0</v>
      </c>
      <c r="M290" s="163">
        <f t="shared" si="184"/>
        <v>0</v>
      </c>
      <c r="N290" s="173">
        <f t="shared" si="182"/>
        <v>2400000</v>
      </c>
      <c r="P290" s="194"/>
      <c r="S290" s="282"/>
      <c r="T290" s="282"/>
      <c r="U290" s="244"/>
    </row>
    <row r="291" spans="1:21" s="55" customFormat="1" ht="18" customHeight="1" x14ac:dyDescent="0.25">
      <c r="A291" s="50"/>
      <c r="B291" s="51"/>
      <c r="C291" s="50"/>
      <c r="D291" s="71" t="s">
        <v>271</v>
      </c>
      <c r="E291" s="51" t="s">
        <v>272</v>
      </c>
      <c r="F291" s="53">
        <f t="shared" ref="F291:J291" si="185">+F292</f>
        <v>955400000</v>
      </c>
      <c r="G291" s="72">
        <f t="shared" si="185"/>
        <v>0</v>
      </c>
      <c r="H291" s="72">
        <f>+H292</f>
        <v>0</v>
      </c>
      <c r="I291" s="72">
        <f>+G291+H291</f>
        <v>0</v>
      </c>
      <c r="J291" s="72">
        <f t="shared" si="185"/>
        <v>242920000</v>
      </c>
      <c r="K291" s="72">
        <f>+K292</f>
        <v>0</v>
      </c>
      <c r="L291" s="72">
        <f t="shared" si="183"/>
        <v>242920000</v>
      </c>
      <c r="M291" s="72">
        <f t="shared" si="184"/>
        <v>242920000</v>
      </c>
      <c r="N291" s="53">
        <f>+F291-M291</f>
        <v>712480000</v>
      </c>
      <c r="P291" s="195"/>
      <c r="S291" s="282"/>
      <c r="T291" s="282"/>
      <c r="U291" s="243"/>
    </row>
    <row r="292" spans="1:21" s="49" customFormat="1" ht="18" customHeight="1" x14ac:dyDescent="0.25">
      <c r="A292" s="56"/>
      <c r="B292" s="84"/>
      <c r="C292" s="56"/>
      <c r="D292" s="57" t="s">
        <v>81</v>
      </c>
      <c r="E292" s="57" t="s">
        <v>31</v>
      </c>
      <c r="F292" s="58">
        <f>SUM(F293:F296)</f>
        <v>955400000</v>
      </c>
      <c r="G292" s="59">
        <f>SUM(G293:G296)</f>
        <v>0</v>
      </c>
      <c r="H292" s="59">
        <f>SUM(H293:H296)</f>
        <v>0</v>
      </c>
      <c r="I292" s="59">
        <f>+G292+H292</f>
        <v>0</v>
      </c>
      <c r="J292" s="59">
        <f>SUM(J293:J296)</f>
        <v>242920000</v>
      </c>
      <c r="K292" s="59">
        <f>SUM(K293:K296)</f>
        <v>0</v>
      </c>
      <c r="L292" s="59">
        <f t="shared" si="183"/>
        <v>242920000</v>
      </c>
      <c r="M292" s="59">
        <f t="shared" si="184"/>
        <v>242920000</v>
      </c>
      <c r="N292" s="58">
        <f>+F292-M292</f>
        <v>712480000</v>
      </c>
      <c r="P292" s="192"/>
      <c r="S292" s="282"/>
      <c r="T292" s="282"/>
      <c r="U292" s="242"/>
    </row>
    <row r="293" spans="1:21" s="65" customFormat="1" ht="18" customHeight="1" x14ac:dyDescent="0.25">
      <c r="A293" s="61"/>
      <c r="B293" s="66"/>
      <c r="C293" s="61"/>
      <c r="D293" s="62" t="s">
        <v>100</v>
      </c>
      <c r="E293" s="62" t="s">
        <v>101</v>
      </c>
      <c r="F293" s="63">
        <v>336000000</v>
      </c>
      <c r="G293" s="75"/>
      <c r="H293" s="75"/>
      <c r="I293" s="75">
        <f t="shared" ref="I293:I294" si="186">+G293+H293</f>
        <v>0</v>
      </c>
      <c r="J293" s="75"/>
      <c r="K293" s="75"/>
      <c r="L293" s="75">
        <f t="shared" si="183"/>
        <v>0</v>
      </c>
      <c r="M293" s="75">
        <f>+I293+L293</f>
        <v>0</v>
      </c>
      <c r="N293" s="63">
        <f t="shared" ref="N293:N296" si="187">+F293-M293</f>
        <v>336000000</v>
      </c>
      <c r="P293" s="194"/>
      <c r="S293" s="282"/>
      <c r="T293" s="282"/>
      <c r="U293" s="244"/>
    </row>
    <row r="294" spans="1:21" s="65" customFormat="1" ht="18" customHeight="1" x14ac:dyDescent="0.25">
      <c r="A294" s="61"/>
      <c r="B294" s="66"/>
      <c r="C294" s="61"/>
      <c r="D294" s="62" t="s">
        <v>474</v>
      </c>
      <c r="E294" s="62" t="s">
        <v>475</v>
      </c>
      <c r="F294" s="63">
        <v>350000000</v>
      </c>
      <c r="G294" s="75"/>
      <c r="H294" s="75"/>
      <c r="I294" s="75">
        <f t="shared" si="186"/>
        <v>0</v>
      </c>
      <c r="J294" s="75"/>
      <c r="K294" s="75"/>
      <c r="L294" s="75">
        <f t="shared" si="183"/>
        <v>0</v>
      </c>
      <c r="M294" s="75">
        <f>+I294+L294</f>
        <v>0</v>
      </c>
      <c r="N294" s="63">
        <f t="shared" si="187"/>
        <v>350000000</v>
      </c>
      <c r="P294" s="194"/>
      <c r="S294" s="282"/>
      <c r="T294" s="282"/>
      <c r="U294" s="244"/>
    </row>
    <row r="295" spans="1:21" s="65" customFormat="1" ht="18" customHeight="1" x14ac:dyDescent="0.25">
      <c r="A295" s="61"/>
      <c r="B295" s="66"/>
      <c r="C295" s="61"/>
      <c r="D295" s="62" t="s">
        <v>376</v>
      </c>
      <c r="E295" s="62" t="s">
        <v>377</v>
      </c>
      <c r="F295" s="63">
        <v>268800000</v>
      </c>
      <c r="G295" s="75">
        <v>0</v>
      </c>
      <c r="H295" s="75"/>
      <c r="I295" s="75">
        <f>+G295+H295</f>
        <v>0</v>
      </c>
      <c r="J295" s="75">
        <v>242920000</v>
      </c>
      <c r="K295" s="75"/>
      <c r="L295" s="75">
        <f t="shared" si="183"/>
        <v>242920000</v>
      </c>
      <c r="M295" s="75">
        <f>+I295+L295</f>
        <v>242920000</v>
      </c>
      <c r="N295" s="63">
        <f t="shared" si="187"/>
        <v>25880000</v>
      </c>
      <c r="P295" s="194"/>
      <c r="S295" s="282"/>
      <c r="T295" s="282"/>
      <c r="U295" s="244"/>
    </row>
    <row r="296" spans="1:21" s="65" customFormat="1" ht="18" customHeight="1" x14ac:dyDescent="0.25">
      <c r="A296" s="61"/>
      <c r="B296" s="66"/>
      <c r="C296" s="61"/>
      <c r="D296" s="62" t="s">
        <v>378</v>
      </c>
      <c r="E296" s="62" t="s">
        <v>379</v>
      </c>
      <c r="F296" s="63">
        <v>600000</v>
      </c>
      <c r="G296" s="75"/>
      <c r="H296" s="75"/>
      <c r="I296" s="75"/>
      <c r="J296" s="75"/>
      <c r="K296" s="75"/>
      <c r="L296" s="75">
        <f t="shared" si="183"/>
        <v>0</v>
      </c>
      <c r="M296" s="75">
        <f>+I296+L296</f>
        <v>0</v>
      </c>
      <c r="N296" s="63">
        <f t="shared" si="187"/>
        <v>600000</v>
      </c>
      <c r="P296" s="194"/>
      <c r="S296" s="282"/>
      <c r="T296" s="282"/>
      <c r="U296" s="244"/>
    </row>
    <row r="297" spans="1:21" s="146" customFormat="1" ht="18" customHeight="1" x14ac:dyDescent="0.25">
      <c r="A297" s="147"/>
      <c r="B297" s="147"/>
      <c r="C297" s="147"/>
      <c r="D297" s="147"/>
      <c r="E297" s="147"/>
      <c r="F297" s="148"/>
      <c r="G297" s="149"/>
      <c r="H297" s="149"/>
      <c r="I297" s="149"/>
      <c r="J297" s="149"/>
      <c r="K297" s="149"/>
      <c r="L297" s="149"/>
      <c r="M297" s="149"/>
      <c r="N297" s="148"/>
      <c r="P297" s="197"/>
      <c r="S297" s="286"/>
      <c r="T297" s="286"/>
      <c r="U297" s="253"/>
    </row>
    <row r="298" spans="1:21" s="137" customFormat="1" ht="21" customHeight="1" x14ac:dyDescent="0.25">
      <c r="A298" s="109"/>
      <c r="B298" s="110" t="s">
        <v>342</v>
      </c>
      <c r="C298" s="110"/>
      <c r="D298" s="110"/>
      <c r="E298" s="150" t="s">
        <v>341</v>
      </c>
      <c r="F298" s="135">
        <f>+F299+F312+F331+F337+F343</f>
        <v>2394721000</v>
      </c>
      <c r="G298" s="136">
        <f>+G299+G312+G331+G337+G343</f>
        <v>0</v>
      </c>
      <c r="H298" s="136">
        <f>+H299+H312+H331+H337+H343</f>
        <v>0</v>
      </c>
      <c r="I298" s="136">
        <f t="shared" ref="I298:I303" si="188">+G298+H298</f>
        <v>0</v>
      </c>
      <c r="J298" s="136">
        <f>+J299+J312+J331+J337+J343</f>
        <v>195836254</v>
      </c>
      <c r="K298" s="136">
        <f>+K299+K312+K331+K337+K343</f>
        <v>64760354</v>
      </c>
      <c r="L298" s="136">
        <f>+J298+K298</f>
        <v>260596608</v>
      </c>
      <c r="M298" s="136">
        <f t="shared" ref="M298" si="189">+I298+L298</f>
        <v>260596608</v>
      </c>
      <c r="N298" s="135">
        <f t="shared" ref="N298" si="190">+F298-M298</f>
        <v>2134124392</v>
      </c>
      <c r="P298" s="198"/>
      <c r="S298" s="287"/>
      <c r="T298" s="287"/>
      <c r="U298" s="248"/>
    </row>
    <row r="299" spans="1:21" s="121" customFormat="1" ht="35.25" customHeight="1" x14ac:dyDescent="0.25">
      <c r="A299" s="154">
        <v>16</v>
      </c>
      <c r="B299" s="155"/>
      <c r="C299" s="155" t="s">
        <v>476</v>
      </c>
      <c r="D299" s="156"/>
      <c r="E299" s="164" t="s">
        <v>477</v>
      </c>
      <c r="F299" s="158">
        <f t="shared" ref="F299:H300" si="191">+F300</f>
        <v>690000000</v>
      </c>
      <c r="G299" s="159">
        <f t="shared" si="191"/>
        <v>0</v>
      </c>
      <c r="H299" s="159">
        <f t="shared" si="191"/>
        <v>0</v>
      </c>
      <c r="I299" s="159">
        <f t="shared" si="188"/>
        <v>0</v>
      </c>
      <c r="J299" s="159">
        <f>+J300</f>
        <v>72934254</v>
      </c>
      <c r="K299" s="159">
        <f>+K300</f>
        <v>36410354</v>
      </c>
      <c r="L299" s="159">
        <f>+J299+K299</f>
        <v>109344608</v>
      </c>
      <c r="M299" s="159">
        <f>+I299+L299</f>
        <v>109344608</v>
      </c>
      <c r="N299" s="158">
        <f>+F299-M299</f>
        <v>580655392</v>
      </c>
      <c r="P299" s="190"/>
      <c r="R299" s="122"/>
      <c r="S299" s="283"/>
      <c r="T299" s="283"/>
      <c r="U299" s="246"/>
    </row>
    <row r="300" spans="1:21" s="107" customFormat="1" ht="18" customHeight="1" x14ac:dyDescent="0.25">
      <c r="A300" s="101"/>
      <c r="B300" s="102"/>
      <c r="C300" s="102"/>
      <c r="D300" s="103" t="s">
        <v>207</v>
      </c>
      <c r="E300" s="104" t="s">
        <v>262</v>
      </c>
      <c r="F300" s="105">
        <f t="shared" si="191"/>
        <v>690000000</v>
      </c>
      <c r="G300" s="106">
        <f t="shared" si="191"/>
        <v>0</v>
      </c>
      <c r="H300" s="106">
        <f t="shared" si="191"/>
        <v>0</v>
      </c>
      <c r="I300" s="106">
        <f t="shared" si="188"/>
        <v>0</v>
      </c>
      <c r="J300" s="106">
        <f>+J301</f>
        <v>72934254</v>
      </c>
      <c r="K300" s="106">
        <f>+K301</f>
        <v>36410354</v>
      </c>
      <c r="L300" s="106">
        <f t="shared" ref="L300:L304" si="192">+J300+K300</f>
        <v>109344608</v>
      </c>
      <c r="M300" s="106">
        <f t="shared" ref="M300:M311" si="193">+I300+L300</f>
        <v>109344608</v>
      </c>
      <c r="N300" s="105">
        <f t="shared" ref="N300:N311" si="194">+F300-M300</f>
        <v>580655392</v>
      </c>
      <c r="P300" s="191"/>
      <c r="R300" s="108"/>
      <c r="S300" s="284"/>
      <c r="T300" s="284"/>
      <c r="U300" s="241"/>
    </row>
    <row r="301" spans="1:21" s="67" customFormat="1" ht="18" customHeight="1" x14ac:dyDescent="0.25">
      <c r="A301" s="88"/>
      <c r="B301" s="89"/>
      <c r="C301" s="88"/>
      <c r="D301" s="45" t="s">
        <v>63</v>
      </c>
      <c r="E301" s="45" t="s">
        <v>30</v>
      </c>
      <c r="F301" s="47">
        <f>+F302+F305+F309</f>
        <v>690000000</v>
      </c>
      <c r="G301" s="70">
        <f>+G302+G305+G309</f>
        <v>0</v>
      </c>
      <c r="H301" s="70">
        <f>+H302+H305+H309</f>
        <v>0</v>
      </c>
      <c r="I301" s="70">
        <f t="shared" si="188"/>
        <v>0</v>
      </c>
      <c r="J301" s="70">
        <f>+J302+J305+J309</f>
        <v>72934254</v>
      </c>
      <c r="K301" s="70">
        <f>+K302+K305+K309</f>
        <v>36410354</v>
      </c>
      <c r="L301" s="70">
        <f t="shared" si="192"/>
        <v>109344608</v>
      </c>
      <c r="M301" s="70">
        <f t="shared" si="193"/>
        <v>109344608</v>
      </c>
      <c r="N301" s="47">
        <f t="shared" si="194"/>
        <v>580655392</v>
      </c>
      <c r="P301" s="192"/>
      <c r="S301" s="282"/>
      <c r="T301" s="282"/>
      <c r="U301" s="249"/>
    </row>
    <row r="302" spans="1:21" s="55" customFormat="1" ht="18" customHeight="1" x14ac:dyDescent="0.25">
      <c r="A302" s="50"/>
      <c r="B302" s="51"/>
      <c r="C302" s="51"/>
      <c r="D302" s="71" t="s">
        <v>263</v>
      </c>
      <c r="E302" s="51" t="s">
        <v>264</v>
      </c>
      <c r="F302" s="53">
        <f>+F303</f>
        <v>435000000</v>
      </c>
      <c r="G302" s="72">
        <f>+G303</f>
        <v>0</v>
      </c>
      <c r="H302" s="72">
        <f>+H303</f>
        <v>0</v>
      </c>
      <c r="I302" s="72">
        <f t="shared" si="188"/>
        <v>0</v>
      </c>
      <c r="J302" s="72">
        <f>+J303</f>
        <v>31531426</v>
      </c>
      <c r="K302" s="72">
        <f>+K303</f>
        <v>13091854</v>
      </c>
      <c r="L302" s="72">
        <f t="shared" si="192"/>
        <v>44623280</v>
      </c>
      <c r="M302" s="72">
        <f t="shared" si="193"/>
        <v>44623280</v>
      </c>
      <c r="N302" s="53">
        <f t="shared" si="194"/>
        <v>390376720</v>
      </c>
      <c r="P302" s="195"/>
      <c r="S302" s="282"/>
      <c r="T302" s="282"/>
      <c r="U302" s="243"/>
    </row>
    <row r="303" spans="1:21" s="67" customFormat="1" ht="18" customHeight="1" x14ac:dyDescent="0.25">
      <c r="A303" s="90"/>
      <c r="B303" s="91"/>
      <c r="C303" s="90"/>
      <c r="D303" s="57" t="s">
        <v>64</v>
      </c>
      <c r="E303" s="57" t="s">
        <v>65</v>
      </c>
      <c r="F303" s="58">
        <f>F304</f>
        <v>435000000</v>
      </c>
      <c r="G303" s="59">
        <f>+G304</f>
        <v>0</v>
      </c>
      <c r="H303" s="59">
        <f>+H304</f>
        <v>0</v>
      </c>
      <c r="I303" s="59">
        <f t="shared" si="188"/>
        <v>0</v>
      </c>
      <c r="J303" s="59">
        <f>+J304</f>
        <v>31531426</v>
      </c>
      <c r="K303" s="59">
        <f>+K304</f>
        <v>13091854</v>
      </c>
      <c r="L303" s="59">
        <f t="shared" si="192"/>
        <v>44623280</v>
      </c>
      <c r="M303" s="59">
        <f t="shared" si="193"/>
        <v>44623280</v>
      </c>
      <c r="N303" s="58">
        <f t="shared" si="194"/>
        <v>390376720</v>
      </c>
      <c r="P303" s="192"/>
      <c r="S303" s="282"/>
      <c r="T303" s="282"/>
      <c r="U303" s="249"/>
    </row>
    <row r="304" spans="1:21" s="49" customFormat="1" ht="18" customHeight="1" x14ac:dyDescent="0.25">
      <c r="A304" s="92"/>
      <c r="B304" s="93"/>
      <c r="C304" s="61"/>
      <c r="D304" s="62" t="s">
        <v>129</v>
      </c>
      <c r="E304" s="62" t="s">
        <v>130</v>
      </c>
      <c r="F304" s="63">
        <v>435000000</v>
      </c>
      <c r="G304" s="94"/>
      <c r="H304" s="94"/>
      <c r="I304" s="94"/>
      <c r="J304" s="75">
        <v>31531426</v>
      </c>
      <c r="K304" s="75">
        <v>13091854</v>
      </c>
      <c r="L304" s="75">
        <f t="shared" si="192"/>
        <v>44623280</v>
      </c>
      <c r="M304" s="75">
        <f t="shared" si="193"/>
        <v>44623280</v>
      </c>
      <c r="N304" s="63">
        <f t="shared" si="194"/>
        <v>390376720</v>
      </c>
      <c r="P304" s="192"/>
      <c r="S304" s="281">
        <f>768000+192000+664760+278400+400000+800814+343880+279300+904400+904400+704900+279300+279300+826300+828300+831300+835300+837900+833300+450000+850000</f>
        <v>13091854</v>
      </c>
      <c r="T304" s="282"/>
      <c r="U304" s="242"/>
    </row>
    <row r="305" spans="1:21" s="55" customFormat="1" ht="20.25" x14ac:dyDescent="0.25">
      <c r="A305" s="50"/>
      <c r="B305" s="51"/>
      <c r="C305" s="51"/>
      <c r="D305" s="71" t="s">
        <v>271</v>
      </c>
      <c r="E305" s="51" t="s">
        <v>272</v>
      </c>
      <c r="F305" s="53">
        <f>+F306</f>
        <v>79500000</v>
      </c>
      <c r="G305" s="72">
        <f>+G306</f>
        <v>0</v>
      </c>
      <c r="H305" s="72">
        <f>+H306</f>
        <v>0</v>
      </c>
      <c r="I305" s="72">
        <f t="shared" ref="I305:I316" si="195">+G305+H305</f>
        <v>0</v>
      </c>
      <c r="J305" s="72">
        <f>+J306</f>
        <v>9778700</v>
      </c>
      <c r="K305" s="72">
        <f>+K306</f>
        <v>1988500</v>
      </c>
      <c r="L305" s="72">
        <f>+J305+K305</f>
        <v>11767200</v>
      </c>
      <c r="M305" s="72">
        <f t="shared" si="193"/>
        <v>11767200</v>
      </c>
      <c r="N305" s="53">
        <f t="shared" si="194"/>
        <v>67732800</v>
      </c>
      <c r="P305" s="195"/>
      <c r="S305" s="281"/>
      <c r="T305" s="282"/>
      <c r="U305" s="243"/>
    </row>
    <row r="306" spans="1:21" s="67" customFormat="1" ht="18" customHeight="1" x14ac:dyDescent="0.25">
      <c r="A306" s="56"/>
      <c r="B306" s="84"/>
      <c r="C306" s="56"/>
      <c r="D306" s="57" t="s">
        <v>81</v>
      </c>
      <c r="E306" s="57" t="s">
        <v>31</v>
      </c>
      <c r="F306" s="58">
        <f>F308+F307</f>
        <v>79500000</v>
      </c>
      <c r="G306" s="59">
        <f>SUM(G307:G308)</f>
        <v>0</v>
      </c>
      <c r="H306" s="59">
        <f>SUM(H307:H308)</f>
        <v>0</v>
      </c>
      <c r="I306" s="59">
        <f t="shared" si="195"/>
        <v>0</v>
      </c>
      <c r="J306" s="59">
        <f>SUM(J307:J308)</f>
        <v>9778700</v>
      </c>
      <c r="K306" s="59">
        <f>SUM(K307:K308)</f>
        <v>1988500</v>
      </c>
      <c r="L306" s="59">
        <f>+J306+K306</f>
        <v>11767200</v>
      </c>
      <c r="M306" s="59">
        <f t="shared" si="193"/>
        <v>11767200</v>
      </c>
      <c r="N306" s="58">
        <f t="shared" si="194"/>
        <v>67732800</v>
      </c>
      <c r="P306" s="192"/>
      <c r="R306" s="68"/>
      <c r="S306" s="281"/>
      <c r="T306" s="282"/>
      <c r="U306" s="249"/>
    </row>
    <row r="307" spans="1:21" s="67" customFormat="1" ht="18" customHeight="1" x14ac:dyDescent="0.25">
      <c r="A307" s="61"/>
      <c r="B307" s="66"/>
      <c r="C307" s="61"/>
      <c r="D307" s="62" t="s">
        <v>82</v>
      </c>
      <c r="E307" s="62" t="s">
        <v>83</v>
      </c>
      <c r="F307" s="63">
        <v>18000000</v>
      </c>
      <c r="G307" s="75"/>
      <c r="H307" s="75"/>
      <c r="I307" s="75">
        <f t="shared" si="195"/>
        <v>0</v>
      </c>
      <c r="J307" s="75">
        <v>4200000</v>
      </c>
      <c r="K307" s="75"/>
      <c r="L307" s="75">
        <f>J307+K307</f>
        <v>4200000</v>
      </c>
      <c r="M307" s="75">
        <f t="shared" si="193"/>
        <v>4200000</v>
      </c>
      <c r="N307" s="63">
        <f t="shared" si="194"/>
        <v>13800000</v>
      </c>
      <c r="P307" s="192"/>
      <c r="S307" s="281"/>
      <c r="T307" s="282"/>
      <c r="U307" s="249"/>
    </row>
    <row r="308" spans="1:21" s="67" customFormat="1" ht="18" customHeight="1" x14ac:dyDescent="0.25">
      <c r="A308" s="61"/>
      <c r="B308" s="66"/>
      <c r="C308" s="61"/>
      <c r="D308" s="62" t="s">
        <v>343</v>
      </c>
      <c r="E308" s="62" t="s">
        <v>344</v>
      </c>
      <c r="F308" s="63">
        <v>61500000</v>
      </c>
      <c r="G308" s="75"/>
      <c r="H308" s="75"/>
      <c r="I308" s="75">
        <f t="shared" si="195"/>
        <v>0</v>
      </c>
      <c r="J308" s="75">
        <v>5578700</v>
      </c>
      <c r="K308" s="75">
        <v>1988500</v>
      </c>
      <c r="L308" s="75">
        <f>J308+K308</f>
        <v>7567200</v>
      </c>
      <c r="M308" s="75">
        <f t="shared" si="193"/>
        <v>7567200</v>
      </c>
      <c r="N308" s="63">
        <f t="shared" si="194"/>
        <v>53932800</v>
      </c>
      <c r="P308" s="192"/>
      <c r="S308" s="281">
        <v>1988500</v>
      </c>
      <c r="T308" s="282"/>
      <c r="U308" s="249"/>
    </row>
    <row r="309" spans="1:21" s="55" customFormat="1" ht="20.25" x14ac:dyDescent="0.25">
      <c r="A309" s="50"/>
      <c r="B309" s="51"/>
      <c r="C309" s="50"/>
      <c r="D309" s="71" t="s">
        <v>275</v>
      </c>
      <c r="E309" s="51" t="s">
        <v>276</v>
      </c>
      <c r="F309" s="53">
        <f>+F310</f>
        <v>175500000</v>
      </c>
      <c r="G309" s="72">
        <f>+G310</f>
        <v>0</v>
      </c>
      <c r="H309" s="72">
        <f>+H310</f>
        <v>0</v>
      </c>
      <c r="I309" s="72">
        <f t="shared" si="195"/>
        <v>0</v>
      </c>
      <c r="J309" s="72">
        <f>+J310</f>
        <v>31624128</v>
      </c>
      <c r="K309" s="72">
        <f>+K310</f>
        <v>21330000</v>
      </c>
      <c r="L309" s="72">
        <f>+J309+K309</f>
        <v>52954128</v>
      </c>
      <c r="M309" s="72">
        <f t="shared" si="193"/>
        <v>52954128</v>
      </c>
      <c r="N309" s="53">
        <f t="shared" si="194"/>
        <v>122545872</v>
      </c>
      <c r="P309" s="195"/>
      <c r="S309" s="281"/>
      <c r="T309" s="282"/>
      <c r="U309" s="243"/>
    </row>
    <row r="310" spans="1:21" s="67" customFormat="1" ht="18" customHeight="1" x14ac:dyDescent="0.25">
      <c r="A310" s="56"/>
      <c r="B310" s="84"/>
      <c r="C310" s="56"/>
      <c r="D310" s="57" t="s">
        <v>114</v>
      </c>
      <c r="E310" s="57" t="s">
        <v>43</v>
      </c>
      <c r="F310" s="58">
        <f>+F311</f>
        <v>175500000</v>
      </c>
      <c r="G310" s="59">
        <f>SUM(G311)</f>
        <v>0</v>
      </c>
      <c r="H310" s="59">
        <f>SUM(H311)</f>
        <v>0</v>
      </c>
      <c r="I310" s="59">
        <f t="shared" si="195"/>
        <v>0</v>
      </c>
      <c r="J310" s="59">
        <f>SUM(J311)</f>
        <v>31624128</v>
      </c>
      <c r="K310" s="59">
        <f>SUM(K311)</f>
        <v>21330000</v>
      </c>
      <c r="L310" s="59">
        <f>+J310+K310</f>
        <v>52954128</v>
      </c>
      <c r="M310" s="59">
        <f t="shared" si="193"/>
        <v>52954128</v>
      </c>
      <c r="N310" s="58">
        <f t="shared" si="194"/>
        <v>122545872</v>
      </c>
      <c r="P310" s="192"/>
      <c r="R310" s="68"/>
      <c r="S310" s="281"/>
      <c r="T310" s="282"/>
      <c r="U310" s="249"/>
    </row>
    <row r="311" spans="1:21" s="146" customFormat="1" ht="33.75" customHeight="1" x14ac:dyDescent="0.25">
      <c r="A311" s="165"/>
      <c r="B311" s="127"/>
      <c r="C311" s="165"/>
      <c r="D311" s="166" t="s">
        <v>345</v>
      </c>
      <c r="E311" s="167" t="s">
        <v>346</v>
      </c>
      <c r="F311" s="168">
        <v>175500000</v>
      </c>
      <c r="G311" s="169"/>
      <c r="H311" s="169"/>
      <c r="I311" s="163">
        <f t="shared" si="195"/>
        <v>0</v>
      </c>
      <c r="J311" s="169">
        <v>31624128</v>
      </c>
      <c r="K311" s="169">
        <f>14680000+1600000+1600000+1600000+900000+950000</f>
        <v>21330000</v>
      </c>
      <c r="L311" s="169">
        <f>J311+K311</f>
        <v>52954128</v>
      </c>
      <c r="M311" s="169">
        <f t="shared" si="193"/>
        <v>52954128</v>
      </c>
      <c r="N311" s="168">
        <f t="shared" si="194"/>
        <v>122545872</v>
      </c>
      <c r="P311" s="197"/>
      <c r="S311" s="285">
        <f>1600000+1600000+1600000+1850000+14680000</f>
        <v>21330000</v>
      </c>
      <c r="T311" s="286"/>
      <c r="U311" s="253"/>
    </row>
    <row r="312" spans="1:21" s="121" customFormat="1" ht="22.5" customHeight="1" x14ac:dyDescent="0.25">
      <c r="A312" s="154">
        <v>17</v>
      </c>
      <c r="B312" s="155"/>
      <c r="C312" s="155" t="s">
        <v>143</v>
      </c>
      <c r="D312" s="156"/>
      <c r="E312" s="164" t="s">
        <v>144</v>
      </c>
      <c r="F312" s="158">
        <f t="shared" ref="F312:H313" si="196">+F313</f>
        <v>1024733000</v>
      </c>
      <c r="G312" s="159">
        <f t="shared" si="196"/>
        <v>0</v>
      </c>
      <c r="H312" s="159">
        <f t="shared" si="196"/>
        <v>0</v>
      </c>
      <c r="I312" s="159">
        <f t="shared" si="195"/>
        <v>0</v>
      </c>
      <c r="J312" s="159">
        <f>+J313</f>
        <v>102902000</v>
      </c>
      <c r="K312" s="159">
        <f>+K313</f>
        <v>28350000</v>
      </c>
      <c r="L312" s="159">
        <f>+J312+K312</f>
        <v>131252000</v>
      </c>
      <c r="M312" s="159">
        <f>+I312+L312</f>
        <v>131252000</v>
      </c>
      <c r="N312" s="158">
        <f>+F312-M312</f>
        <v>893481000</v>
      </c>
      <c r="P312" s="190"/>
      <c r="R312" s="122"/>
      <c r="S312" s="283"/>
      <c r="T312" s="283"/>
      <c r="U312" s="246"/>
    </row>
    <row r="313" spans="1:21" s="107" customFormat="1" ht="18" customHeight="1" x14ac:dyDescent="0.25">
      <c r="A313" s="101"/>
      <c r="B313" s="102"/>
      <c r="C313" s="102"/>
      <c r="D313" s="103" t="s">
        <v>207</v>
      </c>
      <c r="E313" s="104" t="s">
        <v>262</v>
      </c>
      <c r="F313" s="105">
        <f t="shared" si="196"/>
        <v>1024733000</v>
      </c>
      <c r="G313" s="106">
        <f t="shared" si="196"/>
        <v>0</v>
      </c>
      <c r="H313" s="106">
        <f t="shared" si="196"/>
        <v>0</v>
      </c>
      <c r="I313" s="106">
        <f t="shared" si="195"/>
        <v>0</v>
      </c>
      <c r="J313" s="106">
        <f>+J314</f>
        <v>102902000</v>
      </c>
      <c r="K313" s="106">
        <f>+K314</f>
        <v>28350000</v>
      </c>
      <c r="L313" s="106">
        <f>+J313+K313</f>
        <v>131252000</v>
      </c>
      <c r="M313" s="106">
        <f t="shared" ref="M313:M330" si="197">+I313+L313</f>
        <v>131252000</v>
      </c>
      <c r="N313" s="105">
        <f t="shared" ref="N313:N330" si="198">+F313-M313</f>
        <v>893481000</v>
      </c>
      <c r="P313" s="191"/>
      <c r="R313" s="108"/>
      <c r="S313" s="284"/>
      <c r="T313" s="284"/>
      <c r="U313" s="241"/>
    </row>
    <row r="314" spans="1:21" s="67" customFormat="1" ht="18" customHeight="1" x14ac:dyDescent="0.25">
      <c r="A314" s="88"/>
      <c r="B314" s="89"/>
      <c r="C314" s="88"/>
      <c r="D314" s="45" t="s">
        <v>63</v>
      </c>
      <c r="E314" s="45" t="s">
        <v>30</v>
      </c>
      <c r="F314" s="47">
        <f>+F315+F319+F322</f>
        <v>1024733000</v>
      </c>
      <c r="G314" s="70">
        <f>+G315+G319+G322</f>
        <v>0</v>
      </c>
      <c r="H314" s="70">
        <f>+H315+H319+H322</f>
        <v>0</v>
      </c>
      <c r="I314" s="70">
        <f t="shared" si="195"/>
        <v>0</v>
      </c>
      <c r="J314" s="70">
        <f>+J315+J319+J322</f>
        <v>102902000</v>
      </c>
      <c r="K314" s="70">
        <f>+K315+K319+K322</f>
        <v>28350000</v>
      </c>
      <c r="L314" s="70">
        <f>+J314+K314</f>
        <v>131252000</v>
      </c>
      <c r="M314" s="70">
        <f t="shared" si="197"/>
        <v>131252000</v>
      </c>
      <c r="N314" s="47">
        <f t="shared" si="198"/>
        <v>893481000</v>
      </c>
      <c r="P314" s="192"/>
      <c r="S314" s="282"/>
      <c r="T314" s="282"/>
      <c r="U314" s="249"/>
    </row>
    <row r="315" spans="1:21" s="55" customFormat="1" ht="18" customHeight="1" x14ac:dyDescent="0.25">
      <c r="A315" s="50"/>
      <c r="B315" s="51"/>
      <c r="C315" s="51"/>
      <c r="D315" s="71" t="s">
        <v>263</v>
      </c>
      <c r="E315" s="51" t="s">
        <v>264</v>
      </c>
      <c r="F315" s="53">
        <f>+F316</f>
        <v>160643000</v>
      </c>
      <c r="G315" s="72">
        <f>+G316</f>
        <v>0</v>
      </c>
      <c r="H315" s="72">
        <f>+H316</f>
        <v>0</v>
      </c>
      <c r="I315" s="72">
        <f t="shared" si="195"/>
        <v>0</v>
      </c>
      <c r="J315" s="72">
        <f>+J316</f>
        <v>30483000</v>
      </c>
      <c r="K315" s="72">
        <f>+K316</f>
        <v>10130000</v>
      </c>
      <c r="L315" s="72">
        <f>+J315+K315</f>
        <v>40613000</v>
      </c>
      <c r="M315" s="72">
        <f t="shared" si="197"/>
        <v>40613000</v>
      </c>
      <c r="N315" s="53">
        <f t="shared" si="198"/>
        <v>120030000</v>
      </c>
      <c r="P315" s="195"/>
      <c r="S315" s="282"/>
      <c r="T315" s="282"/>
      <c r="U315" s="243"/>
    </row>
    <row r="316" spans="1:21" s="67" customFormat="1" ht="18" customHeight="1" x14ac:dyDescent="0.25">
      <c r="A316" s="90"/>
      <c r="B316" s="91"/>
      <c r="C316" s="90"/>
      <c r="D316" s="57" t="s">
        <v>64</v>
      </c>
      <c r="E316" s="57" t="s">
        <v>65</v>
      </c>
      <c r="F316" s="58">
        <f>F317+F318</f>
        <v>160643000</v>
      </c>
      <c r="G316" s="59">
        <f>+G317</f>
        <v>0</v>
      </c>
      <c r="H316" s="59">
        <f>+H317</f>
        <v>0</v>
      </c>
      <c r="I316" s="59">
        <f t="shared" si="195"/>
        <v>0</v>
      </c>
      <c r="J316" s="59">
        <f>+J317</f>
        <v>30483000</v>
      </c>
      <c r="K316" s="59">
        <f>+K317</f>
        <v>10130000</v>
      </c>
      <c r="L316" s="59">
        <f>+J316+K316</f>
        <v>40613000</v>
      </c>
      <c r="M316" s="59">
        <f t="shared" si="197"/>
        <v>40613000</v>
      </c>
      <c r="N316" s="58">
        <f t="shared" si="198"/>
        <v>120030000</v>
      </c>
      <c r="P316" s="192"/>
      <c r="S316" s="282"/>
      <c r="T316" s="282"/>
      <c r="U316" s="249"/>
    </row>
    <row r="317" spans="1:21" s="49" customFormat="1" ht="18" customHeight="1" x14ac:dyDescent="0.25">
      <c r="A317" s="92"/>
      <c r="B317" s="93"/>
      <c r="C317" s="61"/>
      <c r="D317" s="62" t="s">
        <v>339</v>
      </c>
      <c r="E317" s="62" t="s">
        <v>340</v>
      </c>
      <c r="F317" s="63">
        <v>99000000</v>
      </c>
      <c r="G317" s="94"/>
      <c r="H317" s="94"/>
      <c r="I317" s="94"/>
      <c r="J317" s="75">
        <v>30483000</v>
      </c>
      <c r="K317" s="75">
        <v>10130000</v>
      </c>
      <c r="L317" s="75">
        <f t="shared" ref="L317:L330" si="199">+J317+K317</f>
        <v>40613000</v>
      </c>
      <c r="M317" s="75">
        <f t="shared" si="197"/>
        <v>40613000</v>
      </c>
      <c r="N317" s="63">
        <f t="shared" si="198"/>
        <v>58387000</v>
      </c>
      <c r="P317" s="203"/>
      <c r="S317" s="281">
        <f>940000+1960000+1910000+930000+970000+940000+1830000+650000</f>
        <v>10130000</v>
      </c>
      <c r="T317" s="282"/>
      <c r="U317" s="242"/>
    </row>
    <row r="318" spans="1:21" s="49" customFormat="1" ht="18" customHeight="1" x14ac:dyDescent="0.25">
      <c r="A318" s="92"/>
      <c r="B318" s="93"/>
      <c r="C318" s="61"/>
      <c r="D318" s="62" t="s">
        <v>361</v>
      </c>
      <c r="E318" s="62" t="s">
        <v>362</v>
      </c>
      <c r="F318" s="63">
        <v>61643000</v>
      </c>
      <c r="G318" s="94"/>
      <c r="H318" s="94"/>
      <c r="I318" s="94"/>
      <c r="J318" s="75"/>
      <c r="K318" s="75"/>
      <c r="L318" s="75">
        <f t="shared" si="199"/>
        <v>0</v>
      </c>
      <c r="M318" s="75">
        <f t="shared" si="197"/>
        <v>0</v>
      </c>
      <c r="N318" s="63">
        <f t="shared" si="198"/>
        <v>61643000</v>
      </c>
      <c r="P318" s="203"/>
      <c r="S318" s="282"/>
      <c r="T318" s="282"/>
      <c r="U318" s="242"/>
    </row>
    <row r="319" spans="1:21" s="55" customFormat="1" ht="18" customHeight="1" x14ac:dyDescent="0.25">
      <c r="A319" s="50"/>
      <c r="B319" s="51"/>
      <c r="C319" s="51"/>
      <c r="D319" s="71" t="s">
        <v>271</v>
      </c>
      <c r="E319" s="51" t="s">
        <v>272</v>
      </c>
      <c r="F319" s="53">
        <f>+F320</f>
        <v>36480000</v>
      </c>
      <c r="G319" s="72">
        <f>+G320</f>
        <v>0</v>
      </c>
      <c r="H319" s="72">
        <f>+H320</f>
        <v>0</v>
      </c>
      <c r="I319" s="72">
        <f>+G319+H319</f>
        <v>0</v>
      </c>
      <c r="J319" s="72">
        <f>+J320</f>
        <v>4800000</v>
      </c>
      <c r="K319" s="72">
        <f>+K320</f>
        <v>0</v>
      </c>
      <c r="L319" s="72">
        <f t="shared" si="199"/>
        <v>4800000</v>
      </c>
      <c r="M319" s="72">
        <f t="shared" si="197"/>
        <v>4800000</v>
      </c>
      <c r="N319" s="53">
        <f t="shared" si="198"/>
        <v>31680000</v>
      </c>
      <c r="P319" s="204"/>
      <c r="S319" s="282"/>
      <c r="T319" s="282"/>
      <c r="U319" s="243"/>
    </row>
    <row r="320" spans="1:21" s="67" customFormat="1" ht="18" customHeight="1" x14ac:dyDescent="0.25">
      <c r="A320" s="90"/>
      <c r="B320" s="91"/>
      <c r="C320" s="90"/>
      <c r="D320" s="57" t="s">
        <v>81</v>
      </c>
      <c r="E320" s="57" t="s">
        <v>31</v>
      </c>
      <c r="F320" s="58">
        <f>F321</f>
        <v>36480000</v>
      </c>
      <c r="G320" s="59">
        <f>+G321</f>
        <v>0</v>
      </c>
      <c r="H320" s="59">
        <f>+H321</f>
        <v>0</v>
      </c>
      <c r="I320" s="59">
        <f>+G320+H320</f>
        <v>0</v>
      </c>
      <c r="J320" s="59">
        <f>+J321</f>
        <v>4800000</v>
      </c>
      <c r="K320" s="59">
        <f>+K321</f>
        <v>0</v>
      </c>
      <c r="L320" s="59">
        <f t="shared" si="199"/>
        <v>4800000</v>
      </c>
      <c r="M320" s="59">
        <f t="shared" si="197"/>
        <v>4800000</v>
      </c>
      <c r="N320" s="58">
        <f t="shared" si="198"/>
        <v>31680000</v>
      </c>
      <c r="P320" s="203"/>
      <c r="S320" s="282"/>
      <c r="T320" s="282"/>
      <c r="U320" s="249"/>
    </row>
    <row r="321" spans="1:21" s="49" customFormat="1" ht="18" customHeight="1" x14ac:dyDescent="0.25">
      <c r="A321" s="92"/>
      <c r="B321" s="93"/>
      <c r="C321" s="61"/>
      <c r="D321" s="62" t="s">
        <v>82</v>
      </c>
      <c r="E321" s="62" t="s">
        <v>83</v>
      </c>
      <c r="F321" s="63">
        <v>36480000</v>
      </c>
      <c r="G321" s="94"/>
      <c r="H321" s="75"/>
      <c r="I321" s="94"/>
      <c r="J321" s="75">
        <v>4800000</v>
      </c>
      <c r="K321" s="75"/>
      <c r="L321" s="75">
        <f t="shared" si="199"/>
        <v>4800000</v>
      </c>
      <c r="M321" s="75">
        <f t="shared" si="197"/>
        <v>4800000</v>
      </c>
      <c r="N321" s="63">
        <f t="shared" si="198"/>
        <v>31680000</v>
      </c>
      <c r="P321" s="203"/>
      <c r="S321" s="282"/>
      <c r="T321" s="282"/>
      <c r="U321" s="242"/>
    </row>
    <row r="322" spans="1:21" s="55" customFormat="1" ht="18" customHeight="1" x14ac:dyDescent="0.25">
      <c r="A322" s="50"/>
      <c r="B322" s="51"/>
      <c r="C322" s="51"/>
      <c r="D322" s="71" t="s">
        <v>275</v>
      </c>
      <c r="E322" s="51" t="s">
        <v>276</v>
      </c>
      <c r="F322" s="53">
        <f>+F323</f>
        <v>827610000</v>
      </c>
      <c r="G322" s="72">
        <f>+G323</f>
        <v>0</v>
      </c>
      <c r="H322" s="72">
        <f>+H323</f>
        <v>0</v>
      </c>
      <c r="I322" s="72">
        <f>+G322+H322</f>
        <v>0</v>
      </c>
      <c r="J322" s="72">
        <f>+J323</f>
        <v>67619000</v>
      </c>
      <c r="K322" s="72">
        <f>+K323</f>
        <v>18220000</v>
      </c>
      <c r="L322" s="72">
        <f>+J322+K322</f>
        <v>85839000</v>
      </c>
      <c r="M322" s="72">
        <f t="shared" si="197"/>
        <v>85839000</v>
      </c>
      <c r="N322" s="53">
        <f t="shared" si="198"/>
        <v>741771000</v>
      </c>
      <c r="P322" s="204"/>
      <c r="S322" s="282"/>
      <c r="T322" s="282"/>
      <c r="U322" s="243"/>
    </row>
    <row r="323" spans="1:21" s="67" customFormat="1" ht="18" customHeight="1" x14ac:dyDescent="0.25">
      <c r="A323" s="90"/>
      <c r="B323" s="91"/>
      <c r="C323" s="90"/>
      <c r="D323" s="57" t="s">
        <v>114</v>
      </c>
      <c r="E323" s="57" t="s">
        <v>43</v>
      </c>
      <c r="F323" s="58">
        <f>SUM(F324:F330)</f>
        <v>827610000</v>
      </c>
      <c r="G323" s="59">
        <f>SUM(G325:G330)</f>
        <v>0</v>
      </c>
      <c r="H323" s="59">
        <f>SUM(H325:H330)</f>
        <v>0</v>
      </c>
      <c r="I323" s="59">
        <f>+G323+H323</f>
        <v>0</v>
      </c>
      <c r="J323" s="59">
        <f>SUM(J324:J330)</f>
        <v>67619000</v>
      </c>
      <c r="K323" s="59">
        <f>SUM(K324:K330)</f>
        <v>18220000</v>
      </c>
      <c r="L323" s="59">
        <f>+J323+K323</f>
        <v>85839000</v>
      </c>
      <c r="M323" s="59">
        <f t="shared" si="197"/>
        <v>85839000</v>
      </c>
      <c r="N323" s="58">
        <f t="shared" si="198"/>
        <v>741771000</v>
      </c>
      <c r="P323" s="203"/>
      <c r="S323" s="282"/>
      <c r="T323" s="282"/>
      <c r="U323" s="249"/>
    </row>
    <row r="324" spans="1:21" s="49" customFormat="1" ht="27" customHeight="1" x14ac:dyDescent="0.25">
      <c r="A324" s="170"/>
      <c r="B324" s="86"/>
      <c r="C324" s="171"/>
      <c r="D324" s="162" t="s">
        <v>478</v>
      </c>
      <c r="E324" s="172" t="s">
        <v>479</v>
      </c>
      <c r="F324" s="173">
        <v>31700000</v>
      </c>
      <c r="G324" s="174"/>
      <c r="H324" s="174"/>
      <c r="I324" s="174"/>
      <c r="J324" s="163">
        <v>5794000</v>
      </c>
      <c r="K324" s="163"/>
      <c r="L324" s="163">
        <f t="shared" ref="L324" si="200">+J324+K324</f>
        <v>5794000</v>
      </c>
      <c r="M324" s="163">
        <f t="shared" si="197"/>
        <v>5794000</v>
      </c>
      <c r="N324" s="173">
        <f t="shared" si="198"/>
        <v>25906000</v>
      </c>
      <c r="P324" s="203"/>
      <c r="S324" s="282"/>
      <c r="T324" s="282"/>
      <c r="U324" s="242"/>
    </row>
    <row r="325" spans="1:21" s="49" customFormat="1" ht="35.25" customHeight="1" x14ac:dyDescent="0.25">
      <c r="A325" s="170"/>
      <c r="B325" s="86"/>
      <c r="C325" s="171"/>
      <c r="D325" s="162" t="s">
        <v>347</v>
      </c>
      <c r="E325" s="172" t="s">
        <v>348</v>
      </c>
      <c r="F325" s="173">
        <v>8500000</v>
      </c>
      <c r="G325" s="174"/>
      <c r="H325" s="174"/>
      <c r="I325" s="174"/>
      <c r="J325" s="163">
        <v>0</v>
      </c>
      <c r="K325" s="163"/>
      <c r="L325" s="163">
        <f t="shared" si="199"/>
        <v>0</v>
      </c>
      <c r="M325" s="163">
        <f t="shared" si="197"/>
        <v>0</v>
      </c>
      <c r="N325" s="173">
        <f t="shared" si="198"/>
        <v>8500000</v>
      </c>
      <c r="P325" s="203"/>
      <c r="S325" s="282"/>
      <c r="T325" s="282"/>
      <c r="U325" s="242"/>
    </row>
    <row r="326" spans="1:21" s="49" customFormat="1" ht="29.25" customHeight="1" x14ac:dyDescent="0.25">
      <c r="A326" s="170"/>
      <c r="B326" s="86"/>
      <c r="C326" s="162"/>
      <c r="D326" s="162" t="s">
        <v>349</v>
      </c>
      <c r="E326" s="172" t="s">
        <v>350</v>
      </c>
      <c r="F326" s="173">
        <v>99960000</v>
      </c>
      <c r="G326" s="174"/>
      <c r="H326" s="174"/>
      <c r="I326" s="174"/>
      <c r="J326" s="163">
        <v>31245000</v>
      </c>
      <c r="K326" s="163">
        <v>1510000</v>
      </c>
      <c r="L326" s="163">
        <f t="shared" si="199"/>
        <v>32755000</v>
      </c>
      <c r="M326" s="163">
        <f t="shared" si="197"/>
        <v>32755000</v>
      </c>
      <c r="N326" s="173">
        <f>+F326-M326</f>
        <v>67205000</v>
      </c>
      <c r="P326" s="203"/>
      <c r="S326" s="281">
        <v>1510000</v>
      </c>
      <c r="T326" s="282"/>
      <c r="U326" s="242"/>
    </row>
    <row r="327" spans="1:21" s="49" customFormat="1" ht="35.25" customHeight="1" x14ac:dyDescent="0.25">
      <c r="A327" s="170"/>
      <c r="B327" s="86"/>
      <c r="C327" s="162"/>
      <c r="D327" s="162" t="s">
        <v>145</v>
      </c>
      <c r="E327" s="172" t="s">
        <v>351</v>
      </c>
      <c r="F327" s="173">
        <v>73200000</v>
      </c>
      <c r="G327" s="174"/>
      <c r="H327" s="174"/>
      <c r="I327" s="174"/>
      <c r="J327" s="163">
        <v>14650000</v>
      </c>
      <c r="K327" s="163">
        <v>5790000</v>
      </c>
      <c r="L327" s="163">
        <f t="shared" si="199"/>
        <v>20440000</v>
      </c>
      <c r="M327" s="163">
        <f t="shared" si="197"/>
        <v>20440000</v>
      </c>
      <c r="N327" s="173">
        <f>+F327-M327</f>
        <v>52760000</v>
      </c>
      <c r="P327" s="203"/>
      <c r="S327" s="281">
        <f>575000+1250000+2600000+1365000</f>
        <v>5790000</v>
      </c>
      <c r="T327" s="282"/>
      <c r="U327" s="242"/>
    </row>
    <row r="328" spans="1:21" s="49" customFormat="1" ht="18.75" customHeight="1" x14ac:dyDescent="0.25">
      <c r="A328" s="170"/>
      <c r="B328" s="86"/>
      <c r="C328" s="162"/>
      <c r="D328" s="162" t="s">
        <v>115</v>
      </c>
      <c r="E328" s="172" t="s">
        <v>116</v>
      </c>
      <c r="F328" s="173">
        <v>109500000</v>
      </c>
      <c r="G328" s="174"/>
      <c r="H328" s="174"/>
      <c r="I328" s="174"/>
      <c r="J328" s="163">
        <v>10740000</v>
      </c>
      <c r="K328" s="163">
        <v>9705000</v>
      </c>
      <c r="L328" s="163">
        <f t="shared" si="199"/>
        <v>20445000</v>
      </c>
      <c r="M328" s="163">
        <f t="shared" si="197"/>
        <v>20445000</v>
      </c>
      <c r="N328" s="173">
        <f>+F328-M328</f>
        <v>89055000</v>
      </c>
      <c r="P328" s="192"/>
      <c r="S328" s="281">
        <f>995000+170000+395000+75000+650000+65000+480000+850000+225000+350000+750000+440000+570000+1050000+1190000+250000+370000+830000</f>
        <v>9705000</v>
      </c>
      <c r="T328" s="282"/>
      <c r="U328" s="242"/>
    </row>
    <row r="329" spans="1:21" s="49" customFormat="1" ht="21" customHeight="1" x14ac:dyDescent="0.25">
      <c r="A329" s="170"/>
      <c r="B329" s="86"/>
      <c r="C329" s="162"/>
      <c r="D329" s="162" t="s">
        <v>352</v>
      </c>
      <c r="E329" s="172" t="s">
        <v>353</v>
      </c>
      <c r="F329" s="173">
        <v>108500000</v>
      </c>
      <c r="G329" s="174"/>
      <c r="H329" s="174"/>
      <c r="I329" s="174"/>
      <c r="J329" s="163">
        <v>5190000</v>
      </c>
      <c r="K329" s="163">
        <v>1215000</v>
      </c>
      <c r="L329" s="163">
        <f t="shared" si="199"/>
        <v>6405000</v>
      </c>
      <c r="M329" s="163">
        <f t="shared" si="197"/>
        <v>6405000</v>
      </c>
      <c r="N329" s="173">
        <f t="shared" si="198"/>
        <v>102095000</v>
      </c>
      <c r="P329" s="192"/>
      <c r="S329" s="281">
        <f>450000+110000+555000+100000</f>
        <v>1215000</v>
      </c>
      <c r="T329" s="282"/>
      <c r="U329" s="242"/>
    </row>
    <row r="330" spans="1:21" s="134" customFormat="1" ht="18" customHeight="1" x14ac:dyDescent="0.25">
      <c r="A330" s="151"/>
      <c r="B330" s="152"/>
      <c r="C330" s="124"/>
      <c r="D330" s="124" t="s">
        <v>354</v>
      </c>
      <c r="E330" s="139" t="s">
        <v>355</v>
      </c>
      <c r="F330" s="125">
        <v>396250000</v>
      </c>
      <c r="G330" s="140"/>
      <c r="H330" s="140"/>
      <c r="I330" s="140">
        <f t="shared" ref="I330:I347" si="201">+G330+H330</f>
        <v>0</v>
      </c>
      <c r="J330" s="140"/>
      <c r="K330" s="140"/>
      <c r="L330" s="140">
        <f t="shared" si="199"/>
        <v>0</v>
      </c>
      <c r="M330" s="140">
        <f t="shared" si="197"/>
        <v>0</v>
      </c>
      <c r="N330" s="125">
        <f t="shared" si="198"/>
        <v>396250000</v>
      </c>
      <c r="P330" s="197"/>
      <c r="S330" s="286"/>
      <c r="T330" s="286"/>
      <c r="U330" s="247"/>
    </row>
    <row r="331" spans="1:21" s="121" customFormat="1" ht="22.5" customHeight="1" x14ac:dyDescent="0.25">
      <c r="A331" s="154">
        <v>18</v>
      </c>
      <c r="B331" s="155"/>
      <c r="C331" s="155" t="s">
        <v>146</v>
      </c>
      <c r="D331" s="156"/>
      <c r="E331" s="164" t="s">
        <v>356</v>
      </c>
      <c r="F331" s="158">
        <f t="shared" ref="F331:H334" si="202">+F332</f>
        <v>399988000</v>
      </c>
      <c r="G331" s="159">
        <f t="shared" si="202"/>
        <v>0</v>
      </c>
      <c r="H331" s="159">
        <f t="shared" si="202"/>
        <v>0</v>
      </c>
      <c r="I331" s="159">
        <f t="shared" si="201"/>
        <v>0</v>
      </c>
      <c r="J331" s="159">
        <f t="shared" ref="J331:K335" si="203">+J332</f>
        <v>0</v>
      </c>
      <c r="K331" s="159">
        <f t="shared" si="203"/>
        <v>0</v>
      </c>
      <c r="L331" s="159">
        <f>+J331+K331</f>
        <v>0</v>
      </c>
      <c r="M331" s="159">
        <f>+I331+L331</f>
        <v>0</v>
      </c>
      <c r="N331" s="158">
        <f>+F331-M331</f>
        <v>399988000</v>
      </c>
      <c r="P331" s="190"/>
      <c r="R331" s="122"/>
      <c r="S331" s="283"/>
      <c r="T331" s="283"/>
      <c r="U331" s="246"/>
    </row>
    <row r="332" spans="1:21" s="107" customFormat="1" ht="18" customHeight="1" x14ac:dyDescent="0.25">
      <c r="A332" s="101"/>
      <c r="B332" s="102"/>
      <c r="C332" s="102"/>
      <c r="D332" s="103" t="s">
        <v>207</v>
      </c>
      <c r="E332" s="104" t="s">
        <v>262</v>
      </c>
      <c r="F332" s="105">
        <f t="shared" si="202"/>
        <v>399988000</v>
      </c>
      <c r="G332" s="106">
        <f t="shared" si="202"/>
        <v>0</v>
      </c>
      <c r="H332" s="106">
        <f t="shared" si="202"/>
        <v>0</v>
      </c>
      <c r="I332" s="106">
        <f t="shared" si="201"/>
        <v>0</v>
      </c>
      <c r="J332" s="106">
        <f t="shared" si="203"/>
        <v>0</v>
      </c>
      <c r="K332" s="106">
        <f t="shared" si="203"/>
        <v>0</v>
      </c>
      <c r="L332" s="106">
        <f>+J332+K332</f>
        <v>0</v>
      </c>
      <c r="M332" s="106">
        <f t="shared" ref="M332:M336" si="204">+I332+L332</f>
        <v>0</v>
      </c>
      <c r="N332" s="105">
        <f>+F332-M332</f>
        <v>399988000</v>
      </c>
      <c r="P332" s="191"/>
      <c r="R332" s="108"/>
      <c r="S332" s="284"/>
      <c r="T332" s="284"/>
      <c r="U332" s="241"/>
    </row>
    <row r="333" spans="1:21" s="67" customFormat="1" ht="18" customHeight="1" x14ac:dyDescent="0.25">
      <c r="A333" s="88"/>
      <c r="B333" s="89"/>
      <c r="C333" s="88"/>
      <c r="D333" s="45" t="s">
        <v>63</v>
      </c>
      <c r="E333" s="45" t="s">
        <v>30</v>
      </c>
      <c r="F333" s="47">
        <f t="shared" si="202"/>
        <v>399988000</v>
      </c>
      <c r="G333" s="70">
        <f t="shared" si="202"/>
        <v>0</v>
      </c>
      <c r="H333" s="70">
        <f t="shared" si="202"/>
        <v>0</v>
      </c>
      <c r="I333" s="70">
        <f t="shared" si="201"/>
        <v>0</v>
      </c>
      <c r="J333" s="70">
        <f t="shared" si="203"/>
        <v>0</v>
      </c>
      <c r="K333" s="70">
        <f t="shared" si="203"/>
        <v>0</v>
      </c>
      <c r="L333" s="70">
        <f>+J333+K333</f>
        <v>0</v>
      </c>
      <c r="M333" s="70">
        <f t="shared" si="204"/>
        <v>0</v>
      </c>
      <c r="N333" s="47">
        <f t="shared" ref="N333:N336" si="205">+F333-M333</f>
        <v>399988000</v>
      </c>
      <c r="P333" s="192"/>
      <c r="S333" s="282"/>
      <c r="T333" s="282"/>
      <c r="U333" s="249"/>
    </row>
    <row r="334" spans="1:21" s="55" customFormat="1" ht="18" customHeight="1" x14ac:dyDescent="0.25">
      <c r="A334" s="50"/>
      <c r="B334" s="51"/>
      <c r="C334" s="51"/>
      <c r="D334" s="71" t="s">
        <v>275</v>
      </c>
      <c r="E334" s="51" t="s">
        <v>276</v>
      </c>
      <c r="F334" s="53">
        <f t="shared" si="202"/>
        <v>399988000</v>
      </c>
      <c r="G334" s="72">
        <f t="shared" si="202"/>
        <v>0</v>
      </c>
      <c r="H334" s="72">
        <f t="shared" si="202"/>
        <v>0</v>
      </c>
      <c r="I334" s="72">
        <f t="shared" si="201"/>
        <v>0</v>
      </c>
      <c r="J334" s="72">
        <f t="shared" si="203"/>
        <v>0</v>
      </c>
      <c r="K334" s="72">
        <f t="shared" si="203"/>
        <v>0</v>
      </c>
      <c r="L334" s="72">
        <f>+J334+K334</f>
        <v>0</v>
      </c>
      <c r="M334" s="72">
        <f t="shared" si="204"/>
        <v>0</v>
      </c>
      <c r="N334" s="53">
        <f t="shared" si="205"/>
        <v>399988000</v>
      </c>
      <c r="P334" s="195"/>
      <c r="S334" s="282"/>
      <c r="T334" s="282"/>
      <c r="U334" s="243"/>
    </row>
    <row r="335" spans="1:21" s="67" customFormat="1" ht="18" customHeight="1" x14ac:dyDescent="0.25">
      <c r="A335" s="90"/>
      <c r="B335" s="91"/>
      <c r="C335" s="90"/>
      <c r="D335" s="57" t="s">
        <v>147</v>
      </c>
      <c r="E335" s="57" t="s">
        <v>35</v>
      </c>
      <c r="F335" s="58">
        <f>F336</f>
        <v>399988000</v>
      </c>
      <c r="G335" s="59">
        <f>+G336</f>
        <v>0</v>
      </c>
      <c r="H335" s="59">
        <f>+H336</f>
        <v>0</v>
      </c>
      <c r="I335" s="59">
        <f t="shared" si="201"/>
        <v>0</v>
      </c>
      <c r="J335" s="59">
        <f t="shared" si="203"/>
        <v>0</v>
      </c>
      <c r="K335" s="59">
        <f t="shared" si="203"/>
        <v>0</v>
      </c>
      <c r="L335" s="59">
        <f>+J335+K335</f>
        <v>0</v>
      </c>
      <c r="M335" s="59">
        <f t="shared" si="204"/>
        <v>0</v>
      </c>
      <c r="N335" s="58">
        <f t="shared" si="205"/>
        <v>399988000</v>
      </c>
      <c r="P335" s="192"/>
      <c r="S335" s="282"/>
      <c r="T335" s="282"/>
      <c r="U335" s="249"/>
    </row>
    <row r="336" spans="1:21" s="134" customFormat="1" ht="33.75" customHeight="1" x14ac:dyDescent="0.25">
      <c r="A336" s="265"/>
      <c r="B336" s="144"/>
      <c r="C336" s="165"/>
      <c r="D336" s="166" t="s">
        <v>148</v>
      </c>
      <c r="E336" s="167" t="s">
        <v>149</v>
      </c>
      <c r="F336" s="168">
        <v>399988000</v>
      </c>
      <c r="G336" s="266"/>
      <c r="H336" s="169"/>
      <c r="I336" s="169">
        <f t="shared" si="201"/>
        <v>0</v>
      </c>
      <c r="J336" s="169"/>
      <c r="K336" s="169"/>
      <c r="L336" s="169">
        <f t="shared" ref="L336" si="206">+J336+K336</f>
        <v>0</v>
      </c>
      <c r="M336" s="169">
        <f t="shared" si="204"/>
        <v>0</v>
      </c>
      <c r="N336" s="168">
        <f t="shared" si="205"/>
        <v>399988000</v>
      </c>
      <c r="P336" s="197"/>
      <c r="S336" s="286"/>
      <c r="T336" s="286"/>
      <c r="U336" s="247"/>
    </row>
    <row r="337" spans="1:21" s="121" customFormat="1" ht="34.5" customHeight="1" x14ac:dyDescent="0.25">
      <c r="A337" s="154">
        <v>19</v>
      </c>
      <c r="B337" s="155"/>
      <c r="C337" s="155" t="s">
        <v>151</v>
      </c>
      <c r="D337" s="156"/>
      <c r="E337" s="164" t="s">
        <v>152</v>
      </c>
      <c r="F337" s="158">
        <f t="shared" ref="F337:H340" si="207">+F338</f>
        <v>200000000</v>
      </c>
      <c r="G337" s="159">
        <f t="shared" si="207"/>
        <v>0</v>
      </c>
      <c r="H337" s="159">
        <f t="shared" si="207"/>
        <v>0</v>
      </c>
      <c r="I337" s="159">
        <f t="shared" si="201"/>
        <v>0</v>
      </c>
      <c r="J337" s="159">
        <f t="shared" ref="J337:K341" si="208">+J338</f>
        <v>0</v>
      </c>
      <c r="K337" s="159">
        <f t="shared" si="208"/>
        <v>0</v>
      </c>
      <c r="L337" s="159">
        <f>+J337+K337</f>
        <v>0</v>
      </c>
      <c r="M337" s="159">
        <f>+I337+L337</f>
        <v>0</v>
      </c>
      <c r="N337" s="158">
        <f>+F337-M337</f>
        <v>200000000</v>
      </c>
      <c r="P337" s="190"/>
      <c r="R337" s="122"/>
      <c r="S337" s="283"/>
      <c r="T337" s="283"/>
      <c r="U337" s="246"/>
    </row>
    <row r="338" spans="1:21" s="107" customFormat="1" ht="18" customHeight="1" x14ac:dyDescent="0.25">
      <c r="A338" s="101"/>
      <c r="B338" s="102"/>
      <c r="C338" s="102"/>
      <c r="D338" s="103" t="s">
        <v>207</v>
      </c>
      <c r="E338" s="104" t="s">
        <v>262</v>
      </c>
      <c r="F338" s="105">
        <f t="shared" si="207"/>
        <v>200000000</v>
      </c>
      <c r="G338" s="106">
        <f t="shared" si="207"/>
        <v>0</v>
      </c>
      <c r="H338" s="106">
        <f t="shared" si="207"/>
        <v>0</v>
      </c>
      <c r="I338" s="106">
        <f t="shared" si="201"/>
        <v>0</v>
      </c>
      <c r="J338" s="106">
        <f t="shared" si="208"/>
        <v>0</v>
      </c>
      <c r="K338" s="106">
        <f t="shared" si="208"/>
        <v>0</v>
      </c>
      <c r="L338" s="106">
        <f>+J338+K338</f>
        <v>0</v>
      </c>
      <c r="M338" s="106">
        <f t="shared" ref="M338:M342" si="209">+I338+L338</f>
        <v>0</v>
      </c>
      <c r="N338" s="105">
        <f t="shared" ref="N338:N342" si="210">+F338-M338</f>
        <v>200000000</v>
      </c>
      <c r="P338" s="191"/>
      <c r="R338" s="108"/>
      <c r="S338" s="284"/>
      <c r="T338" s="284"/>
      <c r="U338" s="241"/>
    </row>
    <row r="339" spans="1:21" s="67" customFormat="1" ht="18" customHeight="1" x14ac:dyDescent="0.25">
      <c r="A339" s="88"/>
      <c r="B339" s="89"/>
      <c r="C339" s="88"/>
      <c r="D339" s="45" t="s">
        <v>63</v>
      </c>
      <c r="E339" s="45" t="s">
        <v>30</v>
      </c>
      <c r="F339" s="47">
        <f t="shared" si="207"/>
        <v>200000000</v>
      </c>
      <c r="G339" s="70">
        <f t="shared" si="207"/>
        <v>0</v>
      </c>
      <c r="H339" s="70">
        <f t="shared" si="207"/>
        <v>0</v>
      </c>
      <c r="I339" s="70">
        <f t="shared" si="201"/>
        <v>0</v>
      </c>
      <c r="J339" s="70">
        <f t="shared" si="208"/>
        <v>0</v>
      </c>
      <c r="K339" s="70">
        <f t="shared" si="208"/>
        <v>0</v>
      </c>
      <c r="L339" s="70">
        <f>+J339+K339</f>
        <v>0</v>
      </c>
      <c r="M339" s="70">
        <f t="shared" si="209"/>
        <v>0</v>
      </c>
      <c r="N339" s="47">
        <f t="shared" si="210"/>
        <v>200000000</v>
      </c>
      <c r="P339" s="192"/>
      <c r="S339" s="282"/>
      <c r="T339" s="282"/>
      <c r="U339" s="249"/>
    </row>
    <row r="340" spans="1:21" s="55" customFormat="1" ht="18" customHeight="1" x14ac:dyDescent="0.25">
      <c r="A340" s="50"/>
      <c r="B340" s="51"/>
      <c r="C340" s="51"/>
      <c r="D340" s="71" t="s">
        <v>275</v>
      </c>
      <c r="E340" s="51" t="s">
        <v>276</v>
      </c>
      <c r="F340" s="53">
        <f t="shared" si="207"/>
        <v>200000000</v>
      </c>
      <c r="G340" s="72">
        <f t="shared" si="207"/>
        <v>0</v>
      </c>
      <c r="H340" s="72">
        <f t="shared" si="207"/>
        <v>0</v>
      </c>
      <c r="I340" s="72">
        <f t="shared" si="201"/>
        <v>0</v>
      </c>
      <c r="J340" s="72">
        <f t="shared" si="208"/>
        <v>0</v>
      </c>
      <c r="K340" s="72">
        <f t="shared" si="208"/>
        <v>0</v>
      </c>
      <c r="L340" s="72">
        <f>+J340+K340</f>
        <v>0</v>
      </c>
      <c r="M340" s="72">
        <f t="shared" si="209"/>
        <v>0</v>
      </c>
      <c r="N340" s="53">
        <f t="shared" si="210"/>
        <v>200000000</v>
      </c>
      <c r="P340" s="195"/>
      <c r="S340" s="282"/>
      <c r="T340" s="282"/>
      <c r="U340" s="243"/>
    </row>
    <row r="341" spans="1:21" s="67" customFormat="1" ht="18" customHeight="1" x14ac:dyDescent="0.25">
      <c r="A341" s="90"/>
      <c r="B341" s="91"/>
      <c r="C341" s="90"/>
      <c r="D341" s="57" t="s">
        <v>147</v>
      </c>
      <c r="E341" s="57" t="s">
        <v>35</v>
      </c>
      <c r="F341" s="58">
        <f>F342</f>
        <v>200000000</v>
      </c>
      <c r="G341" s="59">
        <f>+G342</f>
        <v>0</v>
      </c>
      <c r="H341" s="59">
        <f>+H342</f>
        <v>0</v>
      </c>
      <c r="I341" s="59">
        <f t="shared" si="201"/>
        <v>0</v>
      </c>
      <c r="J341" s="59">
        <f t="shared" si="208"/>
        <v>0</v>
      </c>
      <c r="K341" s="59">
        <f t="shared" si="208"/>
        <v>0</v>
      </c>
      <c r="L341" s="59">
        <f>+J341+K341</f>
        <v>0</v>
      </c>
      <c r="M341" s="59">
        <f t="shared" si="209"/>
        <v>0</v>
      </c>
      <c r="N341" s="58">
        <f t="shared" si="210"/>
        <v>200000000</v>
      </c>
      <c r="P341" s="192"/>
      <c r="S341" s="282"/>
      <c r="T341" s="282"/>
      <c r="U341" s="249"/>
    </row>
    <row r="342" spans="1:21" s="134" customFormat="1" ht="33.75" customHeight="1" x14ac:dyDescent="0.25">
      <c r="A342" s="265"/>
      <c r="B342" s="144"/>
      <c r="C342" s="165"/>
      <c r="D342" s="166" t="s">
        <v>148</v>
      </c>
      <c r="E342" s="167" t="s">
        <v>149</v>
      </c>
      <c r="F342" s="168">
        <v>200000000</v>
      </c>
      <c r="G342" s="266"/>
      <c r="H342" s="169"/>
      <c r="I342" s="169">
        <f t="shared" si="201"/>
        <v>0</v>
      </c>
      <c r="J342" s="169"/>
      <c r="K342" s="169"/>
      <c r="L342" s="169">
        <f t="shared" ref="L342" si="211">+J342+K342</f>
        <v>0</v>
      </c>
      <c r="M342" s="169">
        <f t="shared" si="209"/>
        <v>0</v>
      </c>
      <c r="N342" s="168">
        <f t="shared" si="210"/>
        <v>200000000</v>
      </c>
      <c r="P342" s="197"/>
      <c r="S342" s="286"/>
      <c r="T342" s="286"/>
      <c r="U342" s="247"/>
    </row>
    <row r="343" spans="1:21" s="121" customFormat="1" ht="34.5" customHeight="1" x14ac:dyDescent="0.25">
      <c r="A343" s="154">
        <v>20</v>
      </c>
      <c r="B343" s="155"/>
      <c r="C343" s="155" t="s">
        <v>153</v>
      </c>
      <c r="D343" s="156"/>
      <c r="E343" s="164" t="s">
        <v>154</v>
      </c>
      <c r="F343" s="158">
        <f t="shared" ref="F343:H346" si="212">+F344</f>
        <v>80000000</v>
      </c>
      <c r="G343" s="159">
        <f t="shared" si="212"/>
        <v>0</v>
      </c>
      <c r="H343" s="159">
        <f t="shared" si="212"/>
        <v>0</v>
      </c>
      <c r="I343" s="159">
        <f t="shared" si="201"/>
        <v>0</v>
      </c>
      <c r="J343" s="159">
        <f t="shared" ref="J343:K347" si="213">+J344</f>
        <v>20000000</v>
      </c>
      <c r="K343" s="159">
        <f t="shared" si="213"/>
        <v>0</v>
      </c>
      <c r="L343" s="159">
        <f>+J343+K343</f>
        <v>20000000</v>
      </c>
      <c r="M343" s="159">
        <f>+I343+L343</f>
        <v>20000000</v>
      </c>
      <c r="N343" s="158">
        <f>+F343-M343</f>
        <v>60000000</v>
      </c>
      <c r="P343" s="190"/>
      <c r="R343" s="122"/>
      <c r="S343" s="283"/>
      <c r="T343" s="283"/>
      <c r="U343" s="246"/>
    </row>
    <row r="344" spans="1:21" s="107" customFormat="1" ht="18" customHeight="1" x14ac:dyDescent="0.25">
      <c r="A344" s="101"/>
      <c r="B344" s="102"/>
      <c r="C344" s="102"/>
      <c r="D344" s="103" t="s">
        <v>207</v>
      </c>
      <c r="E344" s="104" t="s">
        <v>262</v>
      </c>
      <c r="F344" s="105">
        <f t="shared" si="212"/>
        <v>80000000</v>
      </c>
      <c r="G344" s="106">
        <f t="shared" si="212"/>
        <v>0</v>
      </c>
      <c r="H344" s="106">
        <f t="shared" si="212"/>
        <v>0</v>
      </c>
      <c r="I344" s="106">
        <f t="shared" si="201"/>
        <v>0</v>
      </c>
      <c r="J344" s="106">
        <f t="shared" si="213"/>
        <v>20000000</v>
      </c>
      <c r="K344" s="106">
        <f t="shared" si="213"/>
        <v>0</v>
      </c>
      <c r="L344" s="106">
        <f>+J344+K344</f>
        <v>20000000</v>
      </c>
      <c r="M344" s="106">
        <f t="shared" ref="M344:M348" si="214">+I344+L344</f>
        <v>20000000</v>
      </c>
      <c r="N344" s="105">
        <f t="shared" ref="N344:N348" si="215">+F344-M344</f>
        <v>60000000</v>
      </c>
      <c r="P344" s="191"/>
      <c r="R344" s="108"/>
      <c r="S344" s="284"/>
      <c r="T344" s="284"/>
      <c r="U344" s="241"/>
    </row>
    <row r="345" spans="1:21" s="67" customFormat="1" ht="18" customHeight="1" x14ac:dyDescent="0.25">
      <c r="A345" s="88"/>
      <c r="B345" s="89"/>
      <c r="C345" s="88"/>
      <c r="D345" s="45" t="s">
        <v>63</v>
      </c>
      <c r="E345" s="45" t="s">
        <v>30</v>
      </c>
      <c r="F345" s="47">
        <f t="shared" si="212"/>
        <v>80000000</v>
      </c>
      <c r="G345" s="70">
        <f t="shared" si="212"/>
        <v>0</v>
      </c>
      <c r="H345" s="70">
        <f t="shared" si="212"/>
        <v>0</v>
      </c>
      <c r="I345" s="70">
        <f t="shared" si="201"/>
        <v>0</v>
      </c>
      <c r="J345" s="70">
        <f t="shared" si="213"/>
        <v>20000000</v>
      </c>
      <c r="K345" s="70">
        <f t="shared" si="213"/>
        <v>0</v>
      </c>
      <c r="L345" s="70">
        <f>+J345+K345</f>
        <v>20000000</v>
      </c>
      <c r="M345" s="70">
        <f t="shared" si="214"/>
        <v>20000000</v>
      </c>
      <c r="N345" s="47">
        <f t="shared" si="215"/>
        <v>60000000</v>
      </c>
      <c r="P345" s="192"/>
      <c r="S345" s="282"/>
      <c r="T345" s="282"/>
      <c r="U345" s="249"/>
    </row>
    <row r="346" spans="1:21" s="55" customFormat="1" ht="18" customHeight="1" x14ac:dyDescent="0.25">
      <c r="A346" s="50"/>
      <c r="B346" s="51"/>
      <c r="C346" s="51"/>
      <c r="D346" s="71" t="s">
        <v>275</v>
      </c>
      <c r="E346" s="51" t="s">
        <v>276</v>
      </c>
      <c r="F346" s="53">
        <f t="shared" si="212"/>
        <v>80000000</v>
      </c>
      <c r="G346" s="72">
        <f t="shared" si="212"/>
        <v>0</v>
      </c>
      <c r="H346" s="72">
        <f t="shared" si="212"/>
        <v>0</v>
      </c>
      <c r="I346" s="72">
        <f t="shared" si="201"/>
        <v>0</v>
      </c>
      <c r="J346" s="72">
        <f t="shared" si="213"/>
        <v>20000000</v>
      </c>
      <c r="K346" s="72">
        <f t="shared" si="213"/>
        <v>0</v>
      </c>
      <c r="L346" s="72">
        <f>+J346+K346</f>
        <v>20000000</v>
      </c>
      <c r="M346" s="72">
        <f t="shared" si="214"/>
        <v>20000000</v>
      </c>
      <c r="N346" s="53">
        <f t="shared" si="215"/>
        <v>60000000</v>
      </c>
      <c r="P346" s="195"/>
      <c r="S346" s="282"/>
      <c r="T346" s="282"/>
      <c r="U346" s="243"/>
    </row>
    <row r="347" spans="1:21" s="67" customFormat="1" ht="18" customHeight="1" x14ac:dyDescent="0.25">
      <c r="A347" s="90"/>
      <c r="B347" s="91"/>
      <c r="C347" s="90"/>
      <c r="D347" s="57" t="s">
        <v>114</v>
      </c>
      <c r="E347" s="57" t="s">
        <v>43</v>
      </c>
      <c r="F347" s="58">
        <f>F348</f>
        <v>80000000</v>
      </c>
      <c r="G347" s="59">
        <f>+G348</f>
        <v>0</v>
      </c>
      <c r="H347" s="59">
        <f>+H348</f>
        <v>0</v>
      </c>
      <c r="I347" s="59">
        <f t="shared" si="201"/>
        <v>0</v>
      </c>
      <c r="J347" s="59">
        <f t="shared" si="213"/>
        <v>20000000</v>
      </c>
      <c r="K347" s="59">
        <f t="shared" si="213"/>
        <v>0</v>
      </c>
      <c r="L347" s="59">
        <f>+J347+K347</f>
        <v>20000000</v>
      </c>
      <c r="M347" s="59">
        <f t="shared" si="214"/>
        <v>20000000</v>
      </c>
      <c r="N347" s="58">
        <f t="shared" si="215"/>
        <v>60000000</v>
      </c>
      <c r="P347" s="192"/>
      <c r="S347" s="282"/>
      <c r="T347" s="282"/>
      <c r="U347" s="249"/>
    </row>
    <row r="348" spans="1:21" s="49" customFormat="1" ht="20.25" customHeight="1" x14ac:dyDescent="0.25">
      <c r="A348" s="170"/>
      <c r="B348" s="86"/>
      <c r="C348" s="171"/>
      <c r="D348" s="162" t="s">
        <v>349</v>
      </c>
      <c r="E348" s="172" t="s">
        <v>350</v>
      </c>
      <c r="F348" s="173">
        <v>80000000</v>
      </c>
      <c r="G348" s="174"/>
      <c r="H348" s="174"/>
      <c r="I348" s="174"/>
      <c r="J348" s="163">
        <v>20000000</v>
      </c>
      <c r="K348" s="163"/>
      <c r="L348" s="163">
        <f t="shared" ref="L348" si="216">+J348+K348</f>
        <v>20000000</v>
      </c>
      <c r="M348" s="163">
        <f t="shared" si="214"/>
        <v>20000000</v>
      </c>
      <c r="N348" s="173">
        <f t="shared" si="215"/>
        <v>60000000</v>
      </c>
      <c r="P348" s="192"/>
      <c r="S348" s="282"/>
      <c r="T348" s="282"/>
      <c r="U348" s="242"/>
    </row>
    <row r="349" spans="1:21" s="134" customFormat="1" ht="18" customHeight="1" x14ac:dyDescent="0.25">
      <c r="A349" s="129"/>
      <c r="B349" s="131"/>
      <c r="C349" s="131"/>
      <c r="D349" s="131"/>
      <c r="E349" s="131"/>
      <c r="F349" s="132"/>
      <c r="G349" s="133"/>
      <c r="H349" s="133"/>
      <c r="I349" s="133"/>
      <c r="J349" s="133"/>
      <c r="K349" s="133"/>
      <c r="L349" s="133"/>
      <c r="M349" s="133"/>
      <c r="N349" s="132"/>
      <c r="P349" s="197"/>
      <c r="S349" s="286"/>
      <c r="T349" s="286"/>
      <c r="U349" s="247"/>
    </row>
    <row r="350" spans="1:21" s="137" customFormat="1" ht="18.75" customHeight="1" x14ac:dyDescent="0.25">
      <c r="A350" s="109"/>
      <c r="B350" s="110" t="s">
        <v>410</v>
      </c>
      <c r="C350" s="110"/>
      <c r="D350" s="110"/>
      <c r="E350" s="150" t="s">
        <v>411</v>
      </c>
      <c r="F350" s="135">
        <f>+F351+F357+F369+F375</f>
        <v>352609205400</v>
      </c>
      <c r="G350" s="113">
        <f>G351+G357+G369+G375</f>
        <v>37562351000</v>
      </c>
      <c r="H350" s="113">
        <f>+H351+H357+H369+H375</f>
        <v>6206617000</v>
      </c>
      <c r="I350" s="136">
        <f>+G350+H350</f>
        <v>43768968000</v>
      </c>
      <c r="J350" s="113">
        <f>J351+J357+J369+J375</f>
        <v>0</v>
      </c>
      <c r="K350" s="113">
        <f>+K352</f>
        <v>0</v>
      </c>
      <c r="L350" s="136">
        <f t="shared" ref="L350:L364" si="217">+J350+K350</f>
        <v>0</v>
      </c>
      <c r="M350" s="136">
        <f t="shared" ref="M350:M364" si="218">+I350+L350</f>
        <v>43768968000</v>
      </c>
      <c r="N350" s="135">
        <f t="shared" ref="N350:N355" si="219">+F350-M350</f>
        <v>308840237400</v>
      </c>
      <c r="P350" s="198"/>
      <c r="R350" s="138"/>
      <c r="S350" s="287"/>
      <c r="T350" s="287"/>
      <c r="U350" s="248"/>
    </row>
    <row r="351" spans="1:21" s="121" customFormat="1" ht="32.25" hidden="1" customHeight="1" x14ac:dyDescent="0.25">
      <c r="A351" s="154">
        <v>21</v>
      </c>
      <c r="B351" s="155"/>
      <c r="C351" s="155" t="s">
        <v>280</v>
      </c>
      <c r="D351" s="156"/>
      <c r="E351" s="164" t="s">
        <v>279</v>
      </c>
      <c r="F351" s="158">
        <f t="shared" ref="F351:H355" si="220">+F352</f>
        <v>0</v>
      </c>
      <c r="G351" s="159">
        <f t="shared" si="220"/>
        <v>0</v>
      </c>
      <c r="H351" s="159">
        <f>+H352</f>
        <v>0</v>
      </c>
      <c r="I351" s="159">
        <f>+G351+H351</f>
        <v>0</v>
      </c>
      <c r="J351" s="159">
        <f>+J352</f>
        <v>0</v>
      </c>
      <c r="K351" s="159">
        <f>+K352</f>
        <v>0</v>
      </c>
      <c r="L351" s="159">
        <f t="shared" si="217"/>
        <v>0</v>
      </c>
      <c r="M351" s="159">
        <f>+I351+L351</f>
        <v>0</v>
      </c>
      <c r="N351" s="158">
        <f>+F351-M351</f>
        <v>0</v>
      </c>
      <c r="P351" s="190"/>
      <c r="R351" s="122"/>
      <c r="S351" s="283"/>
      <c r="T351" s="283"/>
      <c r="U351" s="246"/>
    </row>
    <row r="352" spans="1:21" s="107" customFormat="1" ht="18" hidden="1" customHeight="1" x14ac:dyDescent="0.25">
      <c r="A352" s="101"/>
      <c r="B352" s="102"/>
      <c r="C352" s="102"/>
      <c r="D352" s="103" t="s">
        <v>207</v>
      </c>
      <c r="E352" s="104" t="s">
        <v>262</v>
      </c>
      <c r="F352" s="105">
        <f t="shared" si="220"/>
        <v>0</v>
      </c>
      <c r="G352" s="106">
        <f t="shared" si="220"/>
        <v>0</v>
      </c>
      <c r="H352" s="106">
        <f t="shared" si="220"/>
        <v>0</v>
      </c>
      <c r="I352" s="106">
        <f t="shared" ref="I352:I368" si="221">+G352+H352</f>
        <v>0</v>
      </c>
      <c r="J352" s="106">
        <f>+J353</f>
        <v>0</v>
      </c>
      <c r="K352" s="106">
        <f>+K353</f>
        <v>0</v>
      </c>
      <c r="L352" s="106">
        <f t="shared" si="217"/>
        <v>0</v>
      </c>
      <c r="M352" s="106">
        <f t="shared" si="218"/>
        <v>0</v>
      </c>
      <c r="N352" s="105">
        <f t="shared" si="219"/>
        <v>0</v>
      </c>
      <c r="P352" s="191"/>
      <c r="R352" s="108"/>
      <c r="S352" s="284"/>
      <c r="T352" s="284"/>
      <c r="U352" s="241"/>
    </row>
    <row r="353" spans="1:21" s="67" customFormat="1" ht="18" hidden="1" customHeight="1" x14ac:dyDescent="0.25">
      <c r="A353" s="88"/>
      <c r="B353" s="45"/>
      <c r="C353" s="45"/>
      <c r="D353" s="45" t="s">
        <v>281</v>
      </c>
      <c r="E353" s="45" t="s">
        <v>282</v>
      </c>
      <c r="F353" s="47">
        <f t="shared" si="220"/>
        <v>0</v>
      </c>
      <c r="G353" s="48">
        <f t="shared" si="220"/>
        <v>0</v>
      </c>
      <c r="H353" s="48">
        <f t="shared" si="220"/>
        <v>0</v>
      </c>
      <c r="I353" s="48">
        <f>+G353+H353</f>
        <v>0</v>
      </c>
      <c r="J353" s="48">
        <f>+J354+J363</f>
        <v>0</v>
      </c>
      <c r="K353" s="48">
        <f>+K354+K363</f>
        <v>0</v>
      </c>
      <c r="L353" s="48">
        <f t="shared" si="217"/>
        <v>0</v>
      </c>
      <c r="M353" s="48">
        <f>+I353+L353</f>
        <v>0</v>
      </c>
      <c r="N353" s="95">
        <f t="shared" si="219"/>
        <v>0</v>
      </c>
      <c r="P353" s="192"/>
      <c r="S353" s="282"/>
      <c r="T353" s="282"/>
      <c r="U353" s="249"/>
    </row>
    <row r="354" spans="1:21" s="55" customFormat="1" ht="18" hidden="1" customHeight="1" x14ac:dyDescent="0.25">
      <c r="A354" s="50"/>
      <c r="B354" s="51"/>
      <c r="C354" s="51"/>
      <c r="D354" s="51" t="s">
        <v>283</v>
      </c>
      <c r="E354" s="52" t="s">
        <v>284</v>
      </c>
      <c r="F354" s="53">
        <f t="shared" si="220"/>
        <v>0</v>
      </c>
      <c r="G354" s="54">
        <f t="shared" si="220"/>
        <v>0</v>
      </c>
      <c r="H354" s="54">
        <f t="shared" si="220"/>
        <v>0</v>
      </c>
      <c r="I354" s="54">
        <f t="shared" si="221"/>
        <v>0</v>
      </c>
      <c r="J354" s="54">
        <f>+J355</f>
        <v>0</v>
      </c>
      <c r="K354" s="54">
        <f>+K355</f>
        <v>0</v>
      </c>
      <c r="L354" s="54">
        <f t="shared" si="217"/>
        <v>0</v>
      </c>
      <c r="M354" s="54">
        <f t="shared" si="218"/>
        <v>0</v>
      </c>
      <c r="N354" s="53">
        <f t="shared" si="219"/>
        <v>0</v>
      </c>
      <c r="P354" s="195"/>
      <c r="S354" s="282"/>
      <c r="T354" s="282"/>
      <c r="U354" s="243"/>
    </row>
    <row r="355" spans="1:21" s="49" customFormat="1" ht="31.5" hidden="1" customHeight="1" x14ac:dyDescent="0.25">
      <c r="A355" s="56"/>
      <c r="B355" s="57"/>
      <c r="C355" s="57"/>
      <c r="D355" s="57" t="s">
        <v>412</v>
      </c>
      <c r="E355" s="96" t="s">
        <v>413</v>
      </c>
      <c r="F355" s="58">
        <f t="shared" si="220"/>
        <v>0</v>
      </c>
      <c r="G355" s="59">
        <f t="shared" si="220"/>
        <v>0</v>
      </c>
      <c r="H355" s="59">
        <f t="shared" si="220"/>
        <v>0</v>
      </c>
      <c r="I355" s="59">
        <f t="shared" si="221"/>
        <v>0</v>
      </c>
      <c r="J355" s="59">
        <f>+J356</f>
        <v>0</v>
      </c>
      <c r="K355" s="59">
        <f>+K356</f>
        <v>0</v>
      </c>
      <c r="L355" s="59">
        <f t="shared" si="217"/>
        <v>0</v>
      </c>
      <c r="M355" s="59">
        <f t="shared" si="218"/>
        <v>0</v>
      </c>
      <c r="N355" s="58">
        <f t="shared" si="219"/>
        <v>0</v>
      </c>
      <c r="P355" s="192"/>
      <c r="S355" s="282"/>
      <c r="T355" s="282"/>
      <c r="U355" s="242"/>
    </row>
    <row r="356" spans="1:21" s="153" customFormat="1" ht="33.75" hidden="1" customHeight="1" x14ac:dyDescent="0.25">
      <c r="A356" s="123"/>
      <c r="B356" s="124"/>
      <c r="C356" s="124"/>
      <c r="D356" s="124" t="s">
        <v>414</v>
      </c>
      <c r="E356" s="139" t="s">
        <v>413</v>
      </c>
      <c r="F356" s="125"/>
      <c r="G356" s="126"/>
      <c r="H356" s="126"/>
      <c r="I356" s="126">
        <f t="shared" si="221"/>
        <v>0</v>
      </c>
      <c r="J356" s="140"/>
      <c r="K356" s="126"/>
      <c r="L356" s="126">
        <f t="shared" si="217"/>
        <v>0</v>
      </c>
      <c r="M356" s="126">
        <f t="shared" si="218"/>
        <v>0</v>
      </c>
      <c r="N356" s="125">
        <f>+F356-M356</f>
        <v>0</v>
      </c>
      <c r="P356" s="200"/>
      <c r="S356" s="286"/>
      <c r="T356" s="286"/>
      <c r="U356" s="254"/>
    </row>
    <row r="357" spans="1:21" s="121" customFormat="1" ht="18" customHeight="1" x14ac:dyDescent="0.25">
      <c r="A357" s="116">
        <v>21</v>
      </c>
      <c r="B357" s="117"/>
      <c r="C357" s="117" t="s">
        <v>285</v>
      </c>
      <c r="D357" s="118"/>
      <c r="E357" s="128" t="s">
        <v>286</v>
      </c>
      <c r="F357" s="119">
        <f>+F358</f>
        <v>325031788200</v>
      </c>
      <c r="G357" s="120">
        <f t="shared" ref="G357:H358" si="222">+G358</f>
        <v>37562351000</v>
      </c>
      <c r="H357" s="120">
        <f>+H358</f>
        <v>6206617000</v>
      </c>
      <c r="I357" s="120">
        <f t="shared" si="221"/>
        <v>43768968000</v>
      </c>
      <c r="J357" s="120">
        <f t="shared" ref="J357:K358" si="223">+J358</f>
        <v>0</v>
      </c>
      <c r="K357" s="120">
        <f t="shared" si="223"/>
        <v>0</v>
      </c>
      <c r="L357" s="120">
        <f t="shared" si="217"/>
        <v>0</v>
      </c>
      <c r="M357" s="120">
        <f>+I357+L357</f>
        <v>43768968000</v>
      </c>
      <c r="N357" s="119">
        <f>+F357-M357</f>
        <v>281262820200</v>
      </c>
      <c r="P357" s="190"/>
      <c r="R357" s="122"/>
      <c r="S357" s="283"/>
      <c r="T357" s="283"/>
      <c r="U357" s="246"/>
    </row>
    <row r="358" spans="1:21" s="107" customFormat="1" ht="18" customHeight="1" x14ac:dyDescent="0.25">
      <c r="A358" s="101"/>
      <c r="B358" s="102"/>
      <c r="C358" s="102"/>
      <c r="D358" s="103" t="s">
        <v>287</v>
      </c>
      <c r="E358" s="104" t="s">
        <v>288</v>
      </c>
      <c r="F358" s="105">
        <f>+F359</f>
        <v>325031788200</v>
      </c>
      <c r="G358" s="106">
        <f t="shared" si="222"/>
        <v>37562351000</v>
      </c>
      <c r="H358" s="106">
        <f t="shared" si="222"/>
        <v>6206617000</v>
      </c>
      <c r="I358" s="106">
        <f t="shared" si="221"/>
        <v>43768968000</v>
      </c>
      <c r="J358" s="106">
        <f t="shared" si="223"/>
        <v>0</v>
      </c>
      <c r="K358" s="106">
        <f t="shared" si="223"/>
        <v>0</v>
      </c>
      <c r="L358" s="106">
        <f t="shared" si="217"/>
        <v>0</v>
      </c>
      <c r="M358" s="106">
        <f t="shared" ref="M358" si="224">+I358+L358</f>
        <v>43768968000</v>
      </c>
      <c r="N358" s="105">
        <f t="shared" ref="N358:N366" si="225">+F358-M358</f>
        <v>281262820200</v>
      </c>
      <c r="P358" s="191"/>
      <c r="R358" s="108"/>
      <c r="S358" s="284"/>
      <c r="T358" s="284"/>
      <c r="U358" s="241"/>
    </row>
    <row r="359" spans="1:21" s="67" customFormat="1" ht="18" customHeight="1" x14ac:dyDescent="0.25">
      <c r="A359" s="88"/>
      <c r="B359" s="45"/>
      <c r="C359" s="45"/>
      <c r="D359" s="45" t="s">
        <v>289</v>
      </c>
      <c r="E359" s="45" t="s">
        <v>290</v>
      </c>
      <c r="F359" s="47">
        <f>+F363+F360</f>
        <v>325031788200</v>
      </c>
      <c r="G359" s="48">
        <f>+G363+G360</f>
        <v>37562351000</v>
      </c>
      <c r="H359" s="48">
        <f>+H363+H360</f>
        <v>6206617000</v>
      </c>
      <c r="I359" s="48">
        <f t="shared" si="221"/>
        <v>43768968000</v>
      </c>
      <c r="J359" s="48">
        <f>+J363+J360</f>
        <v>0</v>
      </c>
      <c r="K359" s="48">
        <f>+K363+K360</f>
        <v>0</v>
      </c>
      <c r="L359" s="48">
        <f>+J359+K359</f>
        <v>0</v>
      </c>
      <c r="M359" s="48">
        <f>+I359+L359</f>
        <v>43768968000</v>
      </c>
      <c r="N359" s="95">
        <f t="shared" si="225"/>
        <v>281262820200</v>
      </c>
      <c r="P359" s="192"/>
      <c r="S359" s="282"/>
      <c r="T359" s="282"/>
      <c r="U359" s="249"/>
    </row>
    <row r="360" spans="1:21" s="55" customFormat="1" ht="18" customHeight="1" x14ac:dyDescent="0.25">
      <c r="A360" s="176"/>
      <c r="B360" s="177"/>
      <c r="C360" s="177"/>
      <c r="D360" s="177" t="s">
        <v>291</v>
      </c>
      <c r="E360" s="178" t="s">
        <v>292</v>
      </c>
      <c r="F360" s="179">
        <f t="shared" ref="F360:H361" si="226">+F361</f>
        <v>540000000</v>
      </c>
      <c r="G360" s="180">
        <f t="shared" si="226"/>
        <v>0</v>
      </c>
      <c r="H360" s="180">
        <f t="shared" si="226"/>
        <v>0</v>
      </c>
      <c r="I360" s="180">
        <f t="shared" si="221"/>
        <v>0</v>
      </c>
      <c r="J360" s="180">
        <f>+J361</f>
        <v>0</v>
      </c>
      <c r="K360" s="180">
        <f>+K361</f>
        <v>0</v>
      </c>
      <c r="L360" s="180">
        <f>+J360+K360</f>
        <v>0</v>
      </c>
      <c r="M360" s="180">
        <f>+I360+L360</f>
        <v>0</v>
      </c>
      <c r="N360" s="179">
        <f t="shared" si="225"/>
        <v>540000000</v>
      </c>
      <c r="P360" s="195"/>
      <c r="S360" s="282"/>
      <c r="T360" s="282"/>
      <c r="U360" s="243"/>
    </row>
    <row r="361" spans="1:21" s="49" customFormat="1" ht="32.25" customHeight="1" x14ac:dyDescent="0.25">
      <c r="A361" s="181"/>
      <c r="B361" s="182"/>
      <c r="C361" s="182"/>
      <c r="D361" s="182" t="s">
        <v>293</v>
      </c>
      <c r="E361" s="183" t="s">
        <v>295</v>
      </c>
      <c r="F361" s="184">
        <f t="shared" si="226"/>
        <v>540000000</v>
      </c>
      <c r="G361" s="185">
        <f t="shared" si="226"/>
        <v>0</v>
      </c>
      <c r="H361" s="185">
        <f t="shared" si="226"/>
        <v>0</v>
      </c>
      <c r="I361" s="185">
        <f t="shared" si="221"/>
        <v>0</v>
      </c>
      <c r="J361" s="185">
        <f>+J362</f>
        <v>0</v>
      </c>
      <c r="K361" s="185">
        <f>+K362</f>
        <v>0</v>
      </c>
      <c r="L361" s="185">
        <f>+J361+K361</f>
        <v>0</v>
      </c>
      <c r="M361" s="185">
        <f>+I361+L361</f>
        <v>0</v>
      </c>
      <c r="N361" s="184">
        <f t="shared" si="225"/>
        <v>540000000</v>
      </c>
      <c r="P361" s="192"/>
      <c r="S361" s="282"/>
      <c r="T361" s="282"/>
      <c r="U361" s="242"/>
    </row>
    <row r="362" spans="1:21" s="65" customFormat="1" ht="21.75" customHeight="1" x14ac:dyDescent="0.25">
      <c r="A362" s="171"/>
      <c r="B362" s="162"/>
      <c r="C362" s="162"/>
      <c r="D362" s="162" t="s">
        <v>294</v>
      </c>
      <c r="E362" s="172" t="s">
        <v>295</v>
      </c>
      <c r="F362" s="173">
        <v>540000000</v>
      </c>
      <c r="G362" s="186"/>
      <c r="H362" s="186"/>
      <c r="I362" s="186">
        <f t="shared" si="221"/>
        <v>0</v>
      </c>
      <c r="J362" s="163"/>
      <c r="K362" s="186"/>
      <c r="L362" s="186">
        <f>+J362+K362</f>
        <v>0</v>
      </c>
      <c r="M362" s="186">
        <f>+I362+L362</f>
        <v>0</v>
      </c>
      <c r="N362" s="187">
        <f t="shared" si="225"/>
        <v>540000000</v>
      </c>
      <c r="P362" s="194"/>
      <c r="S362" s="282"/>
      <c r="T362" s="282"/>
      <c r="U362" s="244"/>
    </row>
    <row r="363" spans="1:21" s="55" customFormat="1" ht="18" customHeight="1" x14ac:dyDescent="0.25">
      <c r="A363" s="50"/>
      <c r="B363" s="51"/>
      <c r="C363" s="51"/>
      <c r="D363" s="51" t="s">
        <v>296</v>
      </c>
      <c r="E363" s="52" t="s">
        <v>298</v>
      </c>
      <c r="F363" s="53">
        <f>+F364+F366</f>
        <v>324491788200</v>
      </c>
      <c r="G363" s="54">
        <f>+G364+G366</f>
        <v>37562351000</v>
      </c>
      <c r="H363" s="54">
        <f>+H364+H366</f>
        <v>6206617000</v>
      </c>
      <c r="I363" s="54">
        <f t="shared" si="221"/>
        <v>43768968000</v>
      </c>
      <c r="J363" s="54">
        <f>+J364+J366</f>
        <v>0</v>
      </c>
      <c r="K363" s="54">
        <f>+K364+K366</f>
        <v>0</v>
      </c>
      <c r="L363" s="54">
        <f t="shared" si="217"/>
        <v>0</v>
      </c>
      <c r="M363" s="54">
        <f t="shared" si="218"/>
        <v>43768968000</v>
      </c>
      <c r="N363" s="53">
        <f t="shared" si="225"/>
        <v>280722820200</v>
      </c>
      <c r="P363" s="195"/>
      <c r="S363" s="282"/>
      <c r="T363" s="282"/>
      <c r="U363" s="243"/>
    </row>
    <row r="364" spans="1:21" s="49" customFormat="1" ht="32.25" customHeight="1" x14ac:dyDescent="0.25">
      <c r="A364" s="56"/>
      <c r="B364" s="57"/>
      <c r="C364" s="57"/>
      <c r="D364" s="57" t="s">
        <v>297</v>
      </c>
      <c r="E364" s="96" t="s">
        <v>300</v>
      </c>
      <c r="F364" s="58">
        <f>F365</f>
        <v>268985638200</v>
      </c>
      <c r="G364" s="59">
        <f>+G365</f>
        <v>37562351000</v>
      </c>
      <c r="H364" s="59">
        <f>+H365</f>
        <v>6206617000</v>
      </c>
      <c r="I364" s="60">
        <f t="shared" si="221"/>
        <v>43768968000</v>
      </c>
      <c r="J364" s="59">
        <f>+J365</f>
        <v>0</v>
      </c>
      <c r="K364" s="59">
        <f>+K365</f>
        <v>0</v>
      </c>
      <c r="L364" s="60">
        <f t="shared" si="217"/>
        <v>0</v>
      </c>
      <c r="M364" s="59">
        <f t="shared" si="218"/>
        <v>43768968000</v>
      </c>
      <c r="N364" s="58">
        <f t="shared" si="225"/>
        <v>225216670200</v>
      </c>
      <c r="P364" s="192"/>
      <c r="S364" s="282"/>
      <c r="T364" s="282"/>
      <c r="U364" s="242"/>
    </row>
    <row r="365" spans="1:21" s="65" customFormat="1" ht="20.25" customHeight="1" x14ac:dyDescent="0.25">
      <c r="A365" s="171"/>
      <c r="B365" s="162"/>
      <c r="C365" s="162"/>
      <c r="D365" s="162" t="s">
        <v>299</v>
      </c>
      <c r="E365" s="172" t="s">
        <v>300</v>
      </c>
      <c r="F365" s="173">
        <v>268985638200</v>
      </c>
      <c r="G365" s="186">
        <v>37562351000</v>
      </c>
      <c r="H365" s="186">
        <v>6206617000</v>
      </c>
      <c r="I365" s="186">
        <f t="shared" si="221"/>
        <v>43768968000</v>
      </c>
      <c r="J365" s="163"/>
      <c r="K365" s="186"/>
      <c r="L365" s="186">
        <f>J365+K365</f>
        <v>0</v>
      </c>
      <c r="M365" s="186">
        <f>+I365+L365</f>
        <v>43768968000</v>
      </c>
      <c r="N365" s="187">
        <f t="shared" si="225"/>
        <v>225216670200</v>
      </c>
      <c r="P365" s="194"/>
      <c r="S365" s="280"/>
      <c r="T365" s="445">
        <v>6206617000</v>
      </c>
      <c r="U365" s="244"/>
    </row>
    <row r="366" spans="1:21" s="49" customFormat="1" ht="32.25" customHeight="1" x14ac:dyDescent="0.25">
      <c r="A366" s="56"/>
      <c r="B366" s="57"/>
      <c r="C366" s="57"/>
      <c r="D366" s="57" t="s">
        <v>301</v>
      </c>
      <c r="E366" s="96" t="s">
        <v>303</v>
      </c>
      <c r="F366" s="58">
        <f>F367+F368</f>
        <v>55506150000</v>
      </c>
      <c r="G366" s="59">
        <f>+G367</f>
        <v>0</v>
      </c>
      <c r="H366" s="60">
        <f>+H367</f>
        <v>0</v>
      </c>
      <c r="I366" s="60">
        <f>+G366+H366</f>
        <v>0</v>
      </c>
      <c r="J366" s="59">
        <f>+J367</f>
        <v>0</v>
      </c>
      <c r="K366" s="59">
        <f>+K367</f>
        <v>0</v>
      </c>
      <c r="L366" s="59">
        <f>+J366+K366</f>
        <v>0</v>
      </c>
      <c r="M366" s="59">
        <f t="shared" ref="M366" si="227">+I366+L366</f>
        <v>0</v>
      </c>
      <c r="N366" s="58">
        <f t="shared" si="225"/>
        <v>55506150000</v>
      </c>
      <c r="P366" s="192"/>
      <c r="S366" s="280"/>
      <c r="T366" s="280"/>
      <c r="U366" s="242"/>
    </row>
    <row r="367" spans="1:21" s="127" customFormat="1" ht="21.75" customHeight="1" x14ac:dyDescent="0.25">
      <c r="A367" s="165"/>
      <c r="B367" s="166"/>
      <c r="C367" s="166"/>
      <c r="D367" s="166" t="s">
        <v>480</v>
      </c>
      <c r="E367" s="167" t="s">
        <v>481</v>
      </c>
      <c r="F367" s="168">
        <v>70000000</v>
      </c>
      <c r="G367" s="476"/>
      <c r="H367" s="476"/>
      <c r="I367" s="476">
        <f t="shared" si="221"/>
        <v>0</v>
      </c>
      <c r="J367" s="169"/>
      <c r="K367" s="476"/>
      <c r="L367" s="476">
        <f>J367+K367</f>
        <v>0</v>
      </c>
      <c r="M367" s="476">
        <f>+I367+L367</f>
        <v>0</v>
      </c>
      <c r="N367" s="187">
        <f>+F367-M367</f>
        <v>70000000</v>
      </c>
      <c r="P367" s="196"/>
      <c r="S367" s="288"/>
      <c r="T367" s="288"/>
      <c r="U367" s="245"/>
    </row>
    <row r="368" spans="1:21" s="127" customFormat="1" ht="21.75" customHeight="1" x14ac:dyDescent="0.25">
      <c r="A368" s="165"/>
      <c r="B368" s="166"/>
      <c r="C368" s="166"/>
      <c r="D368" s="166" t="s">
        <v>482</v>
      </c>
      <c r="E368" s="167" t="s">
        <v>483</v>
      </c>
      <c r="F368" s="168">
        <v>55436150000</v>
      </c>
      <c r="G368" s="476"/>
      <c r="H368" s="476"/>
      <c r="I368" s="476">
        <f t="shared" si="221"/>
        <v>0</v>
      </c>
      <c r="J368" s="169"/>
      <c r="K368" s="476"/>
      <c r="L368" s="476">
        <f>J368+K368</f>
        <v>0</v>
      </c>
      <c r="M368" s="476">
        <f>+I368+L368</f>
        <v>0</v>
      </c>
      <c r="N368" s="187">
        <f>+F368-M368</f>
        <v>55436150000</v>
      </c>
      <c r="P368" s="196"/>
      <c r="S368" s="288"/>
      <c r="T368" s="288"/>
      <c r="U368" s="245"/>
    </row>
    <row r="369" spans="1:21" s="121" customFormat="1" ht="18" customHeight="1" x14ac:dyDescent="0.25">
      <c r="A369" s="116">
        <v>22</v>
      </c>
      <c r="B369" s="117"/>
      <c r="C369" s="117" t="s">
        <v>304</v>
      </c>
      <c r="D369" s="118"/>
      <c r="E369" s="128" t="s">
        <v>305</v>
      </c>
      <c r="F369" s="119">
        <f t="shared" ref="F369:H372" si="228">+F370</f>
        <v>8000000000</v>
      </c>
      <c r="G369" s="120">
        <f t="shared" si="228"/>
        <v>0</v>
      </c>
      <c r="H369" s="120">
        <f t="shared" si="228"/>
        <v>0</v>
      </c>
      <c r="I369" s="120">
        <f>+G369+H369</f>
        <v>0</v>
      </c>
      <c r="J369" s="120">
        <f t="shared" ref="J369:K373" si="229">+J370</f>
        <v>0</v>
      </c>
      <c r="K369" s="120">
        <f t="shared" si="229"/>
        <v>0</v>
      </c>
      <c r="L369" s="120">
        <f>+J369+K369</f>
        <v>0</v>
      </c>
      <c r="M369" s="120">
        <f>+I369+L369</f>
        <v>0</v>
      </c>
      <c r="N369" s="119">
        <f>+F369-M369</f>
        <v>8000000000</v>
      </c>
      <c r="P369" s="190"/>
      <c r="R369" s="122"/>
      <c r="S369" s="289"/>
      <c r="T369" s="289"/>
      <c r="U369" s="246"/>
    </row>
    <row r="370" spans="1:21" s="107" customFormat="1" ht="18" customHeight="1" x14ac:dyDescent="0.25">
      <c r="A370" s="101"/>
      <c r="B370" s="102"/>
      <c r="C370" s="102"/>
      <c r="D370" s="103" t="s">
        <v>306</v>
      </c>
      <c r="E370" s="104" t="s">
        <v>307</v>
      </c>
      <c r="F370" s="105">
        <f t="shared" si="228"/>
        <v>8000000000</v>
      </c>
      <c r="G370" s="106">
        <f t="shared" si="228"/>
        <v>0</v>
      </c>
      <c r="H370" s="106">
        <f t="shared" si="228"/>
        <v>0</v>
      </c>
      <c r="I370" s="106">
        <f>+G370+H370</f>
        <v>0</v>
      </c>
      <c r="J370" s="106">
        <f t="shared" si="229"/>
        <v>0</v>
      </c>
      <c r="K370" s="106">
        <f t="shared" si="229"/>
        <v>0</v>
      </c>
      <c r="L370" s="106">
        <f>+J370+K370</f>
        <v>0</v>
      </c>
      <c r="M370" s="106">
        <f t="shared" ref="M370:M373" si="230">+I370+L370</f>
        <v>0</v>
      </c>
      <c r="N370" s="105">
        <f t="shared" ref="N370:N373" si="231">+F370-M370</f>
        <v>8000000000</v>
      </c>
      <c r="P370" s="191"/>
      <c r="R370" s="108"/>
      <c r="S370" s="278"/>
      <c r="T370" s="278"/>
      <c r="U370" s="241"/>
    </row>
    <row r="371" spans="1:21" s="67" customFormat="1" ht="18" customHeight="1" x14ac:dyDescent="0.25">
      <c r="A371" s="88"/>
      <c r="B371" s="45"/>
      <c r="C371" s="45"/>
      <c r="D371" s="45" t="s">
        <v>308</v>
      </c>
      <c r="E371" s="45" t="s">
        <v>307</v>
      </c>
      <c r="F371" s="47">
        <f t="shared" si="228"/>
        <v>8000000000</v>
      </c>
      <c r="G371" s="48">
        <f t="shared" si="228"/>
        <v>0</v>
      </c>
      <c r="H371" s="48">
        <f t="shared" si="228"/>
        <v>0</v>
      </c>
      <c r="I371" s="48">
        <f>+G371+H371</f>
        <v>0</v>
      </c>
      <c r="J371" s="48">
        <f t="shared" si="229"/>
        <v>0</v>
      </c>
      <c r="K371" s="48">
        <f t="shared" si="229"/>
        <v>0</v>
      </c>
      <c r="L371" s="48">
        <f>+J371+K371</f>
        <v>0</v>
      </c>
      <c r="M371" s="48">
        <f t="shared" si="230"/>
        <v>0</v>
      </c>
      <c r="N371" s="95">
        <f t="shared" si="231"/>
        <v>8000000000</v>
      </c>
      <c r="P371" s="192"/>
      <c r="S371" s="290"/>
      <c r="T371" s="290"/>
      <c r="U371" s="249"/>
    </row>
    <row r="372" spans="1:21" s="55" customFormat="1" ht="18" customHeight="1" x14ac:dyDescent="0.25">
      <c r="A372" s="50"/>
      <c r="B372" s="51"/>
      <c r="C372" s="51"/>
      <c r="D372" s="51" t="s">
        <v>309</v>
      </c>
      <c r="E372" s="52" t="s">
        <v>307</v>
      </c>
      <c r="F372" s="53">
        <f t="shared" si="228"/>
        <v>8000000000</v>
      </c>
      <c r="G372" s="54">
        <f t="shared" si="228"/>
        <v>0</v>
      </c>
      <c r="H372" s="54">
        <f t="shared" si="228"/>
        <v>0</v>
      </c>
      <c r="I372" s="54">
        <f>+G372+H372</f>
        <v>0</v>
      </c>
      <c r="J372" s="54">
        <f t="shared" si="229"/>
        <v>0</v>
      </c>
      <c r="K372" s="54">
        <f t="shared" si="229"/>
        <v>0</v>
      </c>
      <c r="L372" s="54">
        <f>+J372+K372</f>
        <v>0</v>
      </c>
      <c r="M372" s="54">
        <f t="shared" si="230"/>
        <v>0</v>
      </c>
      <c r="N372" s="53">
        <f t="shared" si="231"/>
        <v>8000000000</v>
      </c>
      <c r="P372" s="195"/>
      <c r="S372" s="279"/>
      <c r="T372" s="279"/>
      <c r="U372" s="243"/>
    </row>
    <row r="373" spans="1:21" s="49" customFormat="1" ht="17.25" customHeight="1" x14ac:dyDescent="0.25">
      <c r="A373" s="56"/>
      <c r="B373" s="57"/>
      <c r="C373" s="57"/>
      <c r="D373" s="57" t="s">
        <v>310</v>
      </c>
      <c r="E373" s="96" t="s">
        <v>307</v>
      </c>
      <c r="F373" s="58">
        <f>F374</f>
        <v>8000000000</v>
      </c>
      <c r="G373" s="59">
        <f>+G374</f>
        <v>0</v>
      </c>
      <c r="H373" s="59">
        <f>+H374</f>
        <v>0</v>
      </c>
      <c r="I373" s="60">
        <f>+G373+H373</f>
        <v>0</v>
      </c>
      <c r="J373" s="59">
        <f t="shared" si="229"/>
        <v>0</v>
      </c>
      <c r="K373" s="59">
        <f t="shared" si="229"/>
        <v>0</v>
      </c>
      <c r="L373" s="60">
        <f>+J373+K373</f>
        <v>0</v>
      </c>
      <c r="M373" s="59">
        <f t="shared" si="230"/>
        <v>0</v>
      </c>
      <c r="N373" s="58">
        <f t="shared" si="231"/>
        <v>8000000000</v>
      </c>
      <c r="P373" s="192"/>
      <c r="S373" s="280"/>
      <c r="T373" s="280"/>
      <c r="U373" s="242"/>
    </row>
    <row r="374" spans="1:21" s="127" customFormat="1" ht="20.25" customHeight="1" x14ac:dyDescent="0.25">
      <c r="A374" s="123"/>
      <c r="B374" s="124"/>
      <c r="C374" s="124"/>
      <c r="D374" s="124" t="s">
        <v>311</v>
      </c>
      <c r="E374" s="139" t="s">
        <v>307</v>
      </c>
      <c r="F374" s="125">
        <v>8000000000</v>
      </c>
      <c r="G374" s="126"/>
      <c r="H374" s="126"/>
      <c r="I374" s="126">
        <f t="shared" ref="I374:I383" si="232">+G374+H374</f>
        <v>0</v>
      </c>
      <c r="J374" s="140"/>
      <c r="K374" s="126"/>
      <c r="L374" s="126">
        <f>J374+K374</f>
        <v>0</v>
      </c>
      <c r="M374" s="126">
        <f>+I374+L374</f>
        <v>0</v>
      </c>
      <c r="N374" s="97">
        <f>+F374-M374</f>
        <v>8000000000</v>
      </c>
      <c r="P374" s="196"/>
      <c r="S374" s="288"/>
      <c r="T374" s="288"/>
      <c r="U374" s="245"/>
    </row>
    <row r="375" spans="1:21" s="121" customFormat="1" ht="18" customHeight="1" x14ac:dyDescent="0.25">
      <c r="A375" s="116">
        <v>23</v>
      </c>
      <c r="B375" s="117"/>
      <c r="C375" s="117" t="s">
        <v>320</v>
      </c>
      <c r="D375" s="118"/>
      <c r="E375" s="128" t="s">
        <v>312</v>
      </c>
      <c r="F375" s="119">
        <f t="shared" ref="F375:H376" si="233">+F376</f>
        <v>19577417200</v>
      </c>
      <c r="G375" s="120">
        <f t="shared" si="233"/>
        <v>0</v>
      </c>
      <c r="H375" s="120">
        <f t="shared" si="233"/>
        <v>0</v>
      </c>
      <c r="I375" s="120">
        <f t="shared" si="232"/>
        <v>0</v>
      </c>
      <c r="J375" s="120">
        <f>+J376</f>
        <v>0</v>
      </c>
      <c r="K375" s="120">
        <f>+K376</f>
        <v>0</v>
      </c>
      <c r="L375" s="120">
        <f>+J375+K375</f>
        <v>0</v>
      </c>
      <c r="M375" s="120">
        <f>+I375+L375</f>
        <v>0</v>
      </c>
      <c r="N375" s="119">
        <f>+F375-M375</f>
        <v>19577417200</v>
      </c>
      <c r="P375" s="190"/>
      <c r="R375" s="122"/>
      <c r="S375" s="289"/>
      <c r="T375" s="289"/>
      <c r="U375" s="246"/>
    </row>
    <row r="376" spans="1:21" s="107" customFormat="1" ht="18" customHeight="1" x14ac:dyDescent="0.25">
      <c r="A376" s="101"/>
      <c r="B376" s="102"/>
      <c r="C376" s="102"/>
      <c r="D376" s="103" t="s">
        <v>287</v>
      </c>
      <c r="E376" s="104" t="s">
        <v>288</v>
      </c>
      <c r="F376" s="105">
        <f t="shared" si="233"/>
        <v>19577417200</v>
      </c>
      <c r="G376" s="106">
        <f t="shared" si="233"/>
        <v>0</v>
      </c>
      <c r="H376" s="106">
        <f t="shared" si="233"/>
        <v>0</v>
      </c>
      <c r="I376" s="106">
        <f t="shared" si="232"/>
        <v>0</v>
      </c>
      <c r="J376" s="106">
        <f>+J377</f>
        <v>0</v>
      </c>
      <c r="K376" s="106">
        <f>+K377</f>
        <v>0</v>
      </c>
      <c r="L376" s="106">
        <f>+J376+K376</f>
        <v>0</v>
      </c>
      <c r="M376" s="106">
        <f t="shared" ref="M376:M379" si="234">+I376+L376</f>
        <v>0</v>
      </c>
      <c r="N376" s="105">
        <f t="shared" ref="N376:N379" si="235">+F376-M376</f>
        <v>19577417200</v>
      </c>
      <c r="P376" s="191"/>
      <c r="R376" s="108"/>
      <c r="S376" s="278"/>
      <c r="T376" s="278"/>
      <c r="U376" s="241"/>
    </row>
    <row r="377" spans="1:21" s="67" customFormat="1" ht="18" customHeight="1" x14ac:dyDescent="0.25">
      <c r="A377" s="88"/>
      <c r="B377" s="45"/>
      <c r="C377" s="45"/>
      <c r="D377" s="45" t="s">
        <v>313</v>
      </c>
      <c r="E377" s="45" t="s">
        <v>415</v>
      </c>
      <c r="F377" s="47">
        <f>+F378+F381</f>
        <v>19577417200</v>
      </c>
      <c r="G377" s="48">
        <f>+G378+G381</f>
        <v>0</v>
      </c>
      <c r="H377" s="48">
        <f>+H378+H381</f>
        <v>0</v>
      </c>
      <c r="I377" s="48">
        <f t="shared" si="232"/>
        <v>0</v>
      </c>
      <c r="J377" s="48">
        <f>+J378+J381</f>
        <v>0</v>
      </c>
      <c r="K377" s="48">
        <f>+K378+K381</f>
        <v>0</v>
      </c>
      <c r="L377" s="48">
        <f>+J377+K377</f>
        <v>0</v>
      </c>
      <c r="M377" s="48">
        <f t="shared" si="234"/>
        <v>0</v>
      </c>
      <c r="N377" s="95">
        <f t="shared" si="235"/>
        <v>19577417200</v>
      </c>
      <c r="P377" s="192"/>
      <c r="S377" s="290"/>
      <c r="T377" s="290"/>
      <c r="U377" s="249"/>
    </row>
    <row r="378" spans="1:21" s="55" customFormat="1" ht="31.5" customHeight="1" x14ac:dyDescent="0.25">
      <c r="A378" s="50"/>
      <c r="B378" s="51"/>
      <c r="C378" s="51"/>
      <c r="D378" s="51" t="s">
        <v>314</v>
      </c>
      <c r="E378" s="98" t="s">
        <v>416</v>
      </c>
      <c r="F378" s="53">
        <f>+F379</f>
        <v>18835000000</v>
      </c>
      <c r="G378" s="54">
        <f>+G379</f>
        <v>0</v>
      </c>
      <c r="H378" s="54">
        <f>+H379</f>
        <v>0</v>
      </c>
      <c r="I378" s="54">
        <f t="shared" si="232"/>
        <v>0</v>
      </c>
      <c r="J378" s="54">
        <f>+J379</f>
        <v>0</v>
      </c>
      <c r="K378" s="54">
        <f>+K379</f>
        <v>0</v>
      </c>
      <c r="L378" s="54">
        <f>+J378+K378</f>
        <v>0</v>
      </c>
      <c r="M378" s="54">
        <f t="shared" si="234"/>
        <v>0</v>
      </c>
      <c r="N378" s="53">
        <f t="shared" si="235"/>
        <v>18835000000</v>
      </c>
      <c r="P378" s="195"/>
      <c r="S378" s="279"/>
      <c r="T378" s="279"/>
      <c r="U378" s="243"/>
    </row>
    <row r="379" spans="1:21" s="49" customFormat="1" ht="17.25" customHeight="1" x14ac:dyDescent="0.25">
      <c r="A379" s="56"/>
      <c r="B379" s="57"/>
      <c r="C379" s="57"/>
      <c r="D379" s="57" t="s">
        <v>315</v>
      </c>
      <c r="E379" s="96" t="s">
        <v>417</v>
      </c>
      <c r="F379" s="58">
        <f>F380</f>
        <v>18835000000</v>
      </c>
      <c r="G379" s="59">
        <f>+G380</f>
        <v>0</v>
      </c>
      <c r="H379" s="59">
        <f>+H380</f>
        <v>0</v>
      </c>
      <c r="I379" s="60">
        <f t="shared" si="232"/>
        <v>0</v>
      </c>
      <c r="J379" s="59">
        <f>+J380</f>
        <v>0</v>
      </c>
      <c r="K379" s="59">
        <f>+K380</f>
        <v>0</v>
      </c>
      <c r="L379" s="60">
        <f>+J379+K379</f>
        <v>0</v>
      </c>
      <c r="M379" s="59">
        <f t="shared" si="234"/>
        <v>0</v>
      </c>
      <c r="N379" s="58">
        <f t="shared" si="235"/>
        <v>18835000000</v>
      </c>
      <c r="P379" s="192"/>
      <c r="S379" s="280"/>
      <c r="T379" s="280"/>
      <c r="U379" s="242"/>
    </row>
    <row r="380" spans="1:21" s="65" customFormat="1" ht="20.25" customHeight="1" x14ac:dyDescent="0.25">
      <c r="A380" s="61"/>
      <c r="B380" s="62"/>
      <c r="C380" s="62"/>
      <c r="D380" s="62" t="s">
        <v>316</v>
      </c>
      <c r="E380" s="76" t="s">
        <v>417</v>
      </c>
      <c r="F380" s="63">
        <v>18835000000</v>
      </c>
      <c r="G380" s="64"/>
      <c r="H380" s="64"/>
      <c r="I380" s="64">
        <f t="shared" si="232"/>
        <v>0</v>
      </c>
      <c r="J380" s="75"/>
      <c r="K380" s="64"/>
      <c r="L380" s="64">
        <f>J380+K380</f>
        <v>0</v>
      </c>
      <c r="M380" s="64">
        <f>+I380+L380</f>
        <v>0</v>
      </c>
      <c r="N380" s="97">
        <f>+F380-M380</f>
        <v>18835000000</v>
      </c>
      <c r="P380" s="194"/>
      <c r="S380" s="280"/>
      <c r="T380" s="280"/>
      <c r="U380" s="244"/>
    </row>
    <row r="381" spans="1:21" s="55" customFormat="1" ht="20.25" customHeight="1" x14ac:dyDescent="0.25">
      <c r="A381" s="50"/>
      <c r="B381" s="51"/>
      <c r="C381" s="51"/>
      <c r="D381" s="51" t="s">
        <v>317</v>
      </c>
      <c r="E381" s="98" t="s">
        <v>418</v>
      </c>
      <c r="F381" s="53">
        <f>+F382</f>
        <v>742417200</v>
      </c>
      <c r="G381" s="54">
        <f>+G382</f>
        <v>0</v>
      </c>
      <c r="H381" s="54">
        <f>+H382</f>
        <v>0</v>
      </c>
      <c r="I381" s="54">
        <f t="shared" si="232"/>
        <v>0</v>
      </c>
      <c r="J381" s="54">
        <f>+J382</f>
        <v>0</v>
      </c>
      <c r="K381" s="54">
        <f>+K382</f>
        <v>0</v>
      </c>
      <c r="L381" s="54">
        <f>+J381+K381</f>
        <v>0</v>
      </c>
      <c r="M381" s="54">
        <f t="shared" ref="M381:M382" si="236">+I381+L381</f>
        <v>0</v>
      </c>
      <c r="N381" s="53">
        <f t="shared" ref="N381:N382" si="237">+F381-M381</f>
        <v>742417200</v>
      </c>
      <c r="P381" s="195"/>
      <c r="S381" s="279"/>
      <c r="T381" s="279"/>
      <c r="U381" s="243"/>
    </row>
    <row r="382" spans="1:21" s="49" customFormat="1" ht="17.25" customHeight="1" x14ac:dyDescent="0.25">
      <c r="A382" s="56"/>
      <c r="B382" s="57"/>
      <c r="C382" s="57"/>
      <c r="D382" s="57" t="s">
        <v>318</v>
      </c>
      <c r="E382" s="96" t="s">
        <v>418</v>
      </c>
      <c r="F382" s="58">
        <f>F383</f>
        <v>742417200</v>
      </c>
      <c r="G382" s="59">
        <f>+G383</f>
        <v>0</v>
      </c>
      <c r="H382" s="59">
        <f>+H383</f>
        <v>0</v>
      </c>
      <c r="I382" s="60">
        <f t="shared" si="232"/>
        <v>0</v>
      </c>
      <c r="J382" s="59">
        <f>+J383</f>
        <v>0</v>
      </c>
      <c r="K382" s="59">
        <f>+K383</f>
        <v>0</v>
      </c>
      <c r="L382" s="60">
        <f>+J382+K382</f>
        <v>0</v>
      </c>
      <c r="M382" s="59">
        <f t="shared" si="236"/>
        <v>0</v>
      </c>
      <c r="N382" s="58">
        <f t="shared" si="237"/>
        <v>742417200</v>
      </c>
      <c r="P382" s="192"/>
      <c r="S382" s="280"/>
      <c r="T382" s="280"/>
      <c r="U382" s="242"/>
    </row>
    <row r="383" spans="1:21" s="5" customFormat="1" ht="20.25" customHeight="1" x14ac:dyDescent="0.25">
      <c r="A383" s="10"/>
      <c r="B383" s="11"/>
      <c r="C383" s="11"/>
      <c r="D383" s="11" t="s">
        <v>319</v>
      </c>
      <c r="E383" s="19" t="s">
        <v>418</v>
      </c>
      <c r="F383" s="12">
        <v>742417200</v>
      </c>
      <c r="G383" s="13"/>
      <c r="H383" s="13"/>
      <c r="I383" s="13">
        <f t="shared" si="232"/>
        <v>0</v>
      </c>
      <c r="J383" s="16"/>
      <c r="K383" s="13"/>
      <c r="L383" s="13">
        <f>J383+K383</f>
        <v>0</v>
      </c>
      <c r="M383" s="13">
        <f>+I383+L383</f>
        <v>0</v>
      </c>
      <c r="N383" s="17">
        <f>+F383-M383</f>
        <v>742417200</v>
      </c>
      <c r="P383" s="201"/>
      <c r="S383" s="291"/>
      <c r="T383" s="291"/>
      <c r="U383" s="256"/>
    </row>
    <row r="384" spans="1:21" ht="18" customHeight="1" x14ac:dyDescent="0.25">
      <c r="A384" s="9"/>
      <c r="B384" s="18"/>
      <c r="C384" s="18"/>
      <c r="D384" s="18"/>
      <c r="E384" s="18"/>
      <c r="F384" s="14"/>
      <c r="G384" s="15"/>
      <c r="H384" s="15"/>
      <c r="I384" s="15"/>
      <c r="J384" s="15"/>
      <c r="K384" s="15"/>
      <c r="L384" s="15"/>
      <c r="M384" s="15"/>
      <c r="N384" s="14"/>
      <c r="S384" s="292"/>
      <c r="T384" s="292"/>
      <c r="U384" s="257"/>
    </row>
    <row r="385" spans="1:21" ht="18" customHeight="1" x14ac:dyDescent="0.25">
      <c r="A385" s="8"/>
      <c r="B385" s="20"/>
      <c r="C385" s="20"/>
      <c r="D385" s="20"/>
      <c r="E385" s="20" t="s">
        <v>41</v>
      </c>
      <c r="F385" s="21"/>
      <c r="G385" s="21"/>
      <c r="H385" s="21"/>
      <c r="I385" s="21"/>
      <c r="J385" s="21"/>
      <c r="K385" s="21"/>
      <c r="L385" s="21"/>
      <c r="M385" s="21"/>
      <c r="N385" s="22"/>
      <c r="S385" s="292"/>
      <c r="T385" s="292"/>
      <c r="U385" s="257"/>
    </row>
    <row r="386" spans="1:21" s="32" customFormat="1" ht="18" customHeight="1" x14ac:dyDescent="0.25">
      <c r="A386" s="28"/>
      <c r="B386" s="29"/>
      <c r="C386" s="29"/>
      <c r="D386" s="29"/>
      <c r="E386" s="29" t="s">
        <v>21</v>
      </c>
      <c r="F386" s="30"/>
      <c r="G386" s="30">
        <f>+G17</f>
        <v>48555973852</v>
      </c>
      <c r="H386" s="30">
        <f>+H17</f>
        <v>12206513922</v>
      </c>
      <c r="I386" s="30">
        <f>+I17</f>
        <v>60762487774</v>
      </c>
      <c r="J386" s="30">
        <f>+J17</f>
        <v>776308849</v>
      </c>
      <c r="K386" s="30">
        <f>+K17</f>
        <v>117840763</v>
      </c>
      <c r="L386" s="30">
        <f t="shared" ref="L386:L391" si="238">+J386+K386</f>
        <v>894149612</v>
      </c>
      <c r="M386" s="30">
        <f>+I386+L386</f>
        <v>61656637386</v>
      </c>
      <c r="N386" s="31"/>
      <c r="P386" s="202"/>
      <c r="S386" s="292"/>
      <c r="T386" s="292"/>
      <c r="U386" s="258"/>
    </row>
    <row r="387" spans="1:21" s="32" customFormat="1" ht="18" customHeight="1" x14ac:dyDescent="0.25">
      <c r="A387" s="28"/>
      <c r="B387" s="29"/>
      <c r="C387" s="29"/>
      <c r="D387" s="29"/>
      <c r="E387" s="29" t="s">
        <v>42</v>
      </c>
      <c r="F387" s="30"/>
      <c r="G387" s="30">
        <f>+SUM(G388:G401)</f>
        <v>344171151</v>
      </c>
      <c r="H387" s="30">
        <f>+SUM(H388:H401)</f>
        <v>326616816</v>
      </c>
      <c r="I387" s="30">
        <f>+G387+H387</f>
        <v>670787967</v>
      </c>
      <c r="J387" s="30">
        <f>+SUM(J388:J401)</f>
        <v>29073331</v>
      </c>
      <c r="K387" s="30">
        <f>+SUM(K388:K401)</f>
        <v>5107708</v>
      </c>
      <c r="L387" s="30">
        <f>+J387+K387</f>
        <v>34181039</v>
      </c>
      <c r="M387" s="33">
        <f>+I387+L387</f>
        <v>704969006</v>
      </c>
      <c r="N387" s="31"/>
      <c r="P387" s="202">
        <f>+M386+M387</f>
        <v>62361606392</v>
      </c>
      <c r="S387" s="292"/>
      <c r="T387" s="292"/>
      <c r="U387" s="258"/>
    </row>
    <row r="388" spans="1:21" ht="18" customHeight="1" x14ac:dyDescent="0.25">
      <c r="A388" s="8"/>
      <c r="B388" s="20"/>
      <c r="C388" s="20"/>
      <c r="D388" s="20"/>
      <c r="E388" s="23" t="s">
        <v>24</v>
      </c>
      <c r="F388" s="21"/>
      <c r="G388" s="21">
        <v>33428184</v>
      </c>
      <c r="H388" s="35">
        <f>19105315</f>
        <v>19105315</v>
      </c>
      <c r="I388" s="21">
        <f>+G388+H388</f>
        <v>52533499</v>
      </c>
      <c r="J388" s="21">
        <v>17223652</v>
      </c>
      <c r="K388" s="35">
        <f>1804545+1454775</f>
        <v>3259320</v>
      </c>
      <c r="L388" s="21">
        <f t="shared" si="238"/>
        <v>20482972</v>
      </c>
      <c r="M388" s="21">
        <f t="shared" ref="M388:M391" si="239">+I388+L388</f>
        <v>73016471</v>
      </c>
      <c r="N388" s="22"/>
      <c r="S388" s="292"/>
      <c r="T388" s="292"/>
      <c r="U388" s="257"/>
    </row>
    <row r="389" spans="1:21" ht="18" customHeight="1" x14ac:dyDescent="0.25">
      <c r="A389" s="8"/>
      <c r="B389" s="20"/>
      <c r="C389" s="20"/>
      <c r="D389" s="20"/>
      <c r="E389" s="23" t="s">
        <v>22</v>
      </c>
      <c r="F389" s="21"/>
      <c r="G389" s="21">
        <v>23371823</v>
      </c>
      <c r="H389" s="35">
        <f>70465977+317671+105791774+6244650+6824200</f>
        <v>189644272</v>
      </c>
      <c r="I389" s="21">
        <f>+G389+H389</f>
        <v>213016095</v>
      </c>
      <c r="J389" s="21">
        <v>0</v>
      </c>
      <c r="K389" s="35">
        <f>150000+75000</f>
        <v>225000</v>
      </c>
      <c r="L389" s="21">
        <f t="shared" si="238"/>
        <v>225000</v>
      </c>
      <c r="M389" s="21">
        <f t="shared" si="239"/>
        <v>213241095</v>
      </c>
      <c r="N389" s="22"/>
      <c r="S389" s="292"/>
      <c r="T389" s="292"/>
      <c r="U389" s="257"/>
    </row>
    <row r="390" spans="1:21" ht="18" customHeight="1" x14ac:dyDescent="0.25">
      <c r="A390" s="4"/>
      <c r="B390" s="233"/>
      <c r="C390" s="233"/>
      <c r="D390" s="233"/>
      <c r="E390" s="234" t="s">
        <v>25</v>
      </c>
      <c r="F390" s="235"/>
      <c r="G390" s="235">
        <v>4114126</v>
      </c>
      <c r="H390" s="236">
        <f>2605270</f>
        <v>2605270</v>
      </c>
      <c r="I390" s="235">
        <f>+G390+H390</f>
        <v>6719396</v>
      </c>
      <c r="J390" s="235">
        <v>1722917</v>
      </c>
      <c r="K390" s="236">
        <f>47298+16892+33784</f>
        <v>97974</v>
      </c>
      <c r="L390" s="235">
        <f t="shared" si="238"/>
        <v>1820891</v>
      </c>
      <c r="M390" s="235">
        <f t="shared" si="239"/>
        <v>8540287</v>
      </c>
      <c r="N390" s="237"/>
      <c r="Q390" s="3"/>
      <c r="S390" s="292"/>
      <c r="T390" s="292"/>
      <c r="U390" s="257"/>
    </row>
    <row r="391" spans="1:21" ht="18" customHeight="1" x14ac:dyDescent="0.25">
      <c r="A391" s="8"/>
      <c r="B391" s="20"/>
      <c r="C391" s="20"/>
      <c r="D391" s="20"/>
      <c r="E391" s="23" t="s">
        <v>26</v>
      </c>
      <c r="F391" s="21"/>
      <c r="G391" s="21">
        <v>5923500</v>
      </c>
      <c r="H391" s="35"/>
      <c r="I391" s="21">
        <f>+G391+H391</f>
        <v>5923500</v>
      </c>
      <c r="J391" s="21">
        <v>2551762</v>
      </c>
      <c r="K391" s="35">
        <f>360909+264505</f>
        <v>625414</v>
      </c>
      <c r="L391" s="21">
        <f t="shared" si="238"/>
        <v>3177176</v>
      </c>
      <c r="M391" s="21">
        <f t="shared" si="239"/>
        <v>9100676</v>
      </c>
      <c r="N391" s="22"/>
      <c r="S391" s="292"/>
      <c r="T391" s="292"/>
      <c r="U391" s="257"/>
    </row>
    <row r="392" spans="1:21" ht="18" customHeight="1" x14ac:dyDescent="0.25">
      <c r="A392" s="8"/>
      <c r="B392" s="20"/>
      <c r="C392" s="20"/>
      <c r="D392" s="20"/>
      <c r="E392" s="23" t="s">
        <v>40</v>
      </c>
      <c r="F392" s="21"/>
      <c r="G392" s="21"/>
      <c r="H392" s="35"/>
      <c r="I392" s="21"/>
      <c r="J392" s="21"/>
      <c r="K392" s="35"/>
      <c r="L392" s="21"/>
      <c r="M392" s="21"/>
      <c r="N392" s="22"/>
      <c r="S392" s="292"/>
      <c r="T392" s="292"/>
      <c r="U392" s="257"/>
    </row>
    <row r="393" spans="1:21" ht="18" customHeight="1" x14ac:dyDescent="0.25">
      <c r="A393" s="8"/>
      <c r="B393" s="20"/>
      <c r="C393" s="20"/>
      <c r="D393" s="20"/>
      <c r="E393" s="23" t="s">
        <v>321</v>
      </c>
      <c r="F393" s="21"/>
      <c r="G393" s="21">
        <v>0</v>
      </c>
      <c r="H393" s="35"/>
      <c r="I393" s="21">
        <f>+G393+H393</f>
        <v>0</v>
      </c>
      <c r="J393" s="21">
        <v>0</v>
      </c>
      <c r="K393" s="35"/>
      <c r="L393" s="21">
        <f>+J393+K393</f>
        <v>0</v>
      </c>
      <c r="M393" s="21">
        <f>+I393+L393</f>
        <v>0</v>
      </c>
      <c r="N393" s="22"/>
      <c r="S393" s="292"/>
      <c r="T393" s="292"/>
      <c r="U393" s="257"/>
    </row>
    <row r="394" spans="1:21" ht="18" customHeight="1" x14ac:dyDescent="0.25">
      <c r="A394" s="8"/>
      <c r="B394" s="20"/>
      <c r="C394" s="20"/>
      <c r="D394" s="20"/>
      <c r="E394" s="23" t="s">
        <v>322</v>
      </c>
      <c r="F394" s="21"/>
      <c r="G394" s="21">
        <v>165118154</v>
      </c>
      <c r="H394" s="35">
        <f>5207303+2886932+51474400</f>
        <v>59568635</v>
      </c>
      <c r="I394" s="21">
        <f t="shared" ref="I394:I400" si="240">+G394+H394</f>
        <v>224686789</v>
      </c>
      <c r="J394" s="21">
        <v>0</v>
      </c>
      <c r="K394" s="35"/>
      <c r="L394" s="21">
        <f>+J394+K394</f>
        <v>0</v>
      </c>
      <c r="M394" s="21">
        <f t="shared" ref="M394:M400" si="241">+I394+L394</f>
        <v>224686789</v>
      </c>
      <c r="N394" s="22"/>
      <c r="S394" s="292"/>
      <c r="T394" s="292"/>
      <c r="U394" s="257"/>
    </row>
    <row r="395" spans="1:21" ht="18" customHeight="1" x14ac:dyDescent="0.25">
      <c r="A395" s="8"/>
      <c r="B395" s="20"/>
      <c r="C395" s="20"/>
      <c r="D395" s="20"/>
      <c r="E395" s="23" t="s">
        <v>323</v>
      </c>
      <c r="F395" s="21"/>
      <c r="G395" s="21">
        <v>41832664</v>
      </c>
      <c r="H395" s="35">
        <f>20829194+11547739</f>
        <v>32376933</v>
      </c>
      <c r="I395" s="21">
        <f t="shared" si="240"/>
        <v>74209597</v>
      </c>
      <c r="J395" s="21"/>
      <c r="K395" s="35"/>
      <c r="L395" s="21"/>
      <c r="M395" s="21">
        <f t="shared" si="241"/>
        <v>74209597</v>
      </c>
      <c r="N395" s="22"/>
      <c r="S395" s="292"/>
      <c r="T395" s="292"/>
      <c r="U395" s="257"/>
    </row>
    <row r="396" spans="1:21" ht="18" customHeight="1" x14ac:dyDescent="0.25">
      <c r="A396" s="8"/>
      <c r="B396" s="20"/>
      <c r="C396" s="20"/>
      <c r="D396" s="20"/>
      <c r="E396" s="23" t="s">
        <v>324</v>
      </c>
      <c r="F396" s="21"/>
      <c r="G396" s="21">
        <v>1730239</v>
      </c>
      <c r="H396" s="35">
        <v>574228</v>
      </c>
      <c r="I396" s="21">
        <f t="shared" si="240"/>
        <v>2304467</v>
      </c>
      <c r="J396" s="21"/>
      <c r="K396" s="35"/>
      <c r="L396" s="21"/>
      <c r="M396" s="21">
        <f t="shared" si="241"/>
        <v>2304467</v>
      </c>
      <c r="N396" s="22"/>
      <c r="S396" s="292"/>
      <c r="T396" s="292"/>
      <c r="U396" s="257"/>
    </row>
    <row r="397" spans="1:21" ht="18" customHeight="1" x14ac:dyDescent="0.25">
      <c r="A397" s="8"/>
      <c r="B397" s="20"/>
      <c r="C397" s="20"/>
      <c r="D397" s="20"/>
      <c r="E397" s="23" t="s">
        <v>325</v>
      </c>
      <c r="F397" s="21"/>
      <c r="G397" s="21">
        <v>5190716</v>
      </c>
      <c r="H397" s="35">
        <v>1722684</v>
      </c>
      <c r="I397" s="21">
        <f t="shared" si="240"/>
        <v>6913400</v>
      </c>
      <c r="J397" s="21"/>
      <c r="K397" s="35"/>
      <c r="L397" s="21"/>
      <c r="M397" s="21">
        <f t="shared" si="241"/>
        <v>6913400</v>
      </c>
      <c r="N397" s="22"/>
      <c r="S397" s="292"/>
      <c r="T397" s="292"/>
      <c r="U397" s="257"/>
    </row>
    <row r="398" spans="1:21" ht="18" customHeight="1" x14ac:dyDescent="0.25">
      <c r="A398" s="8"/>
      <c r="B398" s="20"/>
      <c r="C398" s="20"/>
      <c r="D398" s="20"/>
      <c r="E398" s="23" t="s">
        <v>326</v>
      </c>
      <c r="F398" s="21"/>
      <c r="G398" s="21">
        <v>63461745</v>
      </c>
      <c r="H398" s="35">
        <v>21019479</v>
      </c>
      <c r="I398" s="21">
        <f t="shared" si="240"/>
        <v>84481224</v>
      </c>
      <c r="J398" s="21"/>
      <c r="K398" s="35"/>
      <c r="L398" s="21"/>
      <c r="M398" s="21">
        <f t="shared" si="241"/>
        <v>84481224</v>
      </c>
      <c r="N398" s="22"/>
      <c r="S398" s="292"/>
      <c r="T398" s="292"/>
      <c r="U398" s="257"/>
    </row>
    <row r="399" spans="1:21" ht="18" customHeight="1" x14ac:dyDescent="0.25">
      <c r="A399" s="4"/>
      <c r="B399" s="233"/>
      <c r="C399" s="233"/>
      <c r="D399" s="233"/>
      <c r="E399" s="234" t="s">
        <v>327</v>
      </c>
      <c r="F399" s="235"/>
      <c r="G399" s="235"/>
      <c r="H399" s="236"/>
      <c r="I399" s="235"/>
      <c r="J399" s="235">
        <v>7575000</v>
      </c>
      <c r="K399" s="236">
        <f>350000+125000+250000+175000</f>
        <v>900000</v>
      </c>
      <c r="L399" s="235">
        <f>+J399+K399</f>
        <v>8475000</v>
      </c>
      <c r="M399" s="235">
        <f t="shared" si="241"/>
        <v>8475000</v>
      </c>
      <c r="N399" s="237"/>
      <c r="S399" s="292"/>
      <c r="T399" s="292"/>
      <c r="U399" s="257"/>
    </row>
    <row r="400" spans="1:21" ht="18" customHeight="1" x14ac:dyDescent="0.25">
      <c r="A400" s="8"/>
      <c r="B400" s="20"/>
      <c r="C400" s="20"/>
      <c r="D400" s="20"/>
      <c r="E400" s="23" t="s">
        <v>426</v>
      </c>
      <c r="F400" s="21"/>
      <c r="G400" s="21"/>
      <c r="H400" s="35"/>
      <c r="I400" s="21">
        <f t="shared" si="240"/>
        <v>0</v>
      </c>
      <c r="J400" s="21"/>
      <c r="K400" s="35"/>
      <c r="L400" s="21"/>
      <c r="M400" s="21">
        <f t="shared" si="241"/>
        <v>0</v>
      </c>
      <c r="N400" s="22"/>
      <c r="S400" s="292"/>
      <c r="T400" s="292"/>
      <c r="U400" s="257"/>
    </row>
    <row r="401" spans="1:21" ht="18" customHeight="1" x14ac:dyDescent="0.25">
      <c r="A401" s="8"/>
      <c r="B401" s="20"/>
      <c r="C401" s="20"/>
      <c r="D401" s="20"/>
      <c r="E401" s="20" t="s">
        <v>23</v>
      </c>
      <c r="F401" s="21"/>
      <c r="G401" s="21"/>
      <c r="H401" s="21"/>
      <c r="I401" s="21"/>
      <c r="J401" s="21"/>
      <c r="K401" s="21"/>
      <c r="L401" s="21"/>
      <c r="M401" s="21"/>
      <c r="N401" s="22"/>
      <c r="S401" s="292"/>
      <c r="T401" s="292"/>
      <c r="U401" s="257"/>
    </row>
    <row r="402" spans="1:21" ht="18" customHeight="1" x14ac:dyDescent="0.25">
      <c r="A402" s="8"/>
      <c r="B402" s="20"/>
      <c r="C402" s="20"/>
      <c r="D402" s="20"/>
      <c r="E402" s="24" t="s">
        <v>27</v>
      </c>
      <c r="F402" s="15"/>
      <c r="G402" s="25"/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14"/>
      <c r="Q402" s="3"/>
      <c r="S402" s="292"/>
      <c r="T402" s="292"/>
      <c r="U402" s="257"/>
    </row>
    <row r="403" spans="1:21" ht="18" customHeight="1" x14ac:dyDescent="0.25">
      <c r="A403" s="8"/>
      <c r="B403" s="20"/>
      <c r="C403" s="20"/>
      <c r="D403" s="20"/>
      <c r="E403" s="20"/>
      <c r="F403" s="21"/>
      <c r="G403" s="21"/>
      <c r="H403" s="21"/>
      <c r="I403" s="21"/>
      <c r="J403" s="21"/>
      <c r="K403" s="21"/>
      <c r="L403" s="21"/>
      <c r="M403" s="21"/>
      <c r="N403" s="22"/>
      <c r="S403" s="292"/>
      <c r="T403" s="292"/>
      <c r="U403" s="257"/>
    </row>
    <row r="404" spans="1:21" ht="18" customHeight="1" x14ac:dyDescent="0.25">
      <c r="A404" s="8"/>
      <c r="B404" s="20"/>
      <c r="C404" s="20"/>
      <c r="D404" s="20"/>
      <c r="E404" s="20" t="s">
        <v>328</v>
      </c>
      <c r="F404" s="21"/>
      <c r="G404" s="21"/>
      <c r="H404" s="21"/>
      <c r="I404" s="21"/>
      <c r="J404" s="21"/>
      <c r="K404" s="21"/>
      <c r="L404" s="21"/>
      <c r="M404" s="21"/>
      <c r="N404" s="22"/>
      <c r="S404" s="292"/>
      <c r="T404" s="292"/>
      <c r="U404" s="257"/>
    </row>
    <row r="405" spans="1:21" s="32" customFormat="1" ht="18" customHeight="1" x14ac:dyDescent="0.25">
      <c r="A405" s="28"/>
      <c r="B405" s="29"/>
      <c r="C405" s="29"/>
      <c r="D405" s="29"/>
      <c r="E405" s="29" t="s">
        <v>21</v>
      </c>
      <c r="F405" s="30"/>
      <c r="G405" s="30">
        <f>+G386</f>
        <v>48555973852</v>
      </c>
      <c r="H405" s="33">
        <f>+H386</f>
        <v>12206513922</v>
      </c>
      <c r="I405" s="30">
        <f t="shared" ref="I405:L405" si="242">+I386</f>
        <v>60762487774</v>
      </c>
      <c r="J405" s="30">
        <f t="shared" si="242"/>
        <v>776308849</v>
      </c>
      <c r="K405" s="30">
        <f t="shared" si="242"/>
        <v>117840763</v>
      </c>
      <c r="L405" s="30">
        <f t="shared" si="242"/>
        <v>894149612</v>
      </c>
      <c r="M405" s="30">
        <f>+M386</f>
        <v>61656637386</v>
      </c>
      <c r="N405" s="31"/>
      <c r="O405" s="34"/>
      <c r="P405" s="202"/>
      <c r="S405" s="292"/>
      <c r="T405" s="292"/>
      <c r="U405" s="258"/>
    </row>
    <row r="406" spans="1:21" s="32" customFormat="1" ht="18" customHeight="1" x14ac:dyDescent="0.25">
      <c r="A406" s="28"/>
      <c r="B406" s="29"/>
      <c r="C406" s="29"/>
      <c r="D406" s="29"/>
      <c r="E406" s="29" t="s">
        <v>42</v>
      </c>
      <c r="F406" s="30"/>
      <c r="G406" s="30">
        <f>+SUM(G407:G420)</f>
        <v>344171151</v>
      </c>
      <c r="H406" s="30">
        <f>+SUM(H407:H420)</f>
        <v>326616816</v>
      </c>
      <c r="I406" s="30">
        <f>+G406+H406</f>
        <v>670787967</v>
      </c>
      <c r="J406" s="30">
        <f>+SUM(J407:J420)</f>
        <v>29073331</v>
      </c>
      <c r="K406" s="30">
        <f>+SUM(K407:K420)</f>
        <v>5107708</v>
      </c>
      <c r="L406" s="30">
        <f>+J406+K406</f>
        <v>34181039</v>
      </c>
      <c r="M406" s="33">
        <f>+I406+L406</f>
        <v>704969006</v>
      </c>
      <c r="N406" s="31"/>
      <c r="P406" s="202"/>
      <c r="S406" s="292"/>
      <c r="T406" s="292"/>
      <c r="U406" s="258"/>
    </row>
    <row r="407" spans="1:21" ht="18" customHeight="1" x14ac:dyDescent="0.25">
      <c r="A407" s="8"/>
      <c r="B407" s="20"/>
      <c r="C407" s="20"/>
      <c r="D407" s="20"/>
      <c r="E407" s="23" t="s">
        <v>24</v>
      </c>
      <c r="F407" s="21"/>
      <c r="G407" s="21">
        <v>33428184</v>
      </c>
      <c r="H407" s="35">
        <f>19105315</f>
        <v>19105315</v>
      </c>
      <c r="I407" s="21">
        <f>+G407+H407</f>
        <v>52533499</v>
      </c>
      <c r="J407" s="21">
        <v>17223652</v>
      </c>
      <c r="K407" s="35">
        <f>1804545+1454775</f>
        <v>3259320</v>
      </c>
      <c r="L407" s="21">
        <f>+J407+K407</f>
        <v>20482972</v>
      </c>
      <c r="M407" s="21">
        <f>+I407+L407</f>
        <v>73016471</v>
      </c>
      <c r="N407" s="22"/>
      <c r="S407" s="292"/>
      <c r="T407" s="292"/>
      <c r="U407" s="257"/>
    </row>
    <row r="408" spans="1:21" ht="18" customHeight="1" x14ac:dyDescent="0.25">
      <c r="A408" s="8"/>
      <c r="B408" s="20"/>
      <c r="C408" s="20"/>
      <c r="D408" s="20"/>
      <c r="E408" s="23" t="s">
        <v>22</v>
      </c>
      <c r="F408" s="21"/>
      <c r="G408" s="21">
        <v>23371823</v>
      </c>
      <c r="H408" s="35">
        <f>70465977+317671+105791774+6244650+6824200</f>
        <v>189644272</v>
      </c>
      <c r="I408" s="21">
        <f>+G408+H408</f>
        <v>213016095</v>
      </c>
      <c r="J408" s="21">
        <v>0</v>
      </c>
      <c r="K408" s="35">
        <f>150000+75000</f>
        <v>225000</v>
      </c>
      <c r="L408" s="21">
        <f>+J408+K408</f>
        <v>225000</v>
      </c>
      <c r="M408" s="21">
        <f>+I408+L408</f>
        <v>213241095</v>
      </c>
      <c r="N408" s="22"/>
      <c r="S408" s="292"/>
      <c r="T408" s="292"/>
      <c r="U408" s="257"/>
    </row>
    <row r="409" spans="1:21" ht="18" customHeight="1" x14ac:dyDescent="0.25">
      <c r="A409" s="8"/>
      <c r="B409" s="20"/>
      <c r="C409" s="20"/>
      <c r="D409" s="20"/>
      <c r="E409" s="23" t="s">
        <v>25</v>
      </c>
      <c r="F409" s="21"/>
      <c r="G409" s="21">
        <v>4114126</v>
      </c>
      <c r="H409" s="236">
        <f>2605270</f>
        <v>2605270</v>
      </c>
      <c r="I409" s="21">
        <f>+G409+H409</f>
        <v>6719396</v>
      </c>
      <c r="J409" s="21">
        <v>1722917</v>
      </c>
      <c r="K409" s="236">
        <f>47298+16892+33784</f>
        <v>97974</v>
      </c>
      <c r="L409" s="21">
        <f>+J409+K409</f>
        <v>1820891</v>
      </c>
      <c r="M409" s="21">
        <f>+I409+L409</f>
        <v>8540287</v>
      </c>
      <c r="N409" s="22"/>
      <c r="S409" s="292"/>
      <c r="T409" s="292"/>
      <c r="U409" s="257"/>
    </row>
    <row r="410" spans="1:21" ht="18" customHeight="1" x14ac:dyDescent="0.25">
      <c r="A410" s="8"/>
      <c r="B410" s="20"/>
      <c r="C410" s="20"/>
      <c r="D410" s="20"/>
      <c r="E410" s="23" t="s">
        <v>26</v>
      </c>
      <c r="F410" s="21"/>
      <c r="G410" s="21">
        <v>5923500</v>
      </c>
      <c r="H410" s="35"/>
      <c r="I410" s="21">
        <f>+G410+H410</f>
        <v>5923500</v>
      </c>
      <c r="J410" s="21">
        <v>2551762</v>
      </c>
      <c r="K410" s="35">
        <f>360909+264505</f>
        <v>625414</v>
      </c>
      <c r="L410" s="21">
        <f>+J410+K410</f>
        <v>3177176</v>
      </c>
      <c r="M410" s="21">
        <f>+I410+L410</f>
        <v>9100676</v>
      </c>
      <c r="N410" s="22"/>
      <c r="S410" s="292"/>
      <c r="T410" s="292"/>
      <c r="U410" s="257"/>
    </row>
    <row r="411" spans="1:21" ht="18" customHeight="1" x14ac:dyDescent="0.25">
      <c r="A411" s="8"/>
      <c r="B411" s="20"/>
      <c r="C411" s="20"/>
      <c r="D411" s="20"/>
      <c r="E411" s="23" t="s">
        <v>40</v>
      </c>
      <c r="F411" s="21"/>
      <c r="G411" s="21"/>
      <c r="H411" s="35"/>
      <c r="I411" s="21"/>
      <c r="J411" s="21"/>
      <c r="K411" s="35"/>
      <c r="L411" s="21"/>
      <c r="M411" s="21"/>
      <c r="N411" s="22"/>
      <c r="S411" s="292"/>
      <c r="T411" s="292"/>
      <c r="U411" s="257"/>
    </row>
    <row r="412" spans="1:21" ht="18" customHeight="1" x14ac:dyDescent="0.25">
      <c r="A412" s="8"/>
      <c r="B412" s="20"/>
      <c r="C412" s="20"/>
      <c r="D412" s="20"/>
      <c r="E412" s="23" t="s">
        <v>321</v>
      </c>
      <c r="F412" s="21"/>
      <c r="G412" s="21">
        <v>0</v>
      </c>
      <c r="H412" s="35"/>
      <c r="I412" s="21">
        <f>+G412+H412</f>
        <v>0</v>
      </c>
      <c r="J412" s="21">
        <v>0</v>
      </c>
      <c r="K412" s="35"/>
      <c r="L412" s="21">
        <f>+J412+K412</f>
        <v>0</v>
      </c>
      <c r="M412" s="21">
        <f t="shared" ref="M412:M419" si="243">+I412+L412</f>
        <v>0</v>
      </c>
      <c r="N412" s="22"/>
      <c r="U412" s="257"/>
    </row>
    <row r="413" spans="1:21" ht="18" customHeight="1" x14ac:dyDescent="0.25">
      <c r="A413" s="8"/>
      <c r="B413" s="20"/>
      <c r="C413" s="20"/>
      <c r="D413" s="20"/>
      <c r="E413" s="23" t="s">
        <v>322</v>
      </c>
      <c r="F413" s="21"/>
      <c r="G413" s="21">
        <v>165118154</v>
      </c>
      <c r="H413" s="35">
        <f>5207303+2886932+51474400</f>
        <v>59568635</v>
      </c>
      <c r="I413" s="21">
        <f t="shared" ref="I413:I419" si="244">+G413+H413</f>
        <v>224686789</v>
      </c>
      <c r="J413" s="21"/>
      <c r="K413" s="35"/>
      <c r="L413" s="21"/>
      <c r="M413" s="21">
        <f t="shared" si="243"/>
        <v>224686789</v>
      </c>
      <c r="N413" s="22"/>
      <c r="U413" s="257"/>
    </row>
    <row r="414" spans="1:21" ht="18" customHeight="1" x14ac:dyDescent="0.25">
      <c r="A414" s="8"/>
      <c r="B414" s="20"/>
      <c r="C414" s="20"/>
      <c r="D414" s="20"/>
      <c r="E414" s="23" t="s">
        <v>323</v>
      </c>
      <c r="F414" s="21"/>
      <c r="G414" s="21">
        <v>41832664</v>
      </c>
      <c r="H414" s="35">
        <f>20829194+11547739</f>
        <v>32376933</v>
      </c>
      <c r="I414" s="21">
        <f t="shared" si="244"/>
        <v>74209597</v>
      </c>
      <c r="J414" s="21"/>
      <c r="K414" s="35"/>
      <c r="L414" s="21"/>
      <c r="M414" s="21">
        <f t="shared" si="243"/>
        <v>74209597</v>
      </c>
      <c r="N414" s="22"/>
      <c r="U414" s="257"/>
    </row>
    <row r="415" spans="1:21" ht="18" customHeight="1" x14ac:dyDescent="0.25">
      <c r="A415" s="8"/>
      <c r="B415" s="20"/>
      <c r="C415" s="20"/>
      <c r="D415" s="20"/>
      <c r="E415" s="23" t="s">
        <v>324</v>
      </c>
      <c r="F415" s="21"/>
      <c r="G415" s="21">
        <v>1730239</v>
      </c>
      <c r="H415" s="35">
        <v>574228</v>
      </c>
      <c r="I415" s="21">
        <f t="shared" si="244"/>
        <v>2304467</v>
      </c>
      <c r="J415" s="21"/>
      <c r="K415" s="35"/>
      <c r="L415" s="21"/>
      <c r="M415" s="21">
        <f t="shared" si="243"/>
        <v>2304467</v>
      </c>
      <c r="N415" s="22"/>
      <c r="U415" s="257"/>
    </row>
    <row r="416" spans="1:21" ht="18" customHeight="1" x14ac:dyDescent="0.25">
      <c r="A416" s="8"/>
      <c r="B416" s="20"/>
      <c r="C416" s="20"/>
      <c r="D416" s="20"/>
      <c r="E416" s="23" t="s">
        <v>325</v>
      </c>
      <c r="F416" s="21"/>
      <c r="G416" s="21">
        <v>5190716</v>
      </c>
      <c r="H416" s="35">
        <v>1722684</v>
      </c>
      <c r="I416" s="21">
        <f t="shared" si="244"/>
        <v>6913400</v>
      </c>
      <c r="J416" s="21"/>
      <c r="K416" s="35"/>
      <c r="L416" s="21"/>
      <c r="M416" s="21">
        <f t="shared" si="243"/>
        <v>6913400</v>
      </c>
      <c r="N416" s="22"/>
      <c r="U416" s="257"/>
    </row>
    <row r="417" spans="1:21" ht="18" customHeight="1" x14ac:dyDescent="0.25">
      <c r="A417" s="8"/>
      <c r="B417" s="20"/>
      <c r="C417" s="20"/>
      <c r="D417" s="20"/>
      <c r="E417" s="23" t="s">
        <v>326</v>
      </c>
      <c r="F417" s="21"/>
      <c r="G417" s="21">
        <v>63461745</v>
      </c>
      <c r="H417" s="35">
        <v>21019479</v>
      </c>
      <c r="I417" s="21">
        <f t="shared" si="244"/>
        <v>84481224</v>
      </c>
      <c r="J417" s="21"/>
      <c r="K417" s="35"/>
      <c r="L417" s="21"/>
      <c r="M417" s="21">
        <f t="shared" si="243"/>
        <v>84481224</v>
      </c>
      <c r="N417" s="22"/>
      <c r="U417" s="257"/>
    </row>
    <row r="418" spans="1:21" ht="18" customHeight="1" x14ac:dyDescent="0.25">
      <c r="A418" s="8"/>
      <c r="B418" s="20"/>
      <c r="C418" s="20"/>
      <c r="D418" s="20"/>
      <c r="E418" s="23" t="s">
        <v>327</v>
      </c>
      <c r="F418" s="21"/>
      <c r="G418" s="21"/>
      <c r="H418" s="236"/>
      <c r="I418" s="21"/>
      <c r="J418" s="21">
        <v>7575000</v>
      </c>
      <c r="K418" s="236">
        <f>350000+125000+250000+175000</f>
        <v>900000</v>
      </c>
      <c r="L418" s="21">
        <f>+J418+K418</f>
        <v>8475000</v>
      </c>
      <c r="M418" s="21">
        <f t="shared" si="243"/>
        <v>8475000</v>
      </c>
      <c r="N418" s="22"/>
      <c r="U418" s="257"/>
    </row>
    <row r="419" spans="1:21" ht="18" customHeight="1" x14ac:dyDescent="0.25">
      <c r="A419" s="8"/>
      <c r="B419" s="20"/>
      <c r="C419" s="20"/>
      <c r="D419" s="20"/>
      <c r="E419" s="23" t="s">
        <v>426</v>
      </c>
      <c r="F419" s="21"/>
      <c r="G419" s="21"/>
      <c r="H419" s="35"/>
      <c r="I419" s="21">
        <f t="shared" si="244"/>
        <v>0</v>
      </c>
      <c r="J419" s="21"/>
      <c r="K419" s="35"/>
      <c r="L419" s="21"/>
      <c r="M419" s="21">
        <f t="shared" si="243"/>
        <v>0</v>
      </c>
      <c r="N419" s="22"/>
      <c r="U419" s="257"/>
    </row>
    <row r="420" spans="1:21" ht="18" customHeight="1" x14ac:dyDescent="0.25">
      <c r="A420" s="8"/>
      <c r="B420" s="20"/>
      <c r="C420" s="20"/>
      <c r="D420" s="20"/>
      <c r="E420" s="20" t="s">
        <v>23</v>
      </c>
      <c r="F420" s="21"/>
      <c r="G420" s="21"/>
      <c r="H420" s="21"/>
      <c r="I420" s="21"/>
      <c r="J420" s="21"/>
      <c r="K420" s="21"/>
      <c r="L420" s="21"/>
      <c r="M420" s="21"/>
      <c r="N420" s="22"/>
      <c r="U420" s="257"/>
    </row>
    <row r="421" spans="1:21" ht="18" customHeight="1" x14ac:dyDescent="0.25">
      <c r="A421" s="8"/>
      <c r="B421" s="20"/>
      <c r="C421" s="20"/>
      <c r="D421" s="20"/>
      <c r="E421" s="24" t="s">
        <v>27</v>
      </c>
      <c r="F421" s="15"/>
      <c r="G421" s="25" t="s">
        <v>49</v>
      </c>
      <c r="H421" s="25" t="s">
        <v>49</v>
      </c>
      <c r="I421" s="25" t="s">
        <v>49</v>
      </c>
      <c r="J421" s="25" t="s">
        <v>49</v>
      </c>
      <c r="K421" s="25" t="s">
        <v>49</v>
      </c>
      <c r="L421" s="25" t="s">
        <v>49</v>
      </c>
      <c r="M421" s="25" t="s">
        <v>49</v>
      </c>
      <c r="N421" s="14"/>
      <c r="U421" s="257"/>
    </row>
    <row r="422" spans="1:21" ht="18" customHeight="1" x14ac:dyDescent="0.25">
      <c r="A422" s="8"/>
      <c r="B422" s="20"/>
      <c r="C422" s="20"/>
      <c r="D422" s="20"/>
      <c r="E422" s="20"/>
      <c r="F422" s="22"/>
      <c r="G422" s="22"/>
      <c r="H422" s="22"/>
      <c r="I422" s="22"/>
      <c r="J422" s="22"/>
      <c r="K422" s="22"/>
      <c r="L422" s="22"/>
      <c r="M422" s="22"/>
      <c r="N422" s="22"/>
      <c r="U422" s="257"/>
    </row>
    <row r="423" spans="1:21" ht="18" customHeight="1" x14ac:dyDescent="0.25">
      <c r="A423" s="26"/>
      <c r="B423" s="26"/>
      <c r="C423" s="26"/>
      <c r="D423" s="26"/>
      <c r="E423" s="24" t="s">
        <v>28</v>
      </c>
      <c r="F423" s="14"/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/>
      <c r="U423" s="257"/>
    </row>
    <row r="424" spans="1:21" ht="18" customHeight="1" x14ac:dyDescent="0.25">
      <c r="U424" s="257"/>
    </row>
    <row r="425" spans="1:21" ht="18" customHeight="1" x14ac:dyDescent="0.25">
      <c r="A425" s="490" t="s">
        <v>52</v>
      </c>
      <c r="B425" s="490"/>
      <c r="C425" s="490"/>
      <c r="D425" s="490"/>
      <c r="L425" s="492" t="s">
        <v>490</v>
      </c>
      <c r="M425" s="492"/>
      <c r="N425" s="492"/>
      <c r="U425" s="257"/>
    </row>
    <row r="426" spans="1:21" ht="18" customHeight="1" x14ac:dyDescent="0.25">
      <c r="A426" s="490" t="s">
        <v>59</v>
      </c>
      <c r="B426" s="490"/>
      <c r="C426" s="490"/>
      <c r="D426" s="490"/>
      <c r="U426" s="257"/>
    </row>
    <row r="427" spans="1:21" ht="18" customHeight="1" x14ac:dyDescent="0.25">
      <c r="A427" s="490" t="s">
        <v>60</v>
      </c>
      <c r="B427" s="490"/>
      <c r="C427" s="490"/>
      <c r="D427" s="490"/>
      <c r="E427" s="272" t="s">
        <v>38</v>
      </c>
      <c r="F427" s="491" t="s">
        <v>39</v>
      </c>
      <c r="G427" s="491"/>
      <c r="H427" s="491"/>
      <c r="I427" s="160"/>
      <c r="J427" s="160"/>
      <c r="K427" s="160"/>
      <c r="L427" s="491" t="s">
        <v>422</v>
      </c>
      <c r="M427" s="491"/>
      <c r="N427" s="491"/>
      <c r="U427" s="257"/>
    </row>
    <row r="428" spans="1:21" ht="18" customHeight="1" x14ac:dyDescent="0.25">
      <c r="A428" s="490" t="s">
        <v>53</v>
      </c>
      <c r="B428" s="490"/>
      <c r="C428" s="490"/>
      <c r="D428" s="490"/>
      <c r="E428" s="272" t="s">
        <v>330</v>
      </c>
      <c r="F428" s="491" t="s">
        <v>54</v>
      </c>
      <c r="G428" s="491"/>
      <c r="H428" s="491"/>
      <c r="I428" s="160"/>
      <c r="J428" s="160"/>
      <c r="K428" s="160"/>
      <c r="L428" s="491" t="s">
        <v>330</v>
      </c>
      <c r="M428" s="491"/>
      <c r="N428" s="491"/>
      <c r="U428" s="257"/>
    </row>
    <row r="429" spans="1:21" ht="18" customHeight="1" x14ac:dyDescent="0.25">
      <c r="A429" s="470"/>
      <c r="B429" s="7"/>
      <c r="C429" s="7"/>
      <c r="D429" s="7"/>
      <c r="E429" s="470"/>
      <c r="G429" s="471"/>
      <c r="H429" s="6"/>
      <c r="I429" s="6"/>
      <c r="K429" s="6"/>
      <c r="L429" s="6"/>
      <c r="M429" s="6"/>
      <c r="N429" s="6"/>
      <c r="U429" s="257"/>
    </row>
    <row r="430" spans="1:21" ht="18" customHeight="1" x14ac:dyDescent="0.25">
      <c r="A430" s="470"/>
      <c r="B430" s="7"/>
      <c r="C430" s="7"/>
      <c r="D430" s="7"/>
      <c r="E430" s="470"/>
      <c r="G430" s="6"/>
      <c r="H430" s="6"/>
      <c r="K430" s="6"/>
      <c r="L430" s="6"/>
      <c r="M430" s="6"/>
    </row>
    <row r="431" spans="1:21" ht="18" customHeight="1" x14ac:dyDescent="0.25">
      <c r="A431" s="27"/>
      <c r="B431" s="7"/>
      <c r="C431" s="7"/>
      <c r="D431" s="7"/>
      <c r="E431" s="470"/>
      <c r="G431" s="6"/>
      <c r="H431" s="6"/>
      <c r="K431" s="6"/>
      <c r="L431" s="6"/>
      <c r="M431" s="6"/>
    </row>
    <row r="432" spans="1:21" ht="18" customHeight="1" x14ac:dyDescent="0.25">
      <c r="A432" s="490" t="s">
        <v>56</v>
      </c>
      <c r="B432" s="490"/>
      <c r="C432" s="490"/>
      <c r="D432" s="490"/>
      <c r="E432" s="472" t="s">
        <v>421</v>
      </c>
      <c r="F432" s="492" t="s">
        <v>51</v>
      </c>
      <c r="G432" s="492"/>
      <c r="H432" s="492"/>
      <c r="I432" s="161"/>
      <c r="J432" s="161"/>
      <c r="K432" s="161"/>
      <c r="L432" s="492" t="s">
        <v>423</v>
      </c>
      <c r="M432" s="492"/>
      <c r="N432" s="492"/>
    </row>
    <row r="433" spans="1:14" ht="18" customHeight="1" x14ac:dyDescent="0.25">
      <c r="A433" s="490" t="s">
        <v>29</v>
      </c>
      <c r="B433" s="490"/>
      <c r="C433" s="490"/>
      <c r="D433" s="490"/>
      <c r="E433" s="472" t="s">
        <v>419</v>
      </c>
      <c r="F433" s="493" t="s">
        <v>58</v>
      </c>
      <c r="G433" s="493"/>
      <c r="H433" s="493"/>
      <c r="I433" s="161"/>
      <c r="J433" s="161"/>
      <c r="K433" s="161"/>
      <c r="L433" s="493" t="s">
        <v>425</v>
      </c>
      <c r="M433" s="493"/>
      <c r="N433" s="493"/>
    </row>
    <row r="434" spans="1:14" ht="18" customHeight="1" x14ac:dyDescent="0.25">
      <c r="A434" s="490" t="s">
        <v>57</v>
      </c>
      <c r="B434" s="490"/>
      <c r="C434" s="490"/>
      <c r="D434" s="490"/>
      <c r="E434" s="472" t="s">
        <v>420</v>
      </c>
      <c r="F434" s="492" t="s">
        <v>47</v>
      </c>
      <c r="G434" s="492"/>
      <c r="H434" s="492"/>
      <c r="I434" s="161"/>
      <c r="J434" s="161"/>
      <c r="K434" s="161"/>
      <c r="L434" s="492" t="s">
        <v>424</v>
      </c>
      <c r="M434" s="492"/>
      <c r="N434" s="492"/>
    </row>
  </sheetData>
  <mergeCells count="33"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  <mergeCell ref="B17:D17"/>
    <mergeCell ref="A426:D426"/>
    <mergeCell ref="A427:D427"/>
    <mergeCell ref="F427:H427"/>
    <mergeCell ref="L427:N427"/>
    <mergeCell ref="A425:D425"/>
    <mergeCell ref="L425:N425"/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</mergeCells>
  <printOptions horizontalCentered="1"/>
  <pageMargins left="0.19685039370078741" right="0.19685039370078741" top="0.39370078740157483" bottom="0.19685039370078741" header="0.31496062992125984" footer="0.31496062992125984"/>
  <pageSetup paperSize="300" scale="56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U434"/>
  <sheetViews>
    <sheetView showGridLines="0" view="pageBreakPreview" zoomScale="90" zoomScaleNormal="85" zoomScaleSheetLayoutView="90" workbookViewId="0">
      <pane xSplit="4" ySplit="16" topLeftCell="G420" activePane="bottomRight" state="frozen"/>
      <selection pane="topRight" activeCell="D1" sqref="D1"/>
      <selection pane="bottomLeft" activeCell="A17" sqref="A17"/>
      <selection pane="bottomRight" activeCell="D11" sqref="D11"/>
    </sheetView>
  </sheetViews>
  <sheetFormatPr defaultRowHeight="15" customHeight="1" x14ac:dyDescent="0.25"/>
  <cols>
    <col min="1" max="1" width="6" style="293" customWidth="1"/>
    <col min="2" max="2" width="11.5703125" style="293" customWidth="1"/>
    <col min="3" max="3" width="13.7109375" style="293" customWidth="1"/>
    <col min="4" max="4" width="15.85546875" style="293" customWidth="1"/>
    <col min="5" max="5" width="68.5703125" style="293" customWidth="1"/>
    <col min="6" max="6" width="18.140625" style="293" customWidth="1"/>
    <col min="7" max="7" width="16.85546875" style="293" customWidth="1"/>
    <col min="8" max="8" width="15.85546875" style="293" customWidth="1"/>
    <col min="9" max="9" width="18.7109375" style="293" customWidth="1"/>
    <col min="10" max="10" width="15" style="293" customWidth="1"/>
    <col min="11" max="11" width="14" style="293" customWidth="1"/>
    <col min="12" max="12" width="15.140625" style="293" customWidth="1"/>
    <col min="13" max="13" width="16.7109375" style="293" customWidth="1"/>
    <col min="14" max="14" width="19.28515625" style="293" customWidth="1"/>
    <col min="15" max="15" width="4.28515625" style="293" customWidth="1"/>
    <col min="16" max="16" width="18.42578125" style="294" customWidth="1"/>
    <col min="17" max="17" width="14.85546875" style="293" customWidth="1"/>
    <col min="18" max="18" width="15.42578125" style="293" customWidth="1"/>
    <col min="19" max="19" width="20.140625" style="295" customWidth="1"/>
    <col min="20" max="20" width="25.7109375" style="295" customWidth="1"/>
    <col min="21" max="21" width="26.140625" style="293" customWidth="1"/>
    <col min="22" max="16384" width="9.140625" style="293"/>
  </cols>
  <sheetData>
    <row r="1" spans="1:18" s="295" customFormat="1" ht="15" customHeight="1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293"/>
      <c r="P1" s="294"/>
      <c r="Q1" s="293"/>
      <c r="R1" s="293"/>
    </row>
    <row r="2" spans="1:18" s="295" customFormat="1" ht="15" customHeight="1" x14ac:dyDescent="0.25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293"/>
      <c r="P2" s="294"/>
      <c r="Q2" s="293"/>
      <c r="R2" s="293"/>
    </row>
    <row r="3" spans="1:18" s="295" customFormat="1" ht="15" customHeight="1" x14ac:dyDescent="0.25">
      <c r="A3" s="522" t="s">
        <v>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293"/>
      <c r="P3" s="294"/>
      <c r="Q3" s="293"/>
      <c r="R3" s="293"/>
    </row>
    <row r="4" spans="1:18" s="295" customFormat="1" ht="15" customHeight="1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  <c r="Q4" s="293"/>
      <c r="R4" s="293"/>
    </row>
    <row r="5" spans="1:18" s="295" customFormat="1" ht="15" customHeight="1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4"/>
      <c r="Q5" s="293"/>
      <c r="R5" s="293"/>
    </row>
    <row r="6" spans="1:18" s="295" customFormat="1" ht="15" customHeight="1" x14ac:dyDescent="0.25">
      <c r="A6" s="293" t="s">
        <v>3</v>
      </c>
      <c r="B6" s="293"/>
      <c r="C6" s="293"/>
      <c r="D6" s="293" t="s">
        <v>45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Q6" s="293"/>
      <c r="R6" s="293"/>
    </row>
    <row r="7" spans="1:18" s="295" customFormat="1" ht="15" customHeight="1" x14ac:dyDescent="0.25">
      <c r="A7" s="293" t="s">
        <v>4</v>
      </c>
      <c r="B7" s="293"/>
      <c r="C7" s="293"/>
      <c r="D7" s="293" t="s">
        <v>55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4"/>
      <c r="Q7" s="293"/>
      <c r="R7" s="293"/>
    </row>
    <row r="8" spans="1:18" s="295" customFormat="1" ht="15" customHeight="1" x14ac:dyDescent="0.25">
      <c r="A8" s="293" t="s">
        <v>5</v>
      </c>
      <c r="B8" s="293"/>
      <c r="C8" s="293"/>
      <c r="D8" s="504" t="s">
        <v>50</v>
      </c>
      <c r="E8" s="504"/>
      <c r="F8" s="504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293"/>
      <c r="R8" s="293"/>
    </row>
    <row r="9" spans="1:18" s="295" customFormat="1" ht="15" customHeight="1" x14ac:dyDescent="0.25">
      <c r="A9" s="293" t="s">
        <v>6</v>
      </c>
      <c r="B9" s="293"/>
      <c r="C9" s="293"/>
      <c r="D9" s="293" t="s">
        <v>449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4"/>
      <c r="Q9" s="293"/>
      <c r="R9" s="296"/>
    </row>
    <row r="10" spans="1:18" s="295" customFormat="1" ht="15" customHeight="1" x14ac:dyDescent="0.25">
      <c r="A10" s="293" t="s">
        <v>7</v>
      </c>
      <c r="B10" s="293"/>
      <c r="C10" s="293"/>
      <c r="D10" s="293" t="s">
        <v>489</v>
      </c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4"/>
      <c r="Q10" s="293"/>
      <c r="R10" s="296"/>
    </row>
    <row r="11" spans="1:18" s="295" customFormat="1" ht="15" customHeight="1" x14ac:dyDescent="0.25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4"/>
      <c r="Q11" s="293"/>
      <c r="R11" s="296"/>
    </row>
    <row r="12" spans="1:18" s="295" customFormat="1" ht="15" customHeight="1" x14ac:dyDescent="0.25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4"/>
      <c r="Q12" s="293"/>
      <c r="R12" s="296"/>
    </row>
    <row r="13" spans="1:18" s="295" customFormat="1" ht="15" customHeight="1" x14ac:dyDescent="0.25">
      <c r="A13" s="523" t="s">
        <v>37</v>
      </c>
      <c r="B13" s="525" t="s">
        <v>10</v>
      </c>
      <c r="C13" s="526"/>
      <c r="D13" s="527"/>
      <c r="E13" s="531" t="s">
        <v>8</v>
      </c>
      <c r="F13" s="531" t="s">
        <v>9</v>
      </c>
      <c r="G13" s="533" t="s">
        <v>14</v>
      </c>
      <c r="H13" s="533"/>
      <c r="I13" s="533"/>
      <c r="J13" s="533" t="s">
        <v>15</v>
      </c>
      <c r="K13" s="533"/>
      <c r="L13" s="533"/>
      <c r="M13" s="531" t="s">
        <v>17</v>
      </c>
      <c r="N13" s="531" t="s">
        <v>16</v>
      </c>
      <c r="O13" s="293"/>
      <c r="P13" s="294"/>
      <c r="Q13" s="293"/>
      <c r="R13" s="296"/>
    </row>
    <row r="14" spans="1:18" s="295" customFormat="1" ht="15" customHeight="1" x14ac:dyDescent="0.25">
      <c r="A14" s="524"/>
      <c r="B14" s="528"/>
      <c r="C14" s="529"/>
      <c r="D14" s="530"/>
      <c r="E14" s="531"/>
      <c r="F14" s="532"/>
      <c r="G14" s="481" t="s">
        <v>11</v>
      </c>
      <c r="H14" s="481" t="s">
        <v>12</v>
      </c>
      <c r="I14" s="481" t="s">
        <v>13</v>
      </c>
      <c r="J14" s="481" t="s">
        <v>11</v>
      </c>
      <c r="K14" s="481" t="s">
        <v>12</v>
      </c>
      <c r="L14" s="481" t="s">
        <v>13</v>
      </c>
      <c r="M14" s="531"/>
      <c r="N14" s="531"/>
      <c r="O14" s="293"/>
      <c r="P14" s="294"/>
      <c r="Q14" s="293"/>
      <c r="R14" s="298"/>
    </row>
    <row r="15" spans="1:18" s="295" customFormat="1" ht="15" customHeight="1" x14ac:dyDescent="0.25">
      <c r="A15" s="299"/>
      <c r="B15" s="516">
        <v>1</v>
      </c>
      <c r="C15" s="517"/>
      <c r="D15" s="518"/>
      <c r="E15" s="482">
        <v>2</v>
      </c>
      <c r="F15" s="482">
        <v>3</v>
      </c>
      <c r="G15" s="482">
        <v>7</v>
      </c>
      <c r="H15" s="482">
        <v>8</v>
      </c>
      <c r="I15" s="482" t="s">
        <v>18</v>
      </c>
      <c r="J15" s="482">
        <v>10</v>
      </c>
      <c r="K15" s="482">
        <v>11</v>
      </c>
      <c r="L15" s="482" t="s">
        <v>19</v>
      </c>
      <c r="M15" s="482" t="s">
        <v>155</v>
      </c>
      <c r="N15" s="482" t="s">
        <v>36</v>
      </c>
      <c r="O15" s="293"/>
      <c r="P15" s="294"/>
      <c r="Q15" s="293"/>
      <c r="R15" s="293"/>
    </row>
    <row r="16" spans="1:18" s="295" customFormat="1" ht="15" customHeight="1" x14ac:dyDescent="0.25">
      <c r="A16" s="301"/>
      <c r="B16" s="519"/>
      <c r="C16" s="520"/>
      <c r="D16" s="521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293"/>
      <c r="P16" s="294"/>
      <c r="Q16" s="293"/>
      <c r="R16" s="293"/>
    </row>
    <row r="17" spans="1:21" ht="17.100000000000001" customHeight="1" x14ac:dyDescent="0.25">
      <c r="A17" s="303"/>
      <c r="B17" s="534" t="s">
        <v>20</v>
      </c>
      <c r="C17" s="535"/>
      <c r="D17" s="536"/>
      <c r="E17" s="303"/>
      <c r="F17" s="304">
        <f>+F18+F47+F122+F138+F239+F247+F298+F350</f>
        <v>428263811167</v>
      </c>
      <c r="G17" s="304">
        <f>+G18+G47+G122+G138+G239+G247+G298+G350</f>
        <v>48555973852</v>
      </c>
      <c r="H17" s="304">
        <f>+H18+H47+H122+H138+H239+H247+H298+H350</f>
        <v>12206513922</v>
      </c>
      <c r="I17" s="304">
        <f>+G17+H17</f>
        <v>60762487774</v>
      </c>
      <c r="J17" s="304">
        <f>+J18+J47+J122+J138+J239+J247+J298+J350</f>
        <v>776308849</v>
      </c>
      <c r="K17" s="304">
        <f>+K18+K47+K122+K138+K239+K247+K298+K350</f>
        <v>117840763</v>
      </c>
      <c r="L17" s="304">
        <f>+J17+K17</f>
        <v>894149612</v>
      </c>
      <c r="M17" s="304">
        <f>+I17+L17</f>
        <v>61656637386</v>
      </c>
      <c r="N17" s="304">
        <f>+F17-M17</f>
        <v>366607173781</v>
      </c>
      <c r="R17" s="298"/>
      <c r="U17" s="294">
        <f>178000000+33460000+79728000+22342995000+29162378+3014333670+6242819000+179060000+4822000000+316799545+177216575</f>
        <v>37415574168</v>
      </c>
    </row>
    <row r="18" spans="1:21" s="309" customFormat="1" ht="18" customHeight="1" x14ac:dyDescent="0.25">
      <c r="A18" s="276"/>
      <c r="B18" s="305" t="s">
        <v>336</v>
      </c>
      <c r="C18" s="305"/>
      <c r="D18" s="305"/>
      <c r="E18" s="306" t="s">
        <v>335</v>
      </c>
      <c r="F18" s="307">
        <f>+F19+F32</f>
        <v>276269500</v>
      </c>
      <c r="G18" s="308">
        <f>+G19+G32</f>
        <v>0</v>
      </c>
      <c r="H18" s="308">
        <f>+H19+H32</f>
        <v>0</v>
      </c>
      <c r="I18" s="308">
        <f>+G18+H18</f>
        <v>0</v>
      </c>
      <c r="J18" s="308">
        <f>+J19+J32</f>
        <v>72996000</v>
      </c>
      <c r="K18" s="308">
        <f>+K19+K32</f>
        <v>4500000</v>
      </c>
      <c r="L18" s="308">
        <f>+J18+K18</f>
        <v>77496000</v>
      </c>
      <c r="M18" s="308">
        <f>+I18+L18</f>
        <v>77496000</v>
      </c>
      <c r="N18" s="307">
        <f>+F18-M18</f>
        <v>198773500</v>
      </c>
      <c r="P18" s="310">
        <f>+N19+N32+N48+N113+N123+N139+N165+N173+N184+N206+N240+N248+N256+N269+N278+N299+N312+N331+N337+N343+N351+N357+N369+N375</f>
        <v>366607173781</v>
      </c>
      <c r="Q18" s="309" t="s">
        <v>332</v>
      </c>
      <c r="R18" s="311"/>
      <c r="S18" s="312" t="s">
        <v>427</v>
      </c>
      <c r="T18" s="313"/>
    </row>
    <row r="19" spans="1:21" s="319" customFormat="1" ht="18" customHeight="1" x14ac:dyDescent="0.25">
      <c r="A19" s="275">
        <v>1</v>
      </c>
      <c r="B19" s="314"/>
      <c r="C19" s="314" t="s">
        <v>61</v>
      </c>
      <c r="D19" s="315"/>
      <c r="E19" s="316" t="s">
        <v>62</v>
      </c>
      <c r="F19" s="317">
        <f t="shared" ref="F19:H20" si="0">+F20</f>
        <v>117975500</v>
      </c>
      <c r="G19" s="318">
        <f t="shared" si="0"/>
        <v>0</v>
      </c>
      <c r="H19" s="318">
        <f t="shared" si="0"/>
        <v>0</v>
      </c>
      <c r="I19" s="318">
        <f>+G19+H19</f>
        <v>0</v>
      </c>
      <c r="J19" s="318">
        <f>+J20</f>
        <v>44157500</v>
      </c>
      <c r="K19" s="318">
        <f>+K20</f>
        <v>0</v>
      </c>
      <c r="L19" s="318">
        <f>+J19+K19</f>
        <v>44157500</v>
      </c>
      <c r="M19" s="318">
        <f>+I19+L19</f>
        <v>44157500</v>
      </c>
      <c r="N19" s="317">
        <f>+F19-M19</f>
        <v>73818000</v>
      </c>
      <c r="P19" s="320"/>
      <c r="R19" s="321"/>
      <c r="S19" s="322">
        <f>SUM(S24:S361)</f>
        <v>117840763</v>
      </c>
      <c r="T19" s="322">
        <f>SUM(T24:T434)</f>
        <v>12206513922</v>
      </c>
    </row>
    <row r="20" spans="1:21" s="329" customFormat="1" ht="18" customHeight="1" x14ac:dyDescent="0.25">
      <c r="A20" s="323"/>
      <c r="B20" s="324"/>
      <c r="C20" s="324"/>
      <c r="D20" s="325" t="s">
        <v>207</v>
      </c>
      <c r="E20" s="326" t="s">
        <v>262</v>
      </c>
      <c r="F20" s="327">
        <f t="shared" si="0"/>
        <v>117975500</v>
      </c>
      <c r="G20" s="328">
        <f t="shared" si="0"/>
        <v>0</v>
      </c>
      <c r="H20" s="328">
        <f t="shared" si="0"/>
        <v>0</v>
      </c>
      <c r="I20" s="328">
        <f>+G20+H20</f>
        <v>0</v>
      </c>
      <c r="J20" s="328">
        <f>+J21</f>
        <v>44157500</v>
      </c>
      <c r="K20" s="328">
        <f>+K21</f>
        <v>0</v>
      </c>
      <c r="L20" s="328">
        <f t="shared" ref="L20:L28" si="1">+J20+K20</f>
        <v>44157500</v>
      </c>
      <c r="M20" s="328">
        <f>+I20+L20</f>
        <v>44157500</v>
      </c>
      <c r="N20" s="327">
        <f>+F20-M20</f>
        <v>73818000</v>
      </c>
      <c r="P20" s="330"/>
      <c r="R20" s="331"/>
      <c r="S20" s="332"/>
      <c r="T20" s="332"/>
      <c r="U20" s="333"/>
    </row>
    <row r="21" spans="1:21" s="339" customFormat="1" ht="18" customHeight="1" x14ac:dyDescent="0.25">
      <c r="A21" s="334"/>
      <c r="B21" s="335"/>
      <c r="C21" s="335"/>
      <c r="D21" s="335" t="s">
        <v>63</v>
      </c>
      <c r="E21" s="336" t="s">
        <v>30</v>
      </c>
      <c r="F21" s="337">
        <f>+F22+F29</f>
        <v>117975500</v>
      </c>
      <c r="G21" s="338">
        <f>+G22+G29</f>
        <v>0</v>
      </c>
      <c r="H21" s="338">
        <f>+H22+H29</f>
        <v>0</v>
      </c>
      <c r="I21" s="338">
        <f>+G21+H21</f>
        <v>0</v>
      </c>
      <c r="J21" s="338">
        <f>+J22+J29</f>
        <v>44157500</v>
      </c>
      <c r="K21" s="338">
        <f>+K22+K29</f>
        <v>0</v>
      </c>
      <c r="L21" s="338">
        <f>+J21+K21</f>
        <v>44157500</v>
      </c>
      <c r="M21" s="338">
        <f>+I21+L21</f>
        <v>44157500</v>
      </c>
      <c r="N21" s="337">
        <f>+F21-M21</f>
        <v>73818000</v>
      </c>
      <c r="P21" s="340">
        <f>H386+H387+K386+K387</f>
        <v>12656079209</v>
      </c>
      <c r="Q21" s="339" t="s">
        <v>334</v>
      </c>
      <c r="S21" s="341"/>
      <c r="T21" s="341"/>
      <c r="U21" s="342"/>
    </row>
    <row r="22" spans="1:21" s="339" customFormat="1" ht="18" customHeight="1" x14ac:dyDescent="0.25">
      <c r="A22" s="334"/>
      <c r="B22" s="335"/>
      <c r="C22" s="335"/>
      <c r="D22" s="335" t="s">
        <v>263</v>
      </c>
      <c r="E22" s="336" t="s">
        <v>264</v>
      </c>
      <c r="F22" s="337">
        <f>+F23</f>
        <v>65295500</v>
      </c>
      <c r="G22" s="338">
        <f>+G23</f>
        <v>0</v>
      </c>
      <c r="H22" s="338">
        <f>+H23</f>
        <v>0</v>
      </c>
      <c r="I22" s="338">
        <f t="shared" ref="I22:I31" si="2">+G22+H22</f>
        <v>0</v>
      </c>
      <c r="J22" s="338">
        <f>+J23</f>
        <v>31587500</v>
      </c>
      <c r="K22" s="338">
        <f>+K23</f>
        <v>0</v>
      </c>
      <c r="L22" s="338">
        <f t="shared" si="1"/>
        <v>31587500</v>
      </c>
      <c r="M22" s="338">
        <f t="shared" ref="M22:M31" si="3">+I22+L22</f>
        <v>31587500</v>
      </c>
      <c r="N22" s="337">
        <f t="shared" ref="N22:N31" si="4">+F22-M22</f>
        <v>33708000</v>
      </c>
      <c r="P22" s="343">
        <f>+H17+K17</f>
        <v>12324354685</v>
      </c>
      <c r="Q22" s="339" t="s">
        <v>333</v>
      </c>
      <c r="S22" s="341"/>
      <c r="T22" s="341"/>
      <c r="U22" s="342"/>
    </row>
    <row r="23" spans="1:21" s="339" customFormat="1" ht="18" customHeight="1" x14ac:dyDescent="0.25">
      <c r="A23" s="334"/>
      <c r="B23" s="335"/>
      <c r="C23" s="335"/>
      <c r="D23" s="335" t="s">
        <v>64</v>
      </c>
      <c r="E23" s="335" t="s">
        <v>65</v>
      </c>
      <c r="F23" s="337">
        <f>SUM(F24:F28)</f>
        <v>65295500</v>
      </c>
      <c r="G23" s="344">
        <f>SUM(G24:G28)</f>
        <v>0</v>
      </c>
      <c r="H23" s="344">
        <f>SUM(H24:H28)</f>
        <v>0</v>
      </c>
      <c r="I23" s="338">
        <f>+G23+H23</f>
        <v>0</v>
      </c>
      <c r="J23" s="338">
        <f>+SUM(J24:J28)</f>
        <v>31587500</v>
      </c>
      <c r="K23" s="338">
        <f>+SUM(K24:K28)</f>
        <v>0</v>
      </c>
      <c r="L23" s="338">
        <f>+J23+K23</f>
        <v>31587500</v>
      </c>
      <c r="M23" s="338">
        <f>+I23+L23</f>
        <v>31587500</v>
      </c>
      <c r="N23" s="337">
        <f>+F23-M23</f>
        <v>33708000</v>
      </c>
      <c r="P23" s="340"/>
      <c r="S23" s="341"/>
      <c r="T23" s="341"/>
      <c r="U23" s="342"/>
    </row>
    <row r="24" spans="1:21" s="339" customFormat="1" ht="18" customHeight="1" x14ac:dyDescent="0.25">
      <c r="A24" s="334"/>
      <c r="B24" s="335"/>
      <c r="C24" s="335"/>
      <c r="D24" s="335" t="s">
        <v>66</v>
      </c>
      <c r="E24" s="335" t="s">
        <v>67</v>
      </c>
      <c r="F24" s="337">
        <v>7554500</v>
      </c>
      <c r="G24" s="338"/>
      <c r="H24" s="338"/>
      <c r="I24" s="338">
        <f t="shared" si="2"/>
        <v>0</v>
      </c>
      <c r="J24" s="338">
        <v>7554500</v>
      </c>
      <c r="K24" s="338"/>
      <c r="L24" s="338">
        <f t="shared" si="1"/>
        <v>7554500</v>
      </c>
      <c r="M24" s="338">
        <f>+I24+L24</f>
        <v>7554500</v>
      </c>
      <c r="N24" s="337">
        <f t="shared" si="4"/>
        <v>0</v>
      </c>
      <c r="P24" s="340"/>
      <c r="S24" s="345"/>
      <c r="T24" s="345"/>
      <c r="U24" s="342"/>
    </row>
    <row r="25" spans="1:21" s="339" customFormat="1" ht="18" customHeight="1" x14ac:dyDescent="0.25">
      <c r="A25" s="334"/>
      <c r="B25" s="335"/>
      <c r="C25" s="335"/>
      <c r="D25" s="335" t="s">
        <v>337</v>
      </c>
      <c r="E25" s="335" t="s">
        <v>338</v>
      </c>
      <c r="F25" s="337">
        <v>6408000</v>
      </c>
      <c r="G25" s="338"/>
      <c r="H25" s="338"/>
      <c r="I25" s="338">
        <f>+G25+H25</f>
        <v>0</v>
      </c>
      <c r="J25" s="338">
        <v>6408000</v>
      </c>
      <c r="K25" s="338"/>
      <c r="L25" s="338">
        <f t="shared" si="1"/>
        <v>6408000</v>
      </c>
      <c r="M25" s="338">
        <f t="shared" si="3"/>
        <v>6408000</v>
      </c>
      <c r="N25" s="337">
        <f t="shared" si="4"/>
        <v>0</v>
      </c>
      <c r="P25" s="340"/>
      <c r="S25" s="345"/>
      <c r="T25" s="345"/>
      <c r="U25" s="342"/>
    </row>
    <row r="26" spans="1:21" s="339" customFormat="1" ht="18" customHeight="1" x14ac:dyDescent="0.25">
      <c r="A26" s="334"/>
      <c r="B26" s="335"/>
      <c r="C26" s="335"/>
      <c r="D26" s="335" t="s">
        <v>68</v>
      </c>
      <c r="E26" s="335" t="s">
        <v>69</v>
      </c>
      <c r="F26" s="337">
        <v>44208000</v>
      </c>
      <c r="G26" s="338"/>
      <c r="H26" s="338"/>
      <c r="I26" s="338">
        <f t="shared" si="2"/>
        <v>0</v>
      </c>
      <c r="J26" s="338">
        <v>17625000</v>
      </c>
      <c r="K26" s="338"/>
      <c r="L26" s="338">
        <f t="shared" si="1"/>
        <v>17625000</v>
      </c>
      <c r="M26" s="338">
        <f t="shared" si="3"/>
        <v>17625000</v>
      </c>
      <c r="N26" s="337">
        <f t="shared" si="4"/>
        <v>26583000</v>
      </c>
      <c r="P26" s="340">
        <f>5440000000+63000000+730000000+7470000000+6242819000+3024665072+31328939+4570000000+12239500000+3046850000+197720000+310724118</f>
        <v>43366607129</v>
      </c>
      <c r="Q26" s="339" t="s">
        <v>428</v>
      </c>
      <c r="S26" s="345"/>
      <c r="T26" s="345"/>
      <c r="U26" s="342"/>
    </row>
    <row r="27" spans="1:21" s="339" customFormat="1" ht="18" customHeight="1" x14ac:dyDescent="0.25">
      <c r="A27" s="334"/>
      <c r="B27" s="335"/>
      <c r="C27" s="335"/>
      <c r="D27" s="335" t="s">
        <v>339</v>
      </c>
      <c r="E27" s="335" t="s">
        <v>340</v>
      </c>
      <c r="F27" s="337">
        <v>2125000</v>
      </c>
      <c r="G27" s="338"/>
      <c r="H27" s="338"/>
      <c r="I27" s="338"/>
      <c r="J27" s="338"/>
      <c r="K27" s="338"/>
      <c r="L27" s="338">
        <f t="shared" si="1"/>
        <v>0</v>
      </c>
      <c r="M27" s="338">
        <f t="shared" si="3"/>
        <v>0</v>
      </c>
      <c r="N27" s="337">
        <f t="shared" si="4"/>
        <v>2125000</v>
      </c>
      <c r="P27" s="340"/>
      <c r="S27" s="345"/>
      <c r="T27" s="345"/>
      <c r="U27" s="342"/>
    </row>
    <row r="28" spans="1:21" s="339" customFormat="1" ht="18" customHeight="1" x14ac:dyDescent="0.25">
      <c r="A28" s="334"/>
      <c r="B28" s="335"/>
      <c r="C28" s="335"/>
      <c r="D28" s="335" t="s">
        <v>70</v>
      </c>
      <c r="E28" s="335" t="s">
        <v>33</v>
      </c>
      <c r="F28" s="337">
        <v>5000000</v>
      </c>
      <c r="G28" s="338"/>
      <c r="H28" s="338"/>
      <c r="I28" s="338"/>
      <c r="J28" s="338"/>
      <c r="K28" s="338"/>
      <c r="L28" s="338">
        <f t="shared" si="1"/>
        <v>0</v>
      </c>
      <c r="M28" s="338">
        <f t="shared" si="3"/>
        <v>0</v>
      </c>
      <c r="N28" s="337">
        <f t="shared" si="4"/>
        <v>5000000</v>
      </c>
      <c r="P28" s="340"/>
      <c r="S28" s="345"/>
      <c r="T28" s="345"/>
      <c r="U28" s="342"/>
    </row>
    <row r="29" spans="1:21" s="339" customFormat="1" ht="18" customHeight="1" x14ac:dyDescent="0.25">
      <c r="A29" s="334"/>
      <c r="B29" s="335"/>
      <c r="C29" s="335"/>
      <c r="D29" s="335" t="s">
        <v>271</v>
      </c>
      <c r="E29" s="336" t="s">
        <v>272</v>
      </c>
      <c r="F29" s="337">
        <f>+F30</f>
        <v>52680000</v>
      </c>
      <c r="G29" s="338">
        <f>+G30</f>
        <v>0</v>
      </c>
      <c r="H29" s="338">
        <f>+H30</f>
        <v>0</v>
      </c>
      <c r="I29" s="338">
        <f>+G29+H29</f>
        <v>0</v>
      </c>
      <c r="J29" s="338">
        <f>+J30</f>
        <v>12570000</v>
      </c>
      <c r="K29" s="338">
        <f>+K30</f>
        <v>0</v>
      </c>
      <c r="L29" s="338">
        <f>+J29+K29</f>
        <v>12570000</v>
      </c>
      <c r="M29" s="338">
        <f>+I29+L29</f>
        <v>12570000</v>
      </c>
      <c r="N29" s="337">
        <f t="shared" si="4"/>
        <v>40110000</v>
      </c>
      <c r="P29" s="340"/>
      <c r="S29" s="341"/>
      <c r="T29" s="341"/>
      <c r="U29" s="342"/>
    </row>
    <row r="30" spans="1:21" s="339" customFormat="1" ht="18" customHeight="1" x14ac:dyDescent="0.25">
      <c r="A30" s="334"/>
      <c r="B30" s="335"/>
      <c r="C30" s="335"/>
      <c r="D30" s="335" t="s">
        <v>81</v>
      </c>
      <c r="E30" s="335" t="s">
        <v>31</v>
      </c>
      <c r="F30" s="337">
        <f>SUM(F31:F31)</f>
        <v>52680000</v>
      </c>
      <c r="G30" s="344">
        <f>+G31</f>
        <v>0</v>
      </c>
      <c r="H30" s="338">
        <f>+SUM(H31:H31)</f>
        <v>0</v>
      </c>
      <c r="I30" s="338">
        <f t="shared" si="2"/>
        <v>0</v>
      </c>
      <c r="J30" s="338">
        <f>+SUM(J31:J31)</f>
        <v>12570000</v>
      </c>
      <c r="K30" s="338">
        <f>+SUM(K31:K31)</f>
        <v>0</v>
      </c>
      <c r="L30" s="338">
        <f>+J30+K30</f>
        <v>12570000</v>
      </c>
      <c r="M30" s="338">
        <f t="shared" si="3"/>
        <v>12570000</v>
      </c>
      <c r="N30" s="337">
        <f t="shared" si="4"/>
        <v>40110000</v>
      </c>
      <c r="P30" s="340"/>
      <c r="S30" s="341"/>
      <c r="T30" s="341"/>
      <c r="U30" s="342"/>
    </row>
    <row r="31" spans="1:21" s="339" customFormat="1" ht="18" customHeight="1" x14ac:dyDescent="0.25">
      <c r="A31" s="334"/>
      <c r="B31" s="335"/>
      <c r="C31" s="335"/>
      <c r="D31" s="335" t="s">
        <v>82</v>
      </c>
      <c r="E31" s="335" t="s">
        <v>83</v>
      </c>
      <c r="F31" s="337">
        <v>52680000</v>
      </c>
      <c r="G31" s="338"/>
      <c r="H31" s="338"/>
      <c r="I31" s="338">
        <f t="shared" si="2"/>
        <v>0</v>
      </c>
      <c r="J31" s="338">
        <v>12570000</v>
      </c>
      <c r="K31" s="338"/>
      <c r="L31" s="338">
        <f t="shared" ref="L31" si="5">+J31+K31</f>
        <v>12570000</v>
      </c>
      <c r="M31" s="338">
        <f t="shared" si="3"/>
        <v>12570000</v>
      </c>
      <c r="N31" s="337">
        <f t="shared" si="4"/>
        <v>40110000</v>
      </c>
      <c r="P31" s="340"/>
      <c r="S31" s="345"/>
      <c r="T31" s="347"/>
      <c r="U31" s="342"/>
    </row>
    <row r="32" spans="1:21" s="319" customFormat="1" ht="32.25" customHeight="1" x14ac:dyDescent="0.25">
      <c r="A32" s="275">
        <v>2</v>
      </c>
      <c r="B32" s="314"/>
      <c r="C32" s="314" t="s">
        <v>79</v>
      </c>
      <c r="D32" s="315"/>
      <c r="E32" s="348" t="s">
        <v>80</v>
      </c>
      <c r="F32" s="317">
        <f t="shared" ref="F32:H33" si="6">+F33</f>
        <v>158294000</v>
      </c>
      <c r="G32" s="318">
        <f t="shared" si="6"/>
        <v>0</v>
      </c>
      <c r="H32" s="318">
        <f t="shared" si="6"/>
        <v>0</v>
      </c>
      <c r="I32" s="318">
        <f>+G32+H32</f>
        <v>0</v>
      </c>
      <c r="J32" s="318">
        <f>+J33</f>
        <v>28838500</v>
      </c>
      <c r="K32" s="318">
        <f>+K33</f>
        <v>4500000</v>
      </c>
      <c r="L32" s="318">
        <f>+J32+K32</f>
        <v>33338500</v>
      </c>
      <c r="M32" s="318">
        <f>+I32+L32</f>
        <v>33338500</v>
      </c>
      <c r="N32" s="317">
        <f>+F32-M32</f>
        <v>124955500</v>
      </c>
      <c r="P32" s="320"/>
      <c r="R32" s="321"/>
      <c r="S32" s="349"/>
      <c r="T32" s="349"/>
      <c r="U32" s="350"/>
    </row>
    <row r="33" spans="1:21" s="329" customFormat="1" ht="18" customHeight="1" x14ac:dyDescent="0.25">
      <c r="A33" s="323"/>
      <c r="B33" s="324"/>
      <c r="C33" s="324"/>
      <c r="D33" s="325" t="s">
        <v>207</v>
      </c>
      <c r="E33" s="326" t="s">
        <v>262</v>
      </c>
      <c r="F33" s="327">
        <f t="shared" si="6"/>
        <v>158294000</v>
      </c>
      <c r="G33" s="328">
        <f t="shared" si="6"/>
        <v>0</v>
      </c>
      <c r="H33" s="328">
        <f t="shared" si="6"/>
        <v>0</v>
      </c>
      <c r="I33" s="328">
        <f t="shared" ref="I33:I37" si="7">+G33+H33</f>
        <v>0</v>
      </c>
      <c r="J33" s="328">
        <f>+J34</f>
        <v>28838500</v>
      </c>
      <c r="K33" s="328">
        <f>+K34</f>
        <v>4500000</v>
      </c>
      <c r="L33" s="328">
        <f t="shared" ref="L33:L35" si="8">+J33+K33</f>
        <v>33338500</v>
      </c>
      <c r="M33" s="328">
        <f>+I33+L33</f>
        <v>33338500</v>
      </c>
      <c r="N33" s="327">
        <f t="shared" ref="N33:N36" si="9">+F33-M33</f>
        <v>124955500</v>
      </c>
      <c r="P33" s="330"/>
      <c r="R33" s="331"/>
      <c r="S33" s="351"/>
      <c r="T33" s="351"/>
      <c r="U33" s="333"/>
    </row>
    <row r="34" spans="1:21" s="339" customFormat="1" ht="18" customHeight="1" x14ac:dyDescent="0.25">
      <c r="A34" s="334"/>
      <c r="B34" s="335"/>
      <c r="C34" s="335"/>
      <c r="D34" s="335" t="s">
        <v>63</v>
      </c>
      <c r="E34" s="336" t="s">
        <v>30</v>
      </c>
      <c r="F34" s="337">
        <f>+F35+F42</f>
        <v>158294000</v>
      </c>
      <c r="G34" s="338">
        <f>+G35+G42</f>
        <v>0</v>
      </c>
      <c r="H34" s="338">
        <f>+H35+H42</f>
        <v>0</v>
      </c>
      <c r="I34" s="338">
        <f t="shared" si="7"/>
        <v>0</v>
      </c>
      <c r="J34" s="338">
        <f>+J35+J42</f>
        <v>28838500</v>
      </c>
      <c r="K34" s="338">
        <f>+K35+K42</f>
        <v>4500000</v>
      </c>
      <c r="L34" s="338">
        <f t="shared" si="8"/>
        <v>33338500</v>
      </c>
      <c r="M34" s="338">
        <f t="shared" ref="M34:M35" si="10">+I34+L34</f>
        <v>33338500</v>
      </c>
      <c r="N34" s="337">
        <f t="shared" si="9"/>
        <v>124955500</v>
      </c>
      <c r="P34" s="340"/>
      <c r="S34" s="347"/>
      <c r="T34" s="347"/>
      <c r="U34" s="342"/>
    </row>
    <row r="35" spans="1:21" s="339" customFormat="1" ht="18" customHeight="1" x14ac:dyDescent="0.25">
      <c r="A35" s="334"/>
      <c r="B35" s="335"/>
      <c r="C35" s="335"/>
      <c r="D35" s="335" t="s">
        <v>263</v>
      </c>
      <c r="E35" s="336" t="s">
        <v>264</v>
      </c>
      <c r="F35" s="337">
        <f t="shared" ref="F35" si="11">+F36</f>
        <v>76694000</v>
      </c>
      <c r="G35" s="338">
        <f>+G36</f>
        <v>0</v>
      </c>
      <c r="H35" s="338">
        <f>+H36</f>
        <v>0</v>
      </c>
      <c r="I35" s="338">
        <f t="shared" si="7"/>
        <v>0</v>
      </c>
      <c r="J35" s="338">
        <f>+J36</f>
        <v>15938500</v>
      </c>
      <c r="K35" s="338">
        <f>+K36</f>
        <v>0</v>
      </c>
      <c r="L35" s="338">
        <f t="shared" si="8"/>
        <v>15938500</v>
      </c>
      <c r="M35" s="338">
        <f t="shared" si="10"/>
        <v>15938500</v>
      </c>
      <c r="N35" s="337">
        <f t="shared" si="9"/>
        <v>60755500</v>
      </c>
      <c r="P35" s="340"/>
      <c r="S35" s="347"/>
      <c r="T35" s="347"/>
      <c r="U35" s="342"/>
    </row>
    <row r="36" spans="1:21" s="339" customFormat="1" ht="18" customHeight="1" x14ac:dyDescent="0.25">
      <c r="A36" s="334"/>
      <c r="B36" s="335"/>
      <c r="C36" s="335"/>
      <c r="D36" s="335" t="s">
        <v>64</v>
      </c>
      <c r="E36" s="335" t="s">
        <v>65</v>
      </c>
      <c r="F36" s="337">
        <f>SUM(F37:F41)</f>
        <v>76694000</v>
      </c>
      <c r="G36" s="344">
        <f>SUM(G37:G41)</f>
        <v>0</v>
      </c>
      <c r="H36" s="344">
        <f>SUM(H37:H41)</f>
        <v>0</v>
      </c>
      <c r="I36" s="338">
        <f t="shared" si="7"/>
        <v>0</v>
      </c>
      <c r="J36" s="338">
        <f>SUM(J37:J41)</f>
        <v>15938500</v>
      </c>
      <c r="K36" s="338">
        <f>SUM(K37:K41)</f>
        <v>0</v>
      </c>
      <c r="L36" s="338">
        <f>+J36+K36</f>
        <v>15938500</v>
      </c>
      <c r="M36" s="338">
        <f>+I36+L36</f>
        <v>15938500</v>
      </c>
      <c r="N36" s="337">
        <f t="shared" si="9"/>
        <v>60755500</v>
      </c>
      <c r="P36" s="340"/>
      <c r="S36" s="347"/>
      <c r="T36" s="347"/>
      <c r="U36" s="342"/>
    </row>
    <row r="37" spans="1:21" s="339" customFormat="1" ht="18" customHeight="1" x14ac:dyDescent="0.25">
      <c r="A37" s="334"/>
      <c r="B37" s="352"/>
      <c r="C37" s="335"/>
      <c r="D37" s="335" t="s">
        <v>66</v>
      </c>
      <c r="E37" s="335" t="s">
        <v>67</v>
      </c>
      <c r="F37" s="337">
        <v>8160000</v>
      </c>
      <c r="G37" s="338"/>
      <c r="H37" s="338"/>
      <c r="I37" s="338">
        <f t="shared" si="7"/>
        <v>0</v>
      </c>
      <c r="J37" s="338">
        <v>8160000</v>
      </c>
      <c r="K37" s="338"/>
      <c r="L37" s="338">
        <f t="shared" ref="L37" si="12">+J37+K37</f>
        <v>8160000</v>
      </c>
      <c r="M37" s="338">
        <f t="shared" ref="M37" si="13">+I37+L37</f>
        <v>8160000</v>
      </c>
      <c r="N37" s="337">
        <f>+F37-M37</f>
        <v>0</v>
      </c>
      <c r="P37" s="340"/>
      <c r="S37" s="347"/>
      <c r="T37" s="347"/>
      <c r="U37" s="342"/>
    </row>
    <row r="38" spans="1:21" s="339" customFormat="1" ht="18" customHeight="1" x14ac:dyDescent="0.25">
      <c r="A38" s="334"/>
      <c r="B38" s="352"/>
      <c r="C38" s="335"/>
      <c r="D38" s="335" t="s">
        <v>337</v>
      </c>
      <c r="E38" s="335" t="s">
        <v>338</v>
      </c>
      <c r="F38" s="337">
        <v>5112000</v>
      </c>
      <c r="G38" s="338"/>
      <c r="H38" s="338"/>
      <c r="I38" s="338"/>
      <c r="J38" s="338">
        <v>0</v>
      </c>
      <c r="K38" s="338"/>
      <c r="L38" s="338">
        <f>+J38+K38</f>
        <v>0</v>
      </c>
      <c r="M38" s="338">
        <f>+I38+L38</f>
        <v>0</v>
      </c>
      <c r="N38" s="337">
        <f>+F38-M38</f>
        <v>5112000</v>
      </c>
      <c r="P38" s="340"/>
      <c r="S38" s="347"/>
      <c r="T38" s="347"/>
      <c r="U38" s="342"/>
    </row>
    <row r="39" spans="1:21" s="339" customFormat="1" ht="18" customHeight="1" x14ac:dyDescent="0.25">
      <c r="A39" s="334"/>
      <c r="B39" s="352"/>
      <c r="C39" s="335"/>
      <c r="D39" s="335" t="s">
        <v>68</v>
      </c>
      <c r="E39" s="335" t="s">
        <v>69</v>
      </c>
      <c r="F39" s="337">
        <v>36414000</v>
      </c>
      <c r="G39" s="338"/>
      <c r="H39" s="338"/>
      <c r="I39" s="338"/>
      <c r="J39" s="338">
        <v>5713500</v>
      </c>
      <c r="K39" s="338"/>
      <c r="L39" s="338">
        <f t="shared" ref="L39:L41" si="14">+J39+K39</f>
        <v>5713500</v>
      </c>
      <c r="M39" s="338">
        <f t="shared" ref="M39:M41" si="15">+I39+L39</f>
        <v>5713500</v>
      </c>
      <c r="N39" s="337">
        <f t="shared" ref="N39:N45" si="16">+F39-M39</f>
        <v>30700500</v>
      </c>
      <c r="P39" s="340"/>
      <c r="S39" s="347"/>
      <c r="T39" s="347"/>
      <c r="U39" s="342"/>
    </row>
    <row r="40" spans="1:21" s="339" customFormat="1" ht="18" customHeight="1" x14ac:dyDescent="0.25">
      <c r="A40" s="334"/>
      <c r="B40" s="352"/>
      <c r="C40" s="335"/>
      <c r="D40" s="335" t="s">
        <v>339</v>
      </c>
      <c r="E40" s="335" t="s">
        <v>340</v>
      </c>
      <c r="F40" s="337">
        <v>12008000</v>
      </c>
      <c r="G40" s="338"/>
      <c r="H40" s="338"/>
      <c r="I40" s="338"/>
      <c r="J40" s="338">
        <v>2065000</v>
      </c>
      <c r="K40" s="338"/>
      <c r="L40" s="338">
        <f t="shared" si="14"/>
        <v>2065000</v>
      </c>
      <c r="M40" s="338">
        <f t="shared" si="15"/>
        <v>2065000</v>
      </c>
      <c r="N40" s="337">
        <f t="shared" si="16"/>
        <v>9943000</v>
      </c>
      <c r="P40" s="340"/>
      <c r="S40" s="347"/>
      <c r="T40" s="347"/>
      <c r="U40" s="342"/>
    </row>
    <row r="41" spans="1:21" s="339" customFormat="1" ht="18" customHeight="1" x14ac:dyDescent="0.25">
      <c r="A41" s="334"/>
      <c r="B41" s="352"/>
      <c r="C41" s="335"/>
      <c r="D41" s="335" t="s">
        <v>70</v>
      </c>
      <c r="E41" s="335" t="s">
        <v>33</v>
      </c>
      <c r="F41" s="337">
        <v>15000000</v>
      </c>
      <c r="G41" s="338"/>
      <c r="H41" s="338"/>
      <c r="I41" s="338">
        <f>+G41+H41</f>
        <v>0</v>
      </c>
      <c r="J41" s="338"/>
      <c r="K41" s="338"/>
      <c r="L41" s="338">
        <f t="shared" si="14"/>
        <v>0</v>
      </c>
      <c r="M41" s="338">
        <f t="shared" si="15"/>
        <v>0</v>
      </c>
      <c r="N41" s="337">
        <f t="shared" si="16"/>
        <v>15000000</v>
      </c>
      <c r="P41" s="340"/>
      <c r="S41" s="347"/>
      <c r="T41" s="347"/>
      <c r="U41" s="342"/>
    </row>
    <row r="42" spans="1:21" s="339" customFormat="1" ht="18" customHeight="1" x14ac:dyDescent="0.25">
      <c r="A42" s="334"/>
      <c r="B42" s="335"/>
      <c r="C42" s="335"/>
      <c r="D42" s="335" t="s">
        <v>271</v>
      </c>
      <c r="E42" s="336" t="s">
        <v>272</v>
      </c>
      <c r="F42" s="337">
        <f>+F43</f>
        <v>81600000</v>
      </c>
      <c r="G42" s="338">
        <f>+G43</f>
        <v>0</v>
      </c>
      <c r="H42" s="338">
        <f>+H43</f>
        <v>0</v>
      </c>
      <c r="I42" s="338">
        <f t="shared" ref="I42:I45" si="17">+G42+H42</f>
        <v>0</v>
      </c>
      <c r="J42" s="338">
        <f>+J43</f>
        <v>12900000</v>
      </c>
      <c r="K42" s="338">
        <f>+K43</f>
        <v>4500000</v>
      </c>
      <c r="L42" s="338">
        <f>+J42+K42</f>
        <v>17400000</v>
      </c>
      <c r="M42" s="338">
        <f>+I42+L42</f>
        <v>17400000</v>
      </c>
      <c r="N42" s="337">
        <f t="shared" si="16"/>
        <v>64200000</v>
      </c>
      <c r="P42" s="340"/>
      <c r="S42" s="347"/>
      <c r="T42" s="347"/>
      <c r="U42" s="342"/>
    </row>
    <row r="43" spans="1:21" s="339" customFormat="1" ht="18" customHeight="1" x14ac:dyDescent="0.25">
      <c r="A43" s="334"/>
      <c r="B43" s="335"/>
      <c r="C43" s="335"/>
      <c r="D43" s="335" t="s">
        <v>81</v>
      </c>
      <c r="E43" s="335" t="s">
        <v>31</v>
      </c>
      <c r="F43" s="337">
        <f>SUM(F44:F45)</f>
        <v>81600000</v>
      </c>
      <c r="G43" s="344">
        <f>+G45</f>
        <v>0</v>
      </c>
      <c r="H43" s="338">
        <f>+SUM(H45:H45)</f>
        <v>0</v>
      </c>
      <c r="I43" s="338">
        <f t="shared" si="17"/>
        <v>0</v>
      </c>
      <c r="J43" s="338">
        <f>+SUM(J45:J45)</f>
        <v>12900000</v>
      </c>
      <c r="K43" s="338">
        <f>+SUM(K44:K45)</f>
        <v>4500000</v>
      </c>
      <c r="L43" s="338">
        <f t="shared" ref="L43:L45" si="18">+J43+K43</f>
        <v>17400000</v>
      </c>
      <c r="M43" s="338">
        <f t="shared" ref="M43:M45" si="19">+I43+L43</f>
        <v>17400000</v>
      </c>
      <c r="N43" s="337">
        <f t="shared" si="16"/>
        <v>64200000</v>
      </c>
      <c r="P43" s="340"/>
      <c r="S43" s="347"/>
      <c r="T43" s="347"/>
      <c r="U43" s="342"/>
    </row>
    <row r="44" spans="1:21" s="339" customFormat="1" ht="18" customHeight="1" x14ac:dyDescent="0.25">
      <c r="A44" s="334"/>
      <c r="B44" s="335"/>
      <c r="C44" s="335"/>
      <c r="D44" s="335" t="s">
        <v>451</v>
      </c>
      <c r="E44" s="335" t="s">
        <v>452</v>
      </c>
      <c r="F44" s="337">
        <v>30000000</v>
      </c>
      <c r="G44" s="338"/>
      <c r="H44" s="338"/>
      <c r="I44" s="338">
        <f t="shared" si="17"/>
        <v>0</v>
      </c>
      <c r="J44" s="338"/>
      <c r="K44" s="338">
        <f>3000000+1500000</f>
        <v>4500000</v>
      </c>
      <c r="L44" s="338">
        <f t="shared" si="18"/>
        <v>4500000</v>
      </c>
      <c r="M44" s="338">
        <f t="shared" si="19"/>
        <v>4500000</v>
      </c>
      <c r="N44" s="337">
        <f t="shared" si="16"/>
        <v>25500000</v>
      </c>
      <c r="P44" s="340"/>
      <c r="S44" s="346">
        <v>4500000</v>
      </c>
      <c r="T44" s="347"/>
      <c r="U44" s="342"/>
    </row>
    <row r="45" spans="1:21" s="339" customFormat="1" ht="18" customHeight="1" x14ac:dyDescent="0.25">
      <c r="A45" s="334"/>
      <c r="B45" s="335"/>
      <c r="C45" s="335"/>
      <c r="D45" s="335" t="s">
        <v>82</v>
      </c>
      <c r="E45" s="335" t="s">
        <v>83</v>
      </c>
      <c r="F45" s="337">
        <v>51600000</v>
      </c>
      <c r="G45" s="338"/>
      <c r="H45" s="338"/>
      <c r="I45" s="338">
        <f t="shared" si="17"/>
        <v>0</v>
      </c>
      <c r="J45" s="338">
        <v>12900000</v>
      </c>
      <c r="K45" s="338"/>
      <c r="L45" s="338">
        <f t="shared" si="18"/>
        <v>12900000</v>
      </c>
      <c r="M45" s="338">
        <f t="shared" si="19"/>
        <v>12900000</v>
      </c>
      <c r="N45" s="337">
        <f t="shared" si="16"/>
        <v>38700000</v>
      </c>
      <c r="P45" s="340"/>
      <c r="S45" s="345"/>
      <c r="T45" s="347"/>
      <c r="U45" s="342"/>
    </row>
    <row r="46" spans="1:21" s="153" customFormat="1" ht="18" customHeight="1" x14ac:dyDescent="0.25">
      <c r="A46" s="353"/>
      <c r="B46" s="354"/>
      <c r="C46" s="354"/>
      <c r="D46" s="355"/>
      <c r="E46" s="355"/>
      <c r="F46" s="356"/>
      <c r="G46" s="357"/>
      <c r="H46" s="357"/>
      <c r="I46" s="357"/>
      <c r="J46" s="357"/>
      <c r="K46" s="357"/>
      <c r="L46" s="357"/>
      <c r="M46" s="357"/>
      <c r="N46" s="356"/>
      <c r="P46" s="200"/>
      <c r="S46" s="221"/>
      <c r="T46" s="221"/>
      <c r="U46" s="254"/>
    </row>
    <row r="47" spans="1:21" s="319" customFormat="1" ht="18" customHeight="1" x14ac:dyDescent="0.25">
      <c r="A47" s="276"/>
      <c r="B47" s="305" t="s">
        <v>407</v>
      </c>
      <c r="C47" s="305"/>
      <c r="D47" s="305"/>
      <c r="E47" s="305" t="s">
        <v>408</v>
      </c>
      <c r="F47" s="359">
        <f>+F48+F113</f>
        <v>27970445142</v>
      </c>
      <c r="G47" s="360">
        <f>+G48</f>
        <v>1227550574</v>
      </c>
      <c r="H47" s="360">
        <f>+H48+H113</f>
        <v>2751918884</v>
      </c>
      <c r="I47" s="360">
        <f>+G47+H47</f>
        <v>3979469458</v>
      </c>
      <c r="J47" s="360">
        <f>+J114</f>
        <v>2990625</v>
      </c>
      <c r="K47" s="360">
        <f>+K114</f>
        <v>2950125</v>
      </c>
      <c r="L47" s="360">
        <f>+J47+K47</f>
        <v>5940750</v>
      </c>
      <c r="M47" s="360">
        <f>+I47+L47</f>
        <v>3985410208</v>
      </c>
      <c r="N47" s="359">
        <f>+F47-M47</f>
        <v>23985034934</v>
      </c>
      <c r="P47" s="361"/>
      <c r="R47" s="321"/>
      <c r="S47" s="362"/>
      <c r="T47" s="362"/>
      <c r="U47" s="350"/>
    </row>
    <row r="48" spans="1:21" s="319" customFormat="1" ht="18" customHeight="1" x14ac:dyDescent="0.25">
      <c r="A48" s="276">
        <v>3</v>
      </c>
      <c r="B48" s="305"/>
      <c r="C48" s="305" t="s">
        <v>156</v>
      </c>
      <c r="D48" s="363"/>
      <c r="E48" s="364" t="s">
        <v>157</v>
      </c>
      <c r="F48" s="307">
        <f>+F49</f>
        <v>27939292142</v>
      </c>
      <c r="G48" s="308">
        <f>+G49</f>
        <v>1227550574</v>
      </c>
      <c r="H48" s="308">
        <f>+H49</f>
        <v>2751918884</v>
      </c>
      <c r="I48" s="308">
        <f>+G48+H48</f>
        <v>3979469458</v>
      </c>
      <c r="J48" s="308">
        <f>+J49</f>
        <v>0</v>
      </c>
      <c r="K48" s="308">
        <f>+K49</f>
        <v>0</v>
      </c>
      <c r="L48" s="308">
        <f>+J48+K48</f>
        <v>0</v>
      </c>
      <c r="M48" s="308">
        <f>+I48+L48</f>
        <v>3979469458</v>
      </c>
      <c r="N48" s="307">
        <f>+F48-M48</f>
        <v>23959822684</v>
      </c>
      <c r="P48" s="320"/>
      <c r="R48" s="321"/>
      <c r="S48" s="349"/>
      <c r="T48" s="349"/>
      <c r="U48" s="350"/>
    </row>
    <row r="49" spans="1:21" s="329" customFormat="1" ht="18" customHeight="1" x14ac:dyDescent="0.25">
      <c r="A49" s="323"/>
      <c r="B49" s="324"/>
      <c r="C49" s="324"/>
      <c r="D49" s="325" t="s">
        <v>207</v>
      </c>
      <c r="E49" s="326" t="s">
        <v>262</v>
      </c>
      <c r="F49" s="327">
        <f t="shared" ref="F49" si="20">+F50</f>
        <v>27939292142</v>
      </c>
      <c r="G49" s="328">
        <f>+G50</f>
        <v>1227550574</v>
      </c>
      <c r="H49" s="328">
        <f>+H50</f>
        <v>2751918884</v>
      </c>
      <c r="I49" s="328">
        <f t="shared" ref="I49:I50" si="21">+G49+H49</f>
        <v>3979469458</v>
      </c>
      <c r="J49" s="328"/>
      <c r="K49" s="328">
        <f>+K50</f>
        <v>0</v>
      </c>
      <c r="L49" s="328">
        <f t="shared" ref="L49:L112" si="22">+J49+K49</f>
        <v>0</v>
      </c>
      <c r="M49" s="328">
        <f t="shared" ref="M49:M72" si="23">+I49+L49</f>
        <v>3979469458</v>
      </c>
      <c r="N49" s="327">
        <f t="shared" ref="N49:N54" si="24">+F49-M49</f>
        <v>23959822684</v>
      </c>
      <c r="P49" s="330"/>
      <c r="R49" s="331"/>
      <c r="S49" s="351"/>
      <c r="T49" s="351"/>
      <c r="U49" s="333"/>
    </row>
    <row r="50" spans="1:21" s="339" customFormat="1" ht="18" customHeight="1" x14ac:dyDescent="0.25">
      <c r="A50" s="334"/>
      <c r="B50" s="335"/>
      <c r="C50" s="335"/>
      <c r="D50" s="365" t="s">
        <v>158</v>
      </c>
      <c r="E50" s="335" t="s">
        <v>159</v>
      </c>
      <c r="F50" s="337">
        <f>F51+F76+F83+F101</f>
        <v>27939292142</v>
      </c>
      <c r="G50" s="344">
        <f>+G51+G83+G101+G76</f>
        <v>1227550574</v>
      </c>
      <c r="H50" s="344">
        <f>+H51+H83+H101+H76</f>
        <v>2751918884</v>
      </c>
      <c r="I50" s="344">
        <f t="shared" si="21"/>
        <v>3979469458</v>
      </c>
      <c r="J50" s="344"/>
      <c r="K50" s="344">
        <f>+K51+K76+K83+K101</f>
        <v>0</v>
      </c>
      <c r="L50" s="344">
        <f t="shared" si="22"/>
        <v>0</v>
      </c>
      <c r="M50" s="344">
        <f t="shared" si="23"/>
        <v>3979469458</v>
      </c>
      <c r="N50" s="337">
        <f t="shared" si="24"/>
        <v>23959822684</v>
      </c>
      <c r="P50" s="340"/>
      <c r="S50" s="347"/>
      <c r="T50" s="347"/>
      <c r="U50" s="342"/>
    </row>
    <row r="51" spans="1:21" s="339" customFormat="1" ht="18" customHeight="1" x14ac:dyDescent="0.25">
      <c r="A51" s="334"/>
      <c r="B51" s="335"/>
      <c r="C51" s="335"/>
      <c r="D51" s="365" t="s">
        <v>208</v>
      </c>
      <c r="E51" s="335" t="s">
        <v>209</v>
      </c>
      <c r="F51" s="337">
        <f>F52+F54+F56+F58+F60+F62+F64+F66+F68+F70+F72+F74</f>
        <v>15098272502</v>
      </c>
      <c r="G51" s="344">
        <f>+G52+G54+G56+G58+G60+G62+G64+G66+G68+G70+G72+G74</f>
        <v>957131786</v>
      </c>
      <c r="H51" s="344">
        <f>+H52+H54+H56+H58+H60+H62+H64+H66+H68+H70+H72+H74</f>
        <v>621695383</v>
      </c>
      <c r="I51" s="344">
        <f>+G51+H51</f>
        <v>1578827169</v>
      </c>
      <c r="J51" s="344"/>
      <c r="K51" s="344">
        <f>+K52+K54+K56+K58+K60+K62+K64+K66+K68+K70+K72+K74</f>
        <v>0</v>
      </c>
      <c r="L51" s="344">
        <f t="shared" si="22"/>
        <v>0</v>
      </c>
      <c r="M51" s="344">
        <f t="shared" si="23"/>
        <v>1578827169</v>
      </c>
      <c r="N51" s="337">
        <f t="shared" si="24"/>
        <v>13519445333</v>
      </c>
      <c r="P51" s="340"/>
      <c r="S51" s="347"/>
      <c r="T51" s="347"/>
      <c r="U51" s="342"/>
    </row>
    <row r="52" spans="1:21" s="339" customFormat="1" ht="18" customHeight="1" x14ac:dyDescent="0.25">
      <c r="A52" s="334"/>
      <c r="B52" s="335"/>
      <c r="C52" s="335"/>
      <c r="D52" s="365" t="s">
        <v>160</v>
      </c>
      <c r="E52" s="335" t="s">
        <v>162</v>
      </c>
      <c r="F52" s="337">
        <f>+F53</f>
        <v>13525507924</v>
      </c>
      <c r="G52" s="344">
        <f>+G53</f>
        <v>720932900</v>
      </c>
      <c r="H52" s="344">
        <f>+H53</f>
        <v>475305000</v>
      </c>
      <c r="I52" s="344">
        <f t="shared" ref="I52" si="25">+G52+H52</f>
        <v>1196237900</v>
      </c>
      <c r="J52" s="344"/>
      <c r="K52" s="344">
        <f>+K53</f>
        <v>0</v>
      </c>
      <c r="L52" s="344">
        <f>+J52+K52</f>
        <v>0</v>
      </c>
      <c r="M52" s="344">
        <f t="shared" si="23"/>
        <v>1196237900</v>
      </c>
      <c r="N52" s="337">
        <f t="shared" si="24"/>
        <v>12329270024</v>
      </c>
      <c r="P52" s="340"/>
      <c r="S52" s="347"/>
      <c r="T52" s="347"/>
      <c r="U52" s="342"/>
    </row>
    <row r="53" spans="1:21" s="339" customFormat="1" ht="18" customHeight="1" x14ac:dyDescent="0.25">
      <c r="A53" s="334"/>
      <c r="B53" s="335"/>
      <c r="C53" s="335"/>
      <c r="D53" s="365" t="s">
        <v>161</v>
      </c>
      <c r="E53" s="335" t="s">
        <v>163</v>
      </c>
      <c r="F53" s="337">
        <v>13525507924</v>
      </c>
      <c r="G53" s="344">
        <v>720932900</v>
      </c>
      <c r="H53" s="344">
        <f>236043300+239261700</f>
        <v>475305000</v>
      </c>
      <c r="I53" s="344">
        <f>+G53+H53</f>
        <v>1196237900</v>
      </c>
      <c r="J53" s="344"/>
      <c r="K53" s="344"/>
      <c r="L53" s="344">
        <f t="shared" si="22"/>
        <v>0</v>
      </c>
      <c r="M53" s="344">
        <f t="shared" si="23"/>
        <v>1196237900</v>
      </c>
      <c r="N53" s="337">
        <f t="shared" si="24"/>
        <v>12329270024</v>
      </c>
      <c r="P53" s="340"/>
      <c r="S53" s="347"/>
      <c r="T53" s="346">
        <f>236043300+239261700</f>
        <v>475305000</v>
      </c>
      <c r="U53" s="342"/>
    </row>
    <row r="54" spans="1:21" s="339" customFormat="1" ht="18" customHeight="1" x14ac:dyDescent="0.25">
      <c r="A54" s="334"/>
      <c r="B54" s="335"/>
      <c r="C54" s="335"/>
      <c r="D54" s="365" t="s">
        <v>164</v>
      </c>
      <c r="E54" s="335" t="s">
        <v>166</v>
      </c>
      <c r="F54" s="337">
        <f>+F55</f>
        <v>401878814</v>
      </c>
      <c r="G54" s="344">
        <f>+G55</f>
        <v>72338938</v>
      </c>
      <c r="H54" s="344">
        <f>+H55</f>
        <v>46809828</v>
      </c>
      <c r="I54" s="344">
        <f t="shared" ref="I54:I73" si="26">+G54+H54</f>
        <v>119148766</v>
      </c>
      <c r="J54" s="344"/>
      <c r="K54" s="344">
        <f>+K55</f>
        <v>0</v>
      </c>
      <c r="L54" s="344">
        <f>+J54+K54</f>
        <v>0</v>
      </c>
      <c r="M54" s="344">
        <f t="shared" si="23"/>
        <v>119148766</v>
      </c>
      <c r="N54" s="337">
        <f t="shared" si="24"/>
        <v>282730048</v>
      </c>
      <c r="P54" s="340"/>
      <c r="S54" s="347"/>
      <c r="T54" s="346"/>
      <c r="U54" s="342"/>
    </row>
    <row r="55" spans="1:21" s="339" customFormat="1" ht="18" customHeight="1" x14ac:dyDescent="0.25">
      <c r="A55" s="334"/>
      <c r="B55" s="335"/>
      <c r="C55" s="335"/>
      <c r="D55" s="365" t="s">
        <v>165</v>
      </c>
      <c r="E55" s="335" t="s">
        <v>167</v>
      </c>
      <c r="F55" s="337">
        <v>401878814</v>
      </c>
      <c r="G55" s="344">
        <v>72338938</v>
      </c>
      <c r="H55" s="344">
        <f>23328042+23481786</f>
        <v>46809828</v>
      </c>
      <c r="I55" s="344">
        <f t="shared" si="26"/>
        <v>119148766</v>
      </c>
      <c r="J55" s="344"/>
      <c r="K55" s="344"/>
      <c r="L55" s="344">
        <f t="shared" si="22"/>
        <v>0</v>
      </c>
      <c r="M55" s="344">
        <f t="shared" si="23"/>
        <v>119148766</v>
      </c>
      <c r="N55" s="337">
        <f>+F55-M55</f>
        <v>282730048</v>
      </c>
      <c r="P55" s="340"/>
      <c r="S55" s="347"/>
      <c r="T55" s="346">
        <f>23328042+23481786</f>
        <v>46809828</v>
      </c>
      <c r="U55" s="342"/>
    </row>
    <row r="56" spans="1:21" s="339" customFormat="1" ht="18" customHeight="1" x14ac:dyDescent="0.25">
      <c r="A56" s="334"/>
      <c r="B56" s="335"/>
      <c r="C56" s="335"/>
      <c r="D56" s="365" t="s">
        <v>168</v>
      </c>
      <c r="E56" s="335" t="s">
        <v>170</v>
      </c>
      <c r="F56" s="337">
        <f>+F57</f>
        <v>290052000</v>
      </c>
      <c r="G56" s="344">
        <f>+G57</f>
        <v>52875000</v>
      </c>
      <c r="H56" s="344">
        <f>+H57</f>
        <v>34530000</v>
      </c>
      <c r="I56" s="344">
        <f t="shared" si="26"/>
        <v>87405000</v>
      </c>
      <c r="J56" s="344"/>
      <c r="K56" s="344">
        <f>+K57</f>
        <v>0</v>
      </c>
      <c r="L56" s="344">
        <f t="shared" si="22"/>
        <v>0</v>
      </c>
      <c r="M56" s="344">
        <f t="shared" si="23"/>
        <v>87405000</v>
      </c>
      <c r="N56" s="337">
        <f t="shared" ref="N56:N58" si="27">+F56-M56</f>
        <v>202647000</v>
      </c>
      <c r="P56" s="340"/>
      <c r="S56" s="347"/>
      <c r="T56" s="346"/>
      <c r="U56" s="342"/>
    </row>
    <row r="57" spans="1:21" s="339" customFormat="1" ht="18" customHeight="1" x14ac:dyDescent="0.25">
      <c r="A57" s="334"/>
      <c r="B57" s="335"/>
      <c r="C57" s="335"/>
      <c r="D57" s="365" t="s">
        <v>169</v>
      </c>
      <c r="E57" s="335" t="s">
        <v>171</v>
      </c>
      <c r="F57" s="337">
        <v>290052000</v>
      </c>
      <c r="G57" s="344">
        <v>52875000</v>
      </c>
      <c r="H57" s="344">
        <f>17265000+17265000</f>
        <v>34530000</v>
      </c>
      <c r="I57" s="344">
        <f t="shared" si="26"/>
        <v>87405000</v>
      </c>
      <c r="J57" s="344"/>
      <c r="K57" s="344"/>
      <c r="L57" s="344">
        <f t="shared" si="22"/>
        <v>0</v>
      </c>
      <c r="M57" s="344">
        <f t="shared" si="23"/>
        <v>87405000</v>
      </c>
      <c r="N57" s="337">
        <f t="shared" si="27"/>
        <v>202647000</v>
      </c>
      <c r="P57" s="340"/>
      <c r="S57" s="347"/>
      <c r="T57" s="346">
        <f>17265000+17265000</f>
        <v>34530000</v>
      </c>
      <c r="U57" s="342"/>
    </row>
    <row r="58" spans="1:21" s="339" customFormat="1" ht="18" customHeight="1" x14ac:dyDescent="0.25">
      <c r="A58" s="334"/>
      <c r="B58" s="335"/>
      <c r="C58" s="335"/>
      <c r="D58" s="365" t="s">
        <v>172</v>
      </c>
      <c r="E58" s="335" t="s">
        <v>174</v>
      </c>
      <c r="F58" s="337">
        <f>+F59</f>
        <v>62496000</v>
      </c>
      <c r="G58" s="344">
        <f>+G59</f>
        <v>2880000</v>
      </c>
      <c r="H58" s="344">
        <f>+H59</f>
        <v>1920000</v>
      </c>
      <c r="I58" s="344">
        <f t="shared" si="26"/>
        <v>4800000</v>
      </c>
      <c r="J58" s="344"/>
      <c r="K58" s="344">
        <f>+K59</f>
        <v>0</v>
      </c>
      <c r="L58" s="344">
        <f t="shared" si="22"/>
        <v>0</v>
      </c>
      <c r="M58" s="344">
        <f t="shared" si="23"/>
        <v>4800000</v>
      </c>
      <c r="N58" s="337">
        <f t="shared" si="27"/>
        <v>57696000</v>
      </c>
      <c r="P58" s="340"/>
      <c r="S58" s="347"/>
      <c r="T58" s="346"/>
      <c r="U58" s="342"/>
    </row>
    <row r="59" spans="1:21" s="339" customFormat="1" ht="18" customHeight="1" x14ac:dyDescent="0.25">
      <c r="A59" s="334"/>
      <c r="B59" s="335"/>
      <c r="C59" s="335"/>
      <c r="D59" s="365" t="s">
        <v>173</v>
      </c>
      <c r="E59" s="335" t="s">
        <v>175</v>
      </c>
      <c r="F59" s="337">
        <v>62496000</v>
      </c>
      <c r="G59" s="344">
        <v>2880000</v>
      </c>
      <c r="H59" s="344">
        <f>960000+960000</f>
        <v>1920000</v>
      </c>
      <c r="I59" s="344">
        <f t="shared" si="26"/>
        <v>4800000</v>
      </c>
      <c r="J59" s="344"/>
      <c r="K59" s="344"/>
      <c r="L59" s="344">
        <f t="shared" si="22"/>
        <v>0</v>
      </c>
      <c r="M59" s="344">
        <f t="shared" si="23"/>
        <v>4800000</v>
      </c>
      <c r="N59" s="337">
        <f>+F59-M59</f>
        <v>57696000</v>
      </c>
      <c r="P59" s="340"/>
      <c r="S59" s="347"/>
      <c r="T59" s="346">
        <f>960000+960000</f>
        <v>1920000</v>
      </c>
      <c r="U59" s="342"/>
    </row>
    <row r="60" spans="1:21" s="339" customFormat="1" ht="18" customHeight="1" x14ac:dyDescent="0.25">
      <c r="A60" s="334"/>
      <c r="B60" s="335"/>
      <c r="C60" s="335"/>
      <c r="D60" s="365" t="s">
        <v>176</v>
      </c>
      <c r="E60" s="335" t="s">
        <v>178</v>
      </c>
      <c r="F60" s="337">
        <f>+F61</f>
        <v>126672000</v>
      </c>
      <c r="G60" s="344">
        <f>+G61</f>
        <v>23010000</v>
      </c>
      <c r="H60" s="344">
        <f>+H61</f>
        <v>15270000</v>
      </c>
      <c r="I60" s="344">
        <f t="shared" si="26"/>
        <v>38280000</v>
      </c>
      <c r="J60" s="344"/>
      <c r="K60" s="344">
        <f>+K61</f>
        <v>0</v>
      </c>
      <c r="L60" s="344">
        <f t="shared" si="22"/>
        <v>0</v>
      </c>
      <c r="M60" s="344">
        <f t="shared" si="23"/>
        <v>38280000</v>
      </c>
      <c r="N60" s="337">
        <f t="shared" ref="N60:N72" si="28">+F60-M60</f>
        <v>88392000</v>
      </c>
      <c r="P60" s="340"/>
      <c r="S60" s="347"/>
      <c r="T60" s="347"/>
      <c r="U60" s="342"/>
    </row>
    <row r="61" spans="1:21" s="339" customFormat="1" ht="18" customHeight="1" x14ac:dyDescent="0.25">
      <c r="A61" s="334"/>
      <c r="B61" s="335"/>
      <c r="C61" s="335"/>
      <c r="D61" s="365" t="s">
        <v>177</v>
      </c>
      <c r="E61" s="335" t="s">
        <v>179</v>
      </c>
      <c r="F61" s="337">
        <v>126672000</v>
      </c>
      <c r="G61" s="344">
        <v>23010000</v>
      </c>
      <c r="H61" s="344">
        <f>7545000+7725000</f>
        <v>15270000</v>
      </c>
      <c r="I61" s="344">
        <f t="shared" si="26"/>
        <v>38280000</v>
      </c>
      <c r="J61" s="344"/>
      <c r="K61" s="344"/>
      <c r="L61" s="344">
        <f t="shared" si="22"/>
        <v>0</v>
      </c>
      <c r="M61" s="344">
        <f t="shared" si="23"/>
        <v>38280000</v>
      </c>
      <c r="N61" s="337">
        <f t="shared" si="28"/>
        <v>88392000</v>
      </c>
      <c r="P61" s="340"/>
      <c r="S61" s="347"/>
      <c r="T61" s="346">
        <f>7545000+7725000</f>
        <v>15270000</v>
      </c>
      <c r="U61" s="342"/>
    </row>
    <row r="62" spans="1:21" s="339" customFormat="1" ht="18" customHeight="1" x14ac:dyDescent="0.25">
      <c r="A62" s="334"/>
      <c r="B62" s="335"/>
      <c r="C62" s="335"/>
      <c r="D62" s="365" t="s">
        <v>180</v>
      </c>
      <c r="E62" s="335" t="s">
        <v>182</v>
      </c>
      <c r="F62" s="337">
        <f>+F63</f>
        <v>237247920</v>
      </c>
      <c r="G62" s="344">
        <f>+G63</f>
        <v>42438120</v>
      </c>
      <c r="H62" s="344">
        <f>+H63</f>
        <v>27447180</v>
      </c>
      <c r="I62" s="344">
        <f t="shared" si="26"/>
        <v>69885300</v>
      </c>
      <c r="J62" s="344"/>
      <c r="K62" s="344">
        <f>+K63</f>
        <v>0</v>
      </c>
      <c r="L62" s="344">
        <f t="shared" si="22"/>
        <v>0</v>
      </c>
      <c r="M62" s="344">
        <f t="shared" si="23"/>
        <v>69885300</v>
      </c>
      <c r="N62" s="337">
        <f t="shared" si="28"/>
        <v>167362620</v>
      </c>
      <c r="P62" s="340"/>
      <c r="S62" s="347"/>
      <c r="T62" s="346"/>
      <c r="U62" s="342"/>
    </row>
    <row r="63" spans="1:21" s="339" customFormat="1" ht="18" customHeight="1" x14ac:dyDescent="0.25">
      <c r="A63" s="334"/>
      <c r="B63" s="335"/>
      <c r="C63" s="335"/>
      <c r="D63" s="365" t="s">
        <v>181</v>
      </c>
      <c r="E63" s="335" t="s">
        <v>183</v>
      </c>
      <c r="F63" s="337">
        <v>237247920</v>
      </c>
      <c r="G63" s="344">
        <v>42438120</v>
      </c>
      <c r="H63" s="344">
        <f>13614960+13832220</f>
        <v>27447180</v>
      </c>
      <c r="I63" s="344">
        <f t="shared" si="26"/>
        <v>69885300</v>
      </c>
      <c r="J63" s="344"/>
      <c r="K63" s="344"/>
      <c r="L63" s="344">
        <f t="shared" si="22"/>
        <v>0</v>
      </c>
      <c r="M63" s="344">
        <f t="shared" si="23"/>
        <v>69885300</v>
      </c>
      <c r="N63" s="337">
        <f t="shared" si="28"/>
        <v>167362620</v>
      </c>
      <c r="P63" s="340"/>
      <c r="S63" s="347"/>
      <c r="T63" s="346">
        <f>13614960+13832220</f>
        <v>27447180</v>
      </c>
      <c r="U63" s="342"/>
    </row>
    <row r="64" spans="1:21" s="339" customFormat="1" ht="18" customHeight="1" x14ac:dyDescent="0.25">
      <c r="A64" s="334"/>
      <c r="B64" s="335"/>
      <c r="C64" s="335"/>
      <c r="D64" s="365" t="s">
        <v>184</v>
      </c>
      <c r="E64" s="335" t="s">
        <v>186</v>
      </c>
      <c r="F64" s="337">
        <f>+F65</f>
        <v>202631050</v>
      </c>
      <c r="G64" s="344">
        <f>+G65</f>
        <v>844853</v>
      </c>
      <c r="H64" s="344">
        <f>+H65</f>
        <v>6562321</v>
      </c>
      <c r="I64" s="344">
        <f t="shared" si="26"/>
        <v>7407174</v>
      </c>
      <c r="J64" s="344"/>
      <c r="K64" s="344">
        <f>+K65</f>
        <v>0</v>
      </c>
      <c r="L64" s="344">
        <f t="shared" si="22"/>
        <v>0</v>
      </c>
      <c r="M64" s="344">
        <f t="shared" si="23"/>
        <v>7407174</v>
      </c>
      <c r="N64" s="337">
        <f t="shared" si="28"/>
        <v>195223876</v>
      </c>
      <c r="P64" s="340"/>
      <c r="S64" s="347"/>
      <c r="T64" s="346"/>
      <c r="U64" s="342"/>
    </row>
    <row r="65" spans="1:21" s="339" customFormat="1" ht="18" customHeight="1" x14ac:dyDescent="0.25">
      <c r="A65" s="334"/>
      <c r="B65" s="335"/>
      <c r="C65" s="335"/>
      <c r="D65" s="365" t="s">
        <v>185</v>
      </c>
      <c r="E65" s="335" t="s">
        <v>187</v>
      </c>
      <c r="F65" s="337">
        <v>202631050</v>
      </c>
      <c r="G65" s="344">
        <v>844853</v>
      </c>
      <c r="H65" s="344">
        <f>6244650+317671</f>
        <v>6562321</v>
      </c>
      <c r="I65" s="344">
        <f t="shared" si="26"/>
        <v>7407174</v>
      </c>
      <c r="J65" s="344"/>
      <c r="K65" s="344"/>
      <c r="L65" s="344">
        <f t="shared" si="22"/>
        <v>0</v>
      </c>
      <c r="M65" s="344">
        <f t="shared" si="23"/>
        <v>7407174</v>
      </c>
      <c r="N65" s="337">
        <f t="shared" si="28"/>
        <v>195223876</v>
      </c>
      <c r="P65" s="340"/>
      <c r="S65" s="347"/>
      <c r="T65" s="346">
        <f>6244650+317671</f>
        <v>6562321</v>
      </c>
      <c r="U65" s="342"/>
    </row>
    <row r="66" spans="1:21" s="339" customFormat="1" ht="18" customHeight="1" x14ac:dyDescent="0.25">
      <c r="A66" s="334"/>
      <c r="B66" s="335"/>
      <c r="C66" s="335"/>
      <c r="D66" s="365" t="s">
        <v>188</v>
      </c>
      <c r="E66" s="335" t="s">
        <v>190</v>
      </c>
      <c r="F66" s="337">
        <f t="shared" ref="F66" si="29">+F67</f>
        <v>51845</v>
      </c>
      <c r="G66" s="344">
        <f>+G67</f>
        <v>9543</v>
      </c>
      <c r="H66" s="344">
        <f>+H67</f>
        <v>6403</v>
      </c>
      <c r="I66" s="344">
        <f t="shared" si="26"/>
        <v>15946</v>
      </c>
      <c r="J66" s="344"/>
      <c r="K66" s="344">
        <f>+K67</f>
        <v>0</v>
      </c>
      <c r="L66" s="344">
        <f t="shared" si="22"/>
        <v>0</v>
      </c>
      <c r="M66" s="344">
        <f t="shared" si="23"/>
        <v>15946</v>
      </c>
      <c r="N66" s="337">
        <f t="shared" si="28"/>
        <v>35899</v>
      </c>
      <c r="P66" s="340"/>
      <c r="S66" s="347"/>
      <c r="T66" s="346"/>
      <c r="U66" s="342"/>
    </row>
    <row r="67" spans="1:21" s="339" customFormat="1" ht="18" customHeight="1" x14ac:dyDescent="0.25">
      <c r="A67" s="334"/>
      <c r="B67" s="335"/>
      <c r="C67" s="335"/>
      <c r="D67" s="365" t="s">
        <v>189</v>
      </c>
      <c r="E67" s="335" t="s">
        <v>329</v>
      </c>
      <c r="F67" s="337">
        <v>51845</v>
      </c>
      <c r="G67" s="344">
        <v>9543</v>
      </c>
      <c r="H67" s="344">
        <f>3298+3105</f>
        <v>6403</v>
      </c>
      <c r="I67" s="344">
        <f t="shared" si="26"/>
        <v>15946</v>
      </c>
      <c r="J67" s="344"/>
      <c r="K67" s="344"/>
      <c r="L67" s="344">
        <f t="shared" si="22"/>
        <v>0</v>
      </c>
      <c r="M67" s="344">
        <f t="shared" si="23"/>
        <v>15946</v>
      </c>
      <c r="N67" s="337">
        <f t="shared" si="28"/>
        <v>35899</v>
      </c>
      <c r="P67" s="340"/>
      <c r="S67" s="347"/>
      <c r="T67" s="346">
        <f>3298+3105</f>
        <v>6403</v>
      </c>
      <c r="U67" s="342"/>
    </row>
    <row r="68" spans="1:21" s="339" customFormat="1" ht="18" customHeight="1" x14ac:dyDescent="0.25">
      <c r="A68" s="334"/>
      <c r="B68" s="335"/>
      <c r="C68" s="335"/>
      <c r="D68" s="365" t="s">
        <v>191</v>
      </c>
      <c r="E68" s="335" t="s">
        <v>193</v>
      </c>
      <c r="F68" s="337">
        <f t="shared" ref="F68" si="30">+F69</f>
        <v>190139023</v>
      </c>
      <c r="G68" s="344">
        <f>+G69</f>
        <v>34881477</v>
      </c>
      <c r="H68" s="344">
        <f>+H69</f>
        <v>11547739</v>
      </c>
      <c r="I68" s="344">
        <f t="shared" si="26"/>
        <v>46429216</v>
      </c>
      <c r="J68" s="344"/>
      <c r="K68" s="344">
        <f>+K69</f>
        <v>0</v>
      </c>
      <c r="L68" s="344">
        <f t="shared" si="22"/>
        <v>0</v>
      </c>
      <c r="M68" s="344">
        <f t="shared" si="23"/>
        <v>46429216</v>
      </c>
      <c r="N68" s="337">
        <f t="shared" si="28"/>
        <v>143709807</v>
      </c>
      <c r="P68" s="340"/>
      <c r="S68" s="347"/>
      <c r="T68" s="346"/>
      <c r="U68" s="342"/>
    </row>
    <row r="69" spans="1:21" s="339" customFormat="1" ht="18" customHeight="1" x14ac:dyDescent="0.25">
      <c r="A69" s="334"/>
      <c r="B69" s="335"/>
      <c r="C69" s="335"/>
      <c r="D69" s="365" t="s">
        <v>192</v>
      </c>
      <c r="E69" s="335" t="s">
        <v>194</v>
      </c>
      <c r="F69" s="337">
        <v>190139023</v>
      </c>
      <c r="G69" s="344">
        <v>34881477</v>
      </c>
      <c r="H69" s="344">
        <v>11547739</v>
      </c>
      <c r="I69" s="344">
        <f t="shared" si="26"/>
        <v>46429216</v>
      </c>
      <c r="J69" s="344"/>
      <c r="K69" s="344"/>
      <c r="L69" s="344">
        <f t="shared" si="22"/>
        <v>0</v>
      </c>
      <c r="M69" s="344">
        <f t="shared" si="23"/>
        <v>46429216</v>
      </c>
      <c r="N69" s="337">
        <f t="shared" si="28"/>
        <v>143709807</v>
      </c>
      <c r="P69" s="340"/>
      <c r="S69" s="347"/>
      <c r="T69" s="346">
        <v>11547739</v>
      </c>
      <c r="U69" s="342"/>
    </row>
    <row r="70" spans="1:21" s="339" customFormat="1" ht="18" customHeight="1" x14ac:dyDescent="0.25">
      <c r="A70" s="334"/>
      <c r="B70" s="335"/>
      <c r="C70" s="335"/>
      <c r="D70" s="365" t="s">
        <v>195</v>
      </c>
      <c r="E70" s="335" t="s">
        <v>197</v>
      </c>
      <c r="F70" s="337">
        <f t="shared" ref="F70" si="31">+F71</f>
        <v>9404942</v>
      </c>
      <c r="G70" s="344">
        <f>+G71</f>
        <v>1730239</v>
      </c>
      <c r="H70" s="344">
        <f>+H71</f>
        <v>574228</v>
      </c>
      <c r="I70" s="344">
        <f t="shared" si="26"/>
        <v>2304467</v>
      </c>
      <c r="J70" s="344"/>
      <c r="K70" s="344">
        <f>+K71</f>
        <v>0</v>
      </c>
      <c r="L70" s="344">
        <f t="shared" si="22"/>
        <v>0</v>
      </c>
      <c r="M70" s="344">
        <f t="shared" si="23"/>
        <v>2304467</v>
      </c>
      <c r="N70" s="337">
        <f t="shared" si="28"/>
        <v>7100475</v>
      </c>
      <c r="P70" s="340"/>
      <c r="S70" s="347"/>
      <c r="T70" s="346"/>
      <c r="U70" s="342"/>
    </row>
    <row r="71" spans="1:21" s="339" customFormat="1" ht="18" customHeight="1" x14ac:dyDescent="0.25">
      <c r="A71" s="334"/>
      <c r="B71" s="335"/>
      <c r="C71" s="335"/>
      <c r="D71" s="365" t="s">
        <v>196</v>
      </c>
      <c r="E71" s="335" t="s">
        <v>198</v>
      </c>
      <c r="F71" s="337">
        <v>9404942</v>
      </c>
      <c r="G71" s="344">
        <v>1730239</v>
      </c>
      <c r="H71" s="344">
        <v>574228</v>
      </c>
      <c r="I71" s="344">
        <f t="shared" si="26"/>
        <v>2304467</v>
      </c>
      <c r="J71" s="344"/>
      <c r="K71" s="344"/>
      <c r="L71" s="344">
        <f t="shared" si="22"/>
        <v>0</v>
      </c>
      <c r="M71" s="344">
        <f t="shared" si="23"/>
        <v>2304467</v>
      </c>
      <c r="N71" s="337">
        <f t="shared" si="28"/>
        <v>7100475</v>
      </c>
      <c r="P71" s="340"/>
      <c r="S71" s="347"/>
      <c r="T71" s="346">
        <v>574228</v>
      </c>
      <c r="U71" s="342"/>
    </row>
    <row r="72" spans="1:21" s="339" customFormat="1" ht="18" customHeight="1" x14ac:dyDescent="0.25">
      <c r="A72" s="334"/>
      <c r="B72" s="335"/>
      <c r="C72" s="335"/>
      <c r="D72" s="365" t="s">
        <v>199</v>
      </c>
      <c r="E72" s="335" t="s">
        <v>201</v>
      </c>
      <c r="F72" s="337">
        <f>+F73</f>
        <v>28215046</v>
      </c>
      <c r="G72" s="344">
        <f>+G73</f>
        <v>5190716</v>
      </c>
      <c r="H72" s="344">
        <f>+H73</f>
        <v>1722684</v>
      </c>
      <c r="I72" s="344">
        <f t="shared" si="26"/>
        <v>6913400</v>
      </c>
      <c r="J72" s="344"/>
      <c r="K72" s="344">
        <f>+K73</f>
        <v>0</v>
      </c>
      <c r="L72" s="344">
        <f t="shared" si="22"/>
        <v>0</v>
      </c>
      <c r="M72" s="344">
        <f t="shared" si="23"/>
        <v>6913400</v>
      </c>
      <c r="N72" s="337">
        <f t="shared" si="28"/>
        <v>21301646</v>
      </c>
      <c r="P72" s="340"/>
      <c r="S72" s="347"/>
      <c r="T72" s="346"/>
      <c r="U72" s="342"/>
    </row>
    <row r="73" spans="1:21" s="339" customFormat="1" ht="18" customHeight="1" x14ac:dyDescent="0.25">
      <c r="A73" s="334"/>
      <c r="B73" s="335"/>
      <c r="C73" s="335"/>
      <c r="D73" s="365" t="s">
        <v>200</v>
      </c>
      <c r="E73" s="335" t="s">
        <v>202</v>
      </c>
      <c r="F73" s="337">
        <v>28215046</v>
      </c>
      <c r="G73" s="344">
        <v>5190716</v>
      </c>
      <c r="H73" s="344">
        <v>1722684</v>
      </c>
      <c r="I73" s="344">
        <f t="shared" si="26"/>
        <v>6913400</v>
      </c>
      <c r="J73" s="344"/>
      <c r="K73" s="344"/>
      <c r="L73" s="344">
        <f t="shared" si="22"/>
        <v>0</v>
      </c>
      <c r="M73" s="344">
        <f>+I73+L73</f>
        <v>6913400</v>
      </c>
      <c r="N73" s="337">
        <f>+F73-M73</f>
        <v>21301646</v>
      </c>
      <c r="P73" s="340"/>
      <c r="S73" s="347"/>
      <c r="T73" s="346">
        <v>1722684</v>
      </c>
      <c r="U73" s="342"/>
    </row>
    <row r="74" spans="1:21" s="339" customFormat="1" ht="18" customHeight="1" x14ac:dyDescent="0.25">
      <c r="A74" s="334"/>
      <c r="B74" s="335"/>
      <c r="C74" s="335"/>
      <c r="D74" s="365" t="s">
        <v>203</v>
      </c>
      <c r="E74" s="335" t="s">
        <v>205</v>
      </c>
      <c r="F74" s="337">
        <f>+F75</f>
        <v>23975938</v>
      </c>
      <c r="G74" s="344">
        <f>G75</f>
        <v>0</v>
      </c>
      <c r="H74" s="344">
        <f>+H75</f>
        <v>0</v>
      </c>
      <c r="I74" s="344">
        <f>+I75</f>
        <v>0</v>
      </c>
      <c r="J74" s="344"/>
      <c r="K74" s="344">
        <f>+K75</f>
        <v>0</v>
      </c>
      <c r="L74" s="344">
        <f t="shared" si="22"/>
        <v>0</v>
      </c>
      <c r="M74" s="344">
        <f t="shared" ref="M74:M101" si="32">+I74+L74</f>
        <v>0</v>
      </c>
      <c r="N74" s="337">
        <f t="shared" ref="N74:N84" si="33">+F74-M74</f>
        <v>23975938</v>
      </c>
      <c r="P74" s="340"/>
      <c r="S74" s="347"/>
      <c r="T74" s="347"/>
      <c r="U74" s="342"/>
    </row>
    <row r="75" spans="1:21" s="339" customFormat="1" ht="18" customHeight="1" x14ac:dyDescent="0.25">
      <c r="A75" s="334"/>
      <c r="B75" s="335"/>
      <c r="C75" s="335"/>
      <c r="D75" s="365" t="s">
        <v>204</v>
      </c>
      <c r="E75" s="335" t="s">
        <v>206</v>
      </c>
      <c r="F75" s="337">
        <v>23975938</v>
      </c>
      <c r="G75" s="344"/>
      <c r="H75" s="344"/>
      <c r="I75" s="344">
        <f t="shared" ref="I75:I100" si="34">+G75+H75</f>
        <v>0</v>
      </c>
      <c r="J75" s="344"/>
      <c r="K75" s="344"/>
      <c r="L75" s="344">
        <f t="shared" si="22"/>
        <v>0</v>
      </c>
      <c r="M75" s="344">
        <f t="shared" si="32"/>
        <v>0</v>
      </c>
      <c r="N75" s="337">
        <f t="shared" si="33"/>
        <v>23975938</v>
      </c>
      <c r="P75" s="340"/>
      <c r="S75" s="347"/>
      <c r="T75" s="347"/>
      <c r="U75" s="342"/>
    </row>
    <row r="76" spans="1:21" s="339" customFormat="1" ht="18" customHeight="1" x14ac:dyDescent="0.25">
      <c r="A76" s="334"/>
      <c r="B76" s="335"/>
      <c r="C76" s="335"/>
      <c r="D76" s="365" t="s">
        <v>210</v>
      </c>
      <c r="E76" s="335" t="s">
        <v>211</v>
      </c>
      <c r="F76" s="337">
        <f>+F77+F79+F81</f>
        <v>2044369640</v>
      </c>
      <c r="G76" s="344">
        <f>+G77+G79+G81</f>
        <v>194118788</v>
      </c>
      <c r="H76" s="344">
        <f>+H77+H79+H81</f>
        <v>669099001</v>
      </c>
      <c r="I76" s="344">
        <f>+G76+H76</f>
        <v>863217789</v>
      </c>
      <c r="J76" s="344"/>
      <c r="K76" s="344">
        <f>+K77</f>
        <v>0</v>
      </c>
      <c r="L76" s="344">
        <f t="shared" si="22"/>
        <v>0</v>
      </c>
      <c r="M76" s="344">
        <f t="shared" si="32"/>
        <v>863217789</v>
      </c>
      <c r="N76" s="337">
        <f t="shared" si="33"/>
        <v>1181151851</v>
      </c>
      <c r="P76" s="340"/>
      <c r="S76" s="347"/>
      <c r="T76" s="347"/>
      <c r="U76" s="342"/>
    </row>
    <row r="77" spans="1:21" s="339" customFormat="1" ht="18" customHeight="1" x14ac:dyDescent="0.25">
      <c r="A77" s="334"/>
      <c r="B77" s="335"/>
      <c r="C77" s="335"/>
      <c r="D77" s="365" t="s">
        <v>212</v>
      </c>
      <c r="E77" s="335" t="s">
        <v>214</v>
      </c>
      <c r="F77" s="337">
        <f>+F78</f>
        <v>180000000</v>
      </c>
      <c r="G77" s="344">
        <f>+G78</f>
        <v>179148911</v>
      </c>
      <c r="H77" s="344">
        <f t="shared" ref="G77:H81" si="35">+H78</f>
        <v>0</v>
      </c>
      <c r="I77" s="344">
        <f t="shared" si="34"/>
        <v>179148911</v>
      </c>
      <c r="J77" s="344"/>
      <c r="K77" s="344">
        <f>+K78</f>
        <v>0</v>
      </c>
      <c r="L77" s="344">
        <f t="shared" si="22"/>
        <v>0</v>
      </c>
      <c r="M77" s="344">
        <f t="shared" si="32"/>
        <v>179148911</v>
      </c>
      <c r="N77" s="337">
        <f t="shared" si="33"/>
        <v>851089</v>
      </c>
      <c r="P77" s="340"/>
      <c r="S77" s="347"/>
      <c r="T77" s="347"/>
      <c r="U77" s="342"/>
    </row>
    <row r="78" spans="1:21" s="339" customFormat="1" ht="18" customHeight="1" x14ac:dyDescent="0.25">
      <c r="A78" s="334"/>
      <c r="B78" s="335"/>
      <c r="C78" s="335"/>
      <c r="D78" s="365" t="s">
        <v>213</v>
      </c>
      <c r="E78" s="335" t="s">
        <v>215</v>
      </c>
      <c r="F78" s="337">
        <v>180000000</v>
      </c>
      <c r="G78" s="344">
        <v>179148911</v>
      </c>
      <c r="H78" s="344"/>
      <c r="I78" s="344">
        <f t="shared" si="34"/>
        <v>179148911</v>
      </c>
      <c r="J78" s="344"/>
      <c r="K78" s="344"/>
      <c r="L78" s="344">
        <f t="shared" si="22"/>
        <v>0</v>
      </c>
      <c r="M78" s="344">
        <f t="shared" si="32"/>
        <v>179148911</v>
      </c>
      <c r="N78" s="337">
        <f t="shared" si="33"/>
        <v>851089</v>
      </c>
      <c r="P78" s="340"/>
      <c r="S78" s="347"/>
      <c r="T78" s="347"/>
      <c r="U78" s="342"/>
    </row>
    <row r="79" spans="1:21" s="339" customFormat="1" ht="18" customHeight="1" x14ac:dyDescent="0.25">
      <c r="A79" s="334"/>
      <c r="B79" s="335"/>
      <c r="C79" s="335"/>
      <c r="D79" s="365" t="s">
        <v>431</v>
      </c>
      <c r="E79" s="335" t="s">
        <v>432</v>
      </c>
      <c r="F79" s="337">
        <f>+F80</f>
        <v>123544200</v>
      </c>
      <c r="G79" s="344">
        <f t="shared" si="35"/>
        <v>9969877</v>
      </c>
      <c r="H79" s="344">
        <f t="shared" si="35"/>
        <v>29315300</v>
      </c>
      <c r="I79" s="344">
        <f>+G79+H79</f>
        <v>39285177</v>
      </c>
      <c r="J79" s="344"/>
      <c r="K79" s="344">
        <f>+K80</f>
        <v>0</v>
      </c>
      <c r="L79" s="344">
        <f t="shared" si="22"/>
        <v>0</v>
      </c>
      <c r="M79" s="344">
        <f t="shared" si="32"/>
        <v>39285177</v>
      </c>
      <c r="N79" s="337">
        <f t="shared" si="33"/>
        <v>84259023</v>
      </c>
      <c r="P79" s="340"/>
      <c r="S79" s="347"/>
      <c r="T79" s="347"/>
      <c r="U79" s="342"/>
    </row>
    <row r="80" spans="1:21" s="339" customFormat="1" ht="18" customHeight="1" x14ac:dyDescent="0.25">
      <c r="A80" s="334"/>
      <c r="B80" s="335"/>
      <c r="C80" s="335"/>
      <c r="D80" s="365" t="s">
        <v>429</v>
      </c>
      <c r="E80" s="335" t="s">
        <v>430</v>
      </c>
      <c r="F80" s="337">
        <v>123544200</v>
      </c>
      <c r="G80" s="344">
        <v>9969877</v>
      </c>
      <c r="H80" s="344">
        <v>29315300</v>
      </c>
      <c r="I80" s="344">
        <f>+G80+H80</f>
        <v>39285177</v>
      </c>
      <c r="J80" s="344"/>
      <c r="K80" s="344"/>
      <c r="L80" s="344"/>
      <c r="M80" s="344">
        <f t="shared" si="32"/>
        <v>39285177</v>
      </c>
      <c r="N80" s="337">
        <f>+F80-M80</f>
        <v>84259023</v>
      </c>
      <c r="P80" s="340"/>
      <c r="S80" s="347"/>
      <c r="T80" s="346">
        <v>29315300</v>
      </c>
      <c r="U80" s="342"/>
    </row>
    <row r="81" spans="1:21" s="339" customFormat="1" ht="18" customHeight="1" x14ac:dyDescent="0.25">
      <c r="A81" s="334"/>
      <c r="B81" s="335"/>
      <c r="C81" s="335"/>
      <c r="D81" s="365" t="s">
        <v>453</v>
      </c>
      <c r="E81" s="335" t="s">
        <v>456</v>
      </c>
      <c r="F81" s="337">
        <f>+F82</f>
        <v>1740825440</v>
      </c>
      <c r="G81" s="344">
        <f t="shared" si="35"/>
        <v>5000000</v>
      </c>
      <c r="H81" s="344">
        <f t="shared" si="35"/>
        <v>639783701</v>
      </c>
      <c r="I81" s="344">
        <f>+G81+H81</f>
        <v>644783701</v>
      </c>
      <c r="J81" s="344"/>
      <c r="K81" s="344">
        <f>+K82</f>
        <v>0</v>
      </c>
      <c r="L81" s="344">
        <f t="shared" ref="L81" si="36">+J81+K81</f>
        <v>0</v>
      </c>
      <c r="M81" s="344">
        <f t="shared" si="32"/>
        <v>644783701</v>
      </c>
      <c r="N81" s="337">
        <f t="shared" ref="N81" si="37">+F81-M81</f>
        <v>1096041739</v>
      </c>
      <c r="P81" s="340"/>
      <c r="S81" s="347"/>
      <c r="T81" s="346"/>
      <c r="U81" s="342"/>
    </row>
    <row r="82" spans="1:21" s="339" customFormat="1" ht="18" customHeight="1" x14ac:dyDescent="0.25">
      <c r="A82" s="334"/>
      <c r="B82" s="335"/>
      <c r="C82" s="335"/>
      <c r="D82" s="365" t="s">
        <v>454</v>
      </c>
      <c r="E82" s="335" t="s">
        <v>455</v>
      </c>
      <c r="F82" s="337">
        <v>1740825440</v>
      </c>
      <c r="G82" s="344">
        <v>5000000</v>
      </c>
      <c r="H82" s="344">
        <f>87802857+551980844</f>
        <v>639783701</v>
      </c>
      <c r="I82" s="344">
        <f>+G82+H82</f>
        <v>644783701</v>
      </c>
      <c r="J82" s="344"/>
      <c r="K82" s="344"/>
      <c r="L82" s="344"/>
      <c r="M82" s="344">
        <f t="shared" si="32"/>
        <v>644783701</v>
      </c>
      <c r="N82" s="337">
        <f>+F82-M82</f>
        <v>1096041739</v>
      </c>
      <c r="P82" s="340"/>
      <c r="S82" s="347"/>
      <c r="T82" s="346">
        <f>87802857+551980844</f>
        <v>639783701</v>
      </c>
      <c r="U82" s="342"/>
    </row>
    <row r="83" spans="1:21" s="339" customFormat="1" ht="18" customHeight="1" x14ac:dyDescent="0.25">
      <c r="A83" s="334"/>
      <c r="B83" s="335"/>
      <c r="C83" s="335"/>
      <c r="D83" s="365" t="s">
        <v>216</v>
      </c>
      <c r="E83" s="335" t="s">
        <v>219</v>
      </c>
      <c r="F83" s="337">
        <f>+F84+F95+F99</f>
        <v>10039198750</v>
      </c>
      <c r="G83" s="344">
        <f>+G84+G95+G99</f>
        <v>76300000</v>
      </c>
      <c r="H83" s="344">
        <f>+H84+H95+H99</f>
        <v>1364145657</v>
      </c>
      <c r="I83" s="344">
        <f>+G83+H83</f>
        <v>1440445657</v>
      </c>
      <c r="J83" s="344"/>
      <c r="K83" s="344">
        <f>+K84</f>
        <v>0</v>
      </c>
      <c r="L83" s="344">
        <f t="shared" si="22"/>
        <v>0</v>
      </c>
      <c r="M83" s="344">
        <f t="shared" si="32"/>
        <v>1440445657</v>
      </c>
      <c r="N83" s="337">
        <f t="shared" si="33"/>
        <v>8598753093</v>
      </c>
      <c r="P83" s="340"/>
      <c r="S83" s="347"/>
      <c r="T83" s="347"/>
      <c r="U83" s="342"/>
    </row>
    <row r="84" spans="1:21" s="339" customFormat="1" ht="18" customHeight="1" x14ac:dyDescent="0.25">
      <c r="A84" s="334"/>
      <c r="B84" s="335"/>
      <c r="C84" s="335"/>
      <c r="D84" s="365" t="s">
        <v>217</v>
      </c>
      <c r="E84" s="335" t="s">
        <v>220</v>
      </c>
      <c r="F84" s="337">
        <f>SUM(F85:F94)</f>
        <v>8593798750</v>
      </c>
      <c r="G84" s="344">
        <f>SUM(G85:G94)</f>
        <v>0</v>
      </c>
      <c r="H84" s="344">
        <f>SUM(H85:H94)</f>
        <v>1116045657</v>
      </c>
      <c r="I84" s="344">
        <f t="shared" si="34"/>
        <v>1116045657</v>
      </c>
      <c r="J84" s="344"/>
      <c r="K84" s="344">
        <f>+SUM(K85:K94)</f>
        <v>0</v>
      </c>
      <c r="L84" s="344">
        <f t="shared" si="22"/>
        <v>0</v>
      </c>
      <c r="M84" s="344">
        <f t="shared" si="32"/>
        <v>1116045657</v>
      </c>
      <c r="N84" s="337">
        <f t="shared" si="33"/>
        <v>7477753093</v>
      </c>
      <c r="P84" s="340"/>
      <c r="S84" s="347"/>
      <c r="T84" s="347"/>
      <c r="U84" s="342"/>
    </row>
    <row r="85" spans="1:21" s="339" customFormat="1" ht="18" customHeight="1" x14ac:dyDescent="0.25">
      <c r="A85" s="334"/>
      <c r="B85" s="335"/>
      <c r="C85" s="335"/>
      <c r="D85" s="365" t="s">
        <v>218</v>
      </c>
      <c r="E85" s="335" t="s">
        <v>221</v>
      </c>
      <c r="F85" s="337">
        <v>356112500</v>
      </c>
      <c r="G85" s="344"/>
      <c r="H85" s="344">
        <v>53478024</v>
      </c>
      <c r="I85" s="344">
        <f t="shared" si="34"/>
        <v>53478024</v>
      </c>
      <c r="J85" s="344"/>
      <c r="K85" s="344"/>
      <c r="L85" s="344">
        <f t="shared" si="22"/>
        <v>0</v>
      </c>
      <c r="M85" s="344">
        <f t="shared" si="32"/>
        <v>53478024</v>
      </c>
      <c r="N85" s="337">
        <f>+F85-M85</f>
        <v>302634476</v>
      </c>
      <c r="P85" s="340"/>
      <c r="S85" s="347"/>
      <c r="T85" s="346">
        <v>53478024</v>
      </c>
      <c r="U85" s="342"/>
    </row>
    <row r="86" spans="1:21" s="339" customFormat="1" ht="18" customHeight="1" x14ac:dyDescent="0.25">
      <c r="A86" s="334"/>
      <c r="B86" s="335"/>
      <c r="C86" s="335"/>
      <c r="D86" s="365" t="s">
        <v>222</v>
      </c>
      <c r="E86" s="335" t="s">
        <v>223</v>
      </c>
      <c r="F86" s="337">
        <v>413550000</v>
      </c>
      <c r="G86" s="344"/>
      <c r="H86" s="344">
        <v>62103512</v>
      </c>
      <c r="I86" s="344">
        <f t="shared" si="34"/>
        <v>62103512</v>
      </c>
      <c r="J86" s="344"/>
      <c r="K86" s="344"/>
      <c r="L86" s="344">
        <f t="shared" si="22"/>
        <v>0</v>
      </c>
      <c r="M86" s="344">
        <f t="shared" si="32"/>
        <v>62103512</v>
      </c>
      <c r="N86" s="337">
        <f t="shared" ref="N86:N100" si="38">+F86-M86</f>
        <v>351446488</v>
      </c>
      <c r="P86" s="340"/>
      <c r="S86" s="347"/>
      <c r="T86" s="346">
        <v>62103512</v>
      </c>
      <c r="U86" s="342"/>
    </row>
    <row r="87" spans="1:21" s="339" customFormat="1" ht="18" customHeight="1" x14ac:dyDescent="0.25">
      <c r="A87" s="334"/>
      <c r="B87" s="335"/>
      <c r="C87" s="335"/>
      <c r="D87" s="365" t="s">
        <v>224</v>
      </c>
      <c r="E87" s="335" t="s">
        <v>225</v>
      </c>
      <c r="F87" s="337">
        <v>45950000</v>
      </c>
      <c r="G87" s="344"/>
      <c r="H87" s="344">
        <v>6903548</v>
      </c>
      <c r="I87" s="344">
        <f t="shared" si="34"/>
        <v>6903548</v>
      </c>
      <c r="J87" s="344"/>
      <c r="K87" s="344"/>
      <c r="L87" s="344">
        <f t="shared" si="22"/>
        <v>0</v>
      </c>
      <c r="M87" s="344">
        <f t="shared" si="32"/>
        <v>6903548</v>
      </c>
      <c r="N87" s="337">
        <f t="shared" si="38"/>
        <v>39046452</v>
      </c>
      <c r="P87" s="340"/>
      <c r="S87" s="347"/>
      <c r="T87" s="346">
        <v>6903548</v>
      </c>
      <c r="U87" s="342"/>
    </row>
    <row r="88" spans="1:21" s="339" customFormat="1" ht="18" customHeight="1" x14ac:dyDescent="0.25">
      <c r="A88" s="334"/>
      <c r="B88" s="335"/>
      <c r="C88" s="335"/>
      <c r="D88" s="365" t="s">
        <v>226</v>
      </c>
      <c r="E88" s="335" t="s">
        <v>227</v>
      </c>
      <c r="F88" s="337">
        <v>252725000</v>
      </c>
      <c r="G88" s="344"/>
      <c r="H88" s="344">
        <v>37514662</v>
      </c>
      <c r="I88" s="344">
        <f t="shared" si="34"/>
        <v>37514662</v>
      </c>
      <c r="J88" s="344"/>
      <c r="K88" s="344"/>
      <c r="L88" s="344">
        <f t="shared" si="22"/>
        <v>0</v>
      </c>
      <c r="M88" s="344">
        <f t="shared" si="32"/>
        <v>37514662</v>
      </c>
      <c r="N88" s="337">
        <f t="shared" si="38"/>
        <v>215210338</v>
      </c>
      <c r="P88" s="340"/>
      <c r="S88" s="347"/>
      <c r="T88" s="346">
        <v>37514662</v>
      </c>
      <c r="U88" s="342"/>
    </row>
    <row r="89" spans="1:21" s="339" customFormat="1" ht="18" customHeight="1" x14ac:dyDescent="0.25">
      <c r="A89" s="334"/>
      <c r="B89" s="335"/>
      <c r="C89" s="335"/>
      <c r="D89" s="365" t="s">
        <v>228</v>
      </c>
      <c r="E89" s="335" t="s">
        <v>229</v>
      </c>
      <c r="F89" s="337">
        <v>3101625000</v>
      </c>
      <c r="G89" s="344"/>
      <c r="H89" s="344">
        <v>465776342</v>
      </c>
      <c r="I89" s="344">
        <f t="shared" si="34"/>
        <v>465776342</v>
      </c>
      <c r="J89" s="344"/>
      <c r="K89" s="344"/>
      <c r="L89" s="344">
        <f t="shared" si="22"/>
        <v>0</v>
      </c>
      <c r="M89" s="344">
        <f t="shared" si="32"/>
        <v>465776342</v>
      </c>
      <c r="N89" s="337">
        <f t="shared" si="38"/>
        <v>2635848658</v>
      </c>
      <c r="P89" s="340"/>
      <c r="S89" s="347"/>
      <c r="T89" s="346">
        <v>465776342</v>
      </c>
      <c r="U89" s="342"/>
    </row>
    <row r="90" spans="1:21" s="339" customFormat="1" ht="18" customHeight="1" x14ac:dyDescent="0.25">
      <c r="A90" s="334"/>
      <c r="B90" s="335"/>
      <c r="C90" s="335"/>
      <c r="D90" s="365" t="s">
        <v>230</v>
      </c>
      <c r="E90" s="335" t="s">
        <v>231</v>
      </c>
      <c r="F90" s="337">
        <v>13785000</v>
      </c>
      <c r="G90" s="344"/>
      <c r="H90" s="344">
        <v>2066959</v>
      </c>
      <c r="I90" s="344">
        <f t="shared" si="34"/>
        <v>2066959</v>
      </c>
      <c r="J90" s="344"/>
      <c r="K90" s="344"/>
      <c r="L90" s="344">
        <f t="shared" si="22"/>
        <v>0</v>
      </c>
      <c r="M90" s="344">
        <f t="shared" si="32"/>
        <v>2066959</v>
      </c>
      <c r="N90" s="337">
        <f t="shared" si="38"/>
        <v>11718041</v>
      </c>
      <c r="P90" s="340"/>
      <c r="S90" s="347"/>
      <c r="T90" s="346">
        <v>2066959</v>
      </c>
      <c r="U90" s="342"/>
    </row>
    <row r="91" spans="1:21" s="339" customFormat="1" ht="18" customHeight="1" x14ac:dyDescent="0.25">
      <c r="A91" s="334"/>
      <c r="B91" s="335"/>
      <c r="C91" s="335"/>
      <c r="D91" s="365" t="s">
        <v>232</v>
      </c>
      <c r="E91" s="335" t="s">
        <v>233</v>
      </c>
      <c r="F91" s="337">
        <v>126362500</v>
      </c>
      <c r="G91" s="344"/>
      <c r="H91" s="344">
        <v>18976073</v>
      </c>
      <c r="I91" s="344">
        <f t="shared" si="34"/>
        <v>18976073</v>
      </c>
      <c r="J91" s="344"/>
      <c r="K91" s="344"/>
      <c r="L91" s="344">
        <f t="shared" si="22"/>
        <v>0</v>
      </c>
      <c r="M91" s="344">
        <f t="shared" si="32"/>
        <v>18976073</v>
      </c>
      <c r="N91" s="337">
        <f t="shared" si="38"/>
        <v>107386427</v>
      </c>
      <c r="P91" s="340"/>
      <c r="S91" s="347"/>
      <c r="T91" s="346">
        <v>18976073</v>
      </c>
      <c r="U91" s="342"/>
    </row>
    <row r="92" spans="1:21" s="339" customFormat="1" ht="19.5" customHeight="1" x14ac:dyDescent="0.25">
      <c r="A92" s="366"/>
      <c r="B92" s="367"/>
      <c r="C92" s="367"/>
      <c r="D92" s="368" t="s">
        <v>234</v>
      </c>
      <c r="E92" s="369" t="s">
        <v>235</v>
      </c>
      <c r="F92" s="370">
        <v>2297500</v>
      </c>
      <c r="G92" s="371"/>
      <c r="H92" s="371"/>
      <c r="I92" s="371">
        <f t="shared" si="34"/>
        <v>0</v>
      </c>
      <c r="J92" s="371"/>
      <c r="K92" s="371"/>
      <c r="L92" s="371">
        <f t="shared" si="22"/>
        <v>0</v>
      </c>
      <c r="M92" s="371">
        <f t="shared" si="32"/>
        <v>0</v>
      </c>
      <c r="N92" s="370">
        <f t="shared" si="38"/>
        <v>2297500</v>
      </c>
      <c r="P92" s="340"/>
      <c r="S92" s="347"/>
      <c r="T92" s="347"/>
      <c r="U92" s="342"/>
    </row>
    <row r="93" spans="1:21" s="339" customFormat="1" ht="30.75" customHeight="1" x14ac:dyDescent="0.25">
      <c r="A93" s="366"/>
      <c r="B93" s="367"/>
      <c r="C93" s="367"/>
      <c r="D93" s="368" t="s">
        <v>236</v>
      </c>
      <c r="E93" s="369" t="s">
        <v>237</v>
      </c>
      <c r="F93" s="370">
        <v>1156791250</v>
      </c>
      <c r="G93" s="371"/>
      <c r="H93" s="371"/>
      <c r="I93" s="371">
        <f t="shared" si="34"/>
        <v>0</v>
      </c>
      <c r="J93" s="371"/>
      <c r="K93" s="371"/>
      <c r="L93" s="371">
        <f t="shared" si="22"/>
        <v>0</v>
      </c>
      <c r="M93" s="371">
        <f t="shared" si="32"/>
        <v>0</v>
      </c>
      <c r="N93" s="370">
        <f t="shared" si="38"/>
        <v>1156791250</v>
      </c>
      <c r="P93" s="340"/>
      <c r="S93" s="347"/>
      <c r="T93" s="347"/>
      <c r="U93" s="342"/>
    </row>
    <row r="94" spans="1:21" s="339" customFormat="1" ht="31.5" x14ac:dyDescent="0.25">
      <c r="A94" s="366"/>
      <c r="B94" s="367"/>
      <c r="C94" s="367"/>
      <c r="D94" s="368" t="s">
        <v>238</v>
      </c>
      <c r="E94" s="369" t="s">
        <v>239</v>
      </c>
      <c r="F94" s="370">
        <v>3124600000</v>
      </c>
      <c r="G94" s="371"/>
      <c r="H94" s="371">
        <v>469226537</v>
      </c>
      <c r="I94" s="371">
        <f t="shared" si="34"/>
        <v>469226537</v>
      </c>
      <c r="J94" s="371"/>
      <c r="K94" s="371"/>
      <c r="L94" s="371">
        <f t="shared" si="22"/>
        <v>0</v>
      </c>
      <c r="M94" s="371">
        <f t="shared" si="32"/>
        <v>469226537</v>
      </c>
      <c r="N94" s="370">
        <f t="shared" si="38"/>
        <v>2655373463</v>
      </c>
      <c r="P94" s="340"/>
      <c r="S94" s="347"/>
      <c r="T94" s="346">
        <v>469226537</v>
      </c>
      <c r="U94" s="342"/>
    </row>
    <row r="95" spans="1:21" s="339" customFormat="1" ht="18" customHeight="1" x14ac:dyDescent="0.25">
      <c r="A95" s="334"/>
      <c r="B95" s="335"/>
      <c r="C95" s="335"/>
      <c r="D95" s="365" t="s">
        <v>433</v>
      </c>
      <c r="E95" s="335" t="s">
        <v>434</v>
      </c>
      <c r="F95" s="337">
        <f>+F96+F97+F98</f>
        <v>984100000</v>
      </c>
      <c r="G95" s="344">
        <f>+G96+G97</f>
        <v>42050000</v>
      </c>
      <c r="H95" s="344">
        <f>+H96+H97</f>
        <v>149100000</v>
      </c>
      <c r="I95" s="344">
        <f>+G95+H95</f>
        <v>191150000</v>
      </c>
      <c r="J95" s="344">
        <f>+J96+J97</f>
        <v>0</v>
      </c>
      <c r="K95" s="344">
        <f>+SUM(K101:K110)</f>
        <v>0</v>
      </c>
      <c r="L95" s="344">
        <f>+J95+K95</f>
        <v>0</v>
      </c>
      <c r="M95" s="344">
        <f t="shared" si="32"/>
        <v>191150000</v>
      </c>
      <c r="N95" s="337">
        <f t="shared" si="38"/>
        <v>792950000</v>
      </c>
      <c r="P95" s="340"/>
      <c r="S95" s="347"/>
      <c r="T95" s="347"/>
      <c r="U95" s="342"/>
    </row>
    <row r="96" spans="1:21" s="339" customFormat="1" ht="18" customHeight="1" x14ac:dyDescent="0.25">
      <c r="A96" s="334"/>
      <c r="B96" s="335"/>
      <c r="C96" s="335"/>
      <c r="D96" s="365" t="s">
        <v>435</v>
      </c>
      <c r="E96" s="335" t="s">
        <v>437</v>
      </c>
      <c r="F96" s="337">
        <v>516750000</v>
      </c>
      <c r="G96" s="344">
        <v>40950000</v>
      </c>
      <c r="H96" s="344">
        <v>146800000</v>
      </c>
      <c r="I96" s="344">
        <f t="shared" si="34"/>
        <v>187750000</v>
      </c>
      <c r="J96" s="344"/>
      <c r="K96" s="344"/>
      <c r="L96" s="344">
        <f t="shared" si="22"/>
        <v>0</v>
      </c>
      <c r="M96" s="344">
        <f t="shared" si="32"/>
        <v>187750000</v>
      </c>
      <c r="N96" s="337">
        <f t="shared" si="38"/>
        <v>329000000</v>
      </c>
      <c r="P96" s="340"/>
      <c r="S96" s="347"/>
      <c r="T96" s="346">
        <v>146800000</v>
      </c>
      <c r="U96" s="342"/>
    </row>
    <row r="97" spans="1:21" s="339" customFormat="1" ht="18" customHeight="1" x14ac:dyDescent="0.25">
      <c r="A97" s="334"/>
      <c r="B97" s="335"/>
      <c r="C97" s="335"/>
      <c r="D97" s="365" t="s">
        <v>436</v>
      </c>
      <c r="E97" s="335" t="s">
        <v>438</v>
      </c>
      <c r="F97" s="337">
        <v>19500000</v>
      </c>
      <c r="G97" s="344">
        <v>1100000</v>
      </c>
      <c r="H97" s="344">
        <v>2300000</v>
      </c>
      <c r="I97" s="344">
        <f t="shared" si="34"/>
        <v>3400000</v>
      </c>
      <c r="J97" s="344"/>
      <c r="K97" s="344"/>
      <c r="L97" s="344">
        <f t="shared" si="22"/>
        <v>0</v>
      </c>
      <c r="M97" s="344">
        <f t="shared" si="32"/>
        <v>3400000</v>
      </c>
      <c r="N97" s="337">
        <f t="shared" si="38"/>
        <v>16100000</v>
      </c>
      <c r="P97" s="340"/>
      <c r="S97" s="347"/>
      <c r="T97" s="346">
        <v>2300000</v>
      </c>
      <c r="U97" s="342"/>
    </row>
    <row r="98" spans="1:21" s="339" customFormat="1" ht="18" customHeight="1" x14ac:dyDescent="0.25">
      <c r="A98" s="334"/>
      <c r="B98" s="335"/>
      <c r="C98" s="335"/>
      <c r="D98" s="365" t="s">
        <v>457</v>
      </c>
      <c r="E98" s="335" t="s">
        <v>458</v>
      </c>
      <c r="F98" s="337">
        <v>447850000</v>
      </c>
      <c r="G98" s="344"/>
      <c r="H98" s="344"/>
      <c r="I98" s="344">
        <f t="shared" si="34"/>
        <v>0</v>
      </c>
      <c r="J98" s="344"/>
      <c r="K98" s="344"/>
      <c r="L98" s="344">
        <f t="shared" si="22"/>
        <v>0</v>
      </c>
      <c r="M98" s="344">
        <f t="shared" si="32"/>
        <v>0</v>
      </c>
      <c r="N98" s="337">
        <f t="shared" si="38"/>
        <v>447850000</v>
      </c>
      <c r="P98" s="340"/>
      <c r="S98" s="347"/>
      <c r="T98" s="346"/>
      <c r="U98" s="342"/>
    </row>
    <row r="99" spans="1:21" s="339" customFormat="1" ht="18" customHeight="1" x14ac:dyDescent="0.25">
      <c r="A99" s="334"/>
      <c r="B99" s="335"/>
      <c r="C99" s="335"/>
      <c r="D99" s="365" t="s">
        <v>439</v>
      </c>
      <c r="E99" s="335" t="s">
        <v>442</v>
      </c>
      <c r="F99" s="337">
        <f>+F100</f>
        <v>461300000</v>
      </c>
      <c r="G99" s="344">
        <f>+G100</f>
        <v>34250000</v>
      </c>
      <c r="H99" s="344">
        <f>+H100</f>
        <v>99000000</v>
      </c>
      <c r="I99" s="344">
        <f t="shared" si="34"/>
        <v>133250000</v>
      </c>
      <c r="J99" s="344"/>
      <c r="K99" s="344">
        <f>+SUM(K104:K113)</f>
        <v>2950125</v>
      </c>
      <c r="L99" s="344">
        <f t="shared" si="22"/>
        <v>2950125</v>
      </c>
      <c r="M99" s="344">
        <f t="shared" si="32"/>
        <v>136200125</v>
      </c>
      <c r="N99" s="337">
        <f t="shared" si="38"/>
        <v>325099875</v>
      </c>
      <c r="P99" s="340"/>
      <c r="S99" s="347"/>
      <c r="T99" s="346"/>
      <c r="U99" s="342"/>
    </row>
    <row r="100" spans="1:21" s="339" customFormat="1" ht="18" customHeight="1" x14ac:dyDescent="0.25">
      <c r="A100" s="334"/>
      <c r="B100" s="335"/>
      <c r="C100" s="335"/>
      <c r="D100" s="365" t="s">
        <v>440</v>
      </c>
      <c r="E100" s="335" t="s">
        <v>441</v>
      </c>
      <c r="F100" s="337">
        <v>461300000</v>
      </c>
      <c r="G100" s="344">
        <v>34250000</v>
      </c>
      <c r="H100" s="344">
        <v>99000000</v>
      </c>
      <c r="I100" s="344">
        <f t="shared" si="34"/>
        <v>133250000</v>
      </c>
      <c r="J100" s="344"/>
      <c r="K100" s="344"/>
      <c r="L100" s="344">
        <f t="shared" si="22"/>
        <v>0</v>
      </c>
      <c r="M100" s="344">
        <f t="shared" si="32"/>
        <v>133250000</v>
      </c>
      <c r="N100" s="337">
        <f t="shared" si="38"/>
        <v>328050000</v>
      </c>
      <c r="P100" s="340"/>
      <c r="S100" s="347"/>
      <c r="T100" s="346">
        <v>99000000</v>
      </c>
      <c r="U100" s="342"/>
    </row>
    <row r="101" spans="1:21" s="339" customFormat="1" ht="18" customHeight="1" x14ac:dyDescent="0.25">
      <c r="A101" s="334"/>
      <c r="B101" s="335"/>
      <c r="C101" s="335"/>
      <c r="D101" s="365" t="s">
        <v>240</v>
      </c>
      <c r="E101" s="335" t="s">
        <v>241</v>
      </c>
      <c r="F101" s="337">
        <f>+F102</f>
        <v>757451250</v>
      </c>
      <c r="G101" s="344">
        <f>+G102</f>
        <v>0</v>
      </c>
      <c r="H101" s="344">
        <f>+H102</f>
        <v>96978843</v>
      </c>
      <c r="I101" s="344">
        <f>+G101+H101</f>
        <v>96978843</v>
      </c>
      <c r="J101" s="344">
        <f>+J102</f>
        <v>0</v>
      </c>
      <c r="K101" s="344">
        <f>+K102</f>
        <v>0</v>
      </c>
      <c r="L101" s="344">
        <f>+J101+K101</f>
        <v>0</v>
      </c>
      <c r="M101" s="344">
        <f t="shared" si="32"/>
        <v>96978843</v>
      </c>
      <c r="N101" s="337">
        <f>+F101-M101</f>
        <v>660472407</v>
      </c>
      <c r="P101" s="340"/>
      <c r="S101" s="347"/>
      <c r="T101" s="347"/>
      <c r="U101" s="342"/>
    </row>
    <row r="102" spans="1:21" s="339" customFormat="1" ht="18" customHeight="1" x14ac:dyDescent="0.25">
      <c r="A102" s="334"/>
      <c r="B102" s="335"/>
      <c r="C102" s="335"/>
      <c r="D102" s="365" t="s">
        <v>242</v>
      </c>
      <c r="E102" s="335" t="s">
        <v>409</v>
      </c>
      <c r="F102" s="337">
        <f>SUM(F103:F112)</f>
        <v>757451250</v>
      </c>
      <c r="G102" s="344">
        <f>SUM(G103:G112)</f>
        <v>0</v>
      </c>
      <c r="H102" s="344">
        <f>SUM(H103:H112)</f>
        <v>96978843</v>
      </c>
      <c r="I102" s="344">
        <f>+G102+H102</f>
        <v>96978843</v>
      </c>
      <c r="J102" s="344">
        <f>SUM(J103:J112)</f>
        <v>0</v>
      </c>
      <c r="K102" s="344">
        <f>SUM(K103:K112)</f>
        <v>0</v>
      </c>
      <c r="L102" s="344">
        <f>+J102+K102</f>
        <v>0</v>
      </c>
      <c r="M102" s="344">
        <f>+I102+L102</f>
        <v>96978843</v>
      </c>
      <c r="N102" s="337">
        <f>+F102-M102</f>
        <v>660472407</v>
      </c>
      <c r="P102" s="340"/>
      <c r="S102" s="347"/>
      <c r="T102" s="347"/>
      <c r="U102" s="342"/>
    </row>
    <row r="103" spans="1:21" s="339" customFormat="1" ht="18" customHeight="1" x14ac:dyDescent="0.25">
      <c r="A103" s="334"/>
      <c r="B103" s="335"/>
      <c r="C103" s="335"/>
      <c r="D103" s="365" t="s">
        <v>243</v>
      </c>
      <c r="E103" s="335" t="s">
        <v>331</v>
      </c>
      <c r="F103" s="337">
        <v>31387500</v>
      </c>
      <c r="G103" s="344"/>
      <c r="H103" s="344">
        <v>4646976</v>
      </c>
      <c r="I103" s="344">
        <f t="shared" ref="I103:I110" si="39">+G103+H103</f>
        <v>4646976</v>
      </c>
      <c r="J103" s="344"/>
      <c r="K103" s="344"/>
      <c r="L103" s="344">
        <f t="shared" si="22"/>
        <v>0</v>
      </c>
      <c r="M103" s="344">
        <f t="shared" ref="M103:M112" si="40">+I103+L103</f>
        <v>4646976</v>
      </c>
      <c r="N103" s="337">
        <f t="shared" ref="N103:N108" si="41">+F103-M103</f>
        <v>26740524</v>
      </c>
      <c r="P103" s="340"/>
      <c r="S103" s="347"/>
      <c r="T103" s="346">
        <v>4646976</v>
      </c>
      <c r="U103" s="342"/>
    </row>
    <row r="104" spans="1:21" s="339" customFormat="1" ht="18" customHeight="1" x14ac:dyDescent="0.25">
      <c r="A104" s="334"/>
      <c r="B104" s="335"/>
      <c r="C104" s="335"/>
      <c r="D104" s="365" t="s">
        <v>244</v>
      </c>
      <c r="E104" s="335" t="s">
        <v>245</v>
      </c>
      <c r="F104" s="337">
        <v>36450000</v>
      </c>
      <c r="G104" s="344"/>
      <c r="H104" s="344">
        <v>5396488</v>
      </c>
      <c r="I104" s="344">
        <f t="shared" si="39"/>
        <v>5396488</v>
      </c>
      <c r="J104" s="344"/>
      <c r="K104" s="344"/>
      <c r="L104" s="344">
        <f t="shared" si="22"/>
        <v>0</v>
      </c>
      <c r="M104" s="344">
        <f t="shared" si="40"/>
        <v>5396488</v>
      </c>
      <c r="N104" s="337">
        <f t="shared" si="41"/>
        <v>31053512</v>
      </c>
      <c r="P104" s="340"/>
      <c r="S104" s="347"/>
      <c r="T104" s="346">
        <v>5396488</v>
      </c>
      <c r="U104" s="342"/>
    </row>
    <row r="105" spans="1:21" s="339" customFormat="1" ht="18" customHeight="1" x14ac:dyDescent="0.25">
      <c r="A105" s="334"/>
      <c r="B105" s="335"/>
      <c r="C105" s="335"/>
      <c r="D105" s="365" t="s">
        <v>246</v>
      </c>
      <c r="E105" s="335" t="s">
        <v>247</v>
      </c>
      <c r="F105" s="337">
        <v>4050000</v>
      </c>
      <c r="G105" s="344"/>
      <c r="H105" s="344">
        <v>599610</v>
      </c>
      <c r="I105" s="344">
        <f t="shared" si="39"/>
        <v>599610</v>
      </c>
      <c r="J105" s="344"/>
      <c r="K105" s="344"/>
      <c r="L105" s="344">
        <f t="shared" si="22"/>
        <v>0</v>
      </c>
      <c r="M105" s="344">
        <f t="shared" si="40"/>
        <v>599610</v>
      </c>
      <c r="N105" s="337">
        <f t="shared" si="41"/>
        <v>3450390</v>
      </c>
      <c r="P105" s="340"/>
      <c r="S105" s="347"/>
      <c r="T105" s="346">
        <v>599610</v>
      </c>
      <c r="U105" s="342"/>
    </row>
    <row r="106" spans="1:21" s="339" customFormat="1" ht="18" customHeight="1" x14ac:dyDescent="0.25">
      <c r="A106" s="334"/>
      <c r="B106" s="335"/>
      <c r="C106" s="335"/>
      <c r="D106" s="365" t="s">
        <v>248</v>
      </c>
      <c r="E106" s="335" t="s">
        <v>249</v>
      </c>
      <c r="F106" s="337">
        <v>22275000</v>
      </c>
      <c r="G106" s="344"/>
      <c r="H106" s="344">
        <v>3259838</v>
      </c>
      <c r="I106" s="344">
        <f t="shared" si="39"/>
        <v>3259838</v>
      </c>
      <c r="J106" s="344"/>
      <c r="K106" s="344"/>
      <c r="L106" s="344">
        <f t="shared" si="22"/>
        <v>0</v>
      </c>
      <c r="M106" s="344">
        <f t="shared" si="40"/>
        <v>3259838</v>
      </c>
      <c r="N106" s="337">
        <f t="shared" si="41"/>
        <v>19015162</v>
      </c>
      <c r="P106" s="340"/>
      <c r="S106" s="347"/>
      <c r="T106" s="346">
        <v>3259838</v>
      </c>
      <c r="U106" s="342"/>
    </row>
    <row r="107" spans="1:21" s="339" customFormat="1" ht="18" customHeight="1" x14ac:dyDescent="0.25">
      <c r="A107" s="334"/>
      <c r="B107" s="335"/>
      <c r="C107" s="335"/>
      <c r="D107" s="365" t="s">
        <v>250</v>
      </c>
      <c r="E107" s="335" t="s">
        <v>251</v>
      </c>
      <c r="F107" s="337">
        <v>273375000</v>
      </c>
      <c r="G107" s="344"/>
      <c r="H107" s="344">
        <v>40473658</v>
      </c>
      <c r="I107" s="344">
        <f t="shared" si="39"/>
        <v>40473658</v>
      </c>
      <c r="J107" s="344"/>
      <c r="K107" s="344"/>
      <c r="L107" s="344">
        <f t="shared" si="22"/>
        <v>0</v>
      </c>
      <c r="M107" s="344">
        <f t="shared" si="40"/>
        <v>40473658</v>
      </c>
      <c r="N107" s="337">
        <f t="shared" si="41"/>
        <v>232901342</v>
      </c>
      <c r="P107" s="340"/>
      <c r="S107" s="347"/>
      <c r="T107" s="346">
        <v>40473658</v>
      </c>
      <c r="U107" s="342"/>
    </row>
    <row r="108" spans="1:21" s="339" customFormat="1" ht="18" customHeight="1" x14ac:dyDescent="0.25">
      <c r="A108" s="334"/>
      <c r="B108" s="335"/>
      <c r="C108" s="335"/>
      <c r="D108" s="365" t="s">
        <v>252</v>
      </c>
      <c r="E108" s="335" t="s">
        <v>253</v>
      </c>
      <c r="F108" s="337">
        <v>1215000</v>
      </c>
      <c r="G108" s="344"/>
      <c r="H108" s="344">
        <v>179883</v>
      </c>
      <c r="I108" s="344">
        <f t="shared" si="39"/>
        <v>179883</v>
      </c>
      <c r="J108" s="344"/>
      <c r="K108" s="344"/>
      <c r="L108" s="344">
        <f t="shared" si="22"/>
        <v>0</v>
      </c>
      <c r="M108" s="344">
        <f t="shared" si="40"/>
        <v>179883</v>
      </c>
      <c r="N108" s="337">
        <f t="shared" si="41"/>
        <v>1035117</v>
      </c>
      <c r="P108" s="340"/>
      <c r="S108" s="347"/>
      <c r="T108" s="346">
        <v>179883</v>
      </c>
      <c r="U108" s="342"/>
    </row>
    <row r="109" spans="1:21" s="339" customFormat="1" ht="18" customHeight="1" x14ac:dyDescent="0.25">
      <c r="A109" s="334"/>
      <c r="B109" s="335"/>
      <c r="C109" s="335"/>
      <c r="D109" s="365" t="s">
        <v>254</v>
      </c>
      <c r="E109" s="335" t="s">
        <v>255</v>
      </c>
      <c r="F109" s="337">
        <v>11137500</v>
      </c>
      <c r="G109" s="344"/>
      <c r="H109" s="344">
        <v>1648927</v>
      </c>
      <c r="I109" s="344">
        <f t="shared" si="39"/>
        <v>1648927</v>
      </c>
      <c r="J109" s="344"/>
      <c r="K109" s="344"/>
      <c r="L109" s="344">
        <f t="shared" si="22"/>
        <v>0</v>
      </c>
      <c r="M109" s="344">
        <f t="shared" si="40"/>
        <v>1648927</v>
      </c>
      <c r="N109" s="337">
        <f>+F109-M109</f>
        <v>9488573</v>
      </c>
      <c r="P109" s="340"/>
      <c r="S109" s="347"/>
      <c r="T109" s="346">
        <v>1648927</v>
      </c>
      <c r="U109" s="342"/>
    </row>
    <row r="110" spans="1:21" s="339" customFormat="1" ht="32.25" customHeight="1" x14ac:dyDescent="0.25">
      <c r="A110" s="366"/>
      <c r="B110" s="367"/>
      <c r="C110" s="367"/>
      <c r="D110" s="368" t="s">
        <v>256</v>
      </c>
      <c r="E110" s="369" t="s">
        <v>257</v>
      </c>
      <c r="F110" s="370">
        <v>202500</v>
      </c>
      <c r="G110" s="371"/>
      <c r="H110" s="371"/>
      <c r="I110" s="371">
        <f t="shared" si="39"/>
        <v>0</v>
      </c>
      <c r="J110" s="371"/>
      <c r="K110" s="371"/>
      <c r="L110" s="371">
        <f t="shared" si="22"/>
        <v>0</v>
      </c>
      <c r="M110" s="371">
        <f t="shared" si="40"/>
        <v>0</v>
      </c>
      <c r="N110" s="370">
        <f>+F110-M110</f>
        <v>202500</v>
      </c>
      <c r="P110" s="340"/>
      <c r="S110" s="347"/>
      <c r="T110" s="347"/>
      <c r="U110" s="342"/>
    </row>
    <row r="111" spans="1:21" s="339" customFormat="1" ht="31.5" x14ac:dyDescent="0.25">
      <c r="A111" s="366"/>
      <c r="B111" s="367"/>
      <c r="C111" s="367"/>
      <c r="D111" s="368" t="s">
        <v>258</v>
      </c>
      <c r="E111" s="369" t="s">
        <v>259</v>
      </c>
      <c r="F111" s="370">
        <v>101958750</v>
      </c>
      <c r="G111" s="371"/>
      <c r="H111" s="371"/>
      <c r="I111" s="371">
        <f>+G111+H111</f>
        <v>0</v>
      </c>
      <c r="J111" s="371"/>
      <c r="K111" s="371"/>
      <c r="L111" s="371">
        <f t="shared" si="22"/>
        <v>0</v>
      </c>
      <c r="M111" s="371">
        <f t="shared" si="40"/>
        <v>0</v>
      </c>
      <c r="N111" s="370">
        <f>+F111-M111</f>
        <v>101958750</v>
      </c>
      <c r="P111" s="340"/>
      <c r="S111" s="347"/>
      <c r="T111" s="347"/>
      <c r="U111" s="342"/>
    </row>
    <row r="112" spans="1:21" s="153" customFormat="1" ht="31.5" x14ac:dyDescent="0.25">
      <c r="A112" s="372"/>
      <c r="B112" s="373"/>
      <c r="C112" s="373"/>
      <c r="D112" s="374" t="s">
        <v>260</v>
      </c>
      <c r="E112" s="375" t="s">
        <v>261</v>
      </c>
      <c r="F112" s="376">
        <v>275400000</v>
      </c>
      <c r="G112" s="377"/>
      <c r="H112" s="377">
        <v>40773463</v>
      </c>
      <c r="I112" s="377">
        <f t="shared" ref="I112" si="42">+G112+H112</f>
        <v>40773463</v>
      </c>
      <c r="J112" s="377"/>
      <c r="K112" s="377"/>
      <c r="L112" s="377">
        <f t="shared" si="22"/>
        <v>0</v>
      </c>
      <c r="M112" s="377">
        <f t="shared" si="40"/>
        <v>40773463</v>
      </c>
      <c r="N112" s="376">
        <f>+F112-M112</f>
        <v>234626537</v>
      </c>
      <c r="P112" s="200"/>
      <c r="S112" s="221"/>
      <c r="T112" s="358">
        <v>40773463</v>
      </c>
      <c r="U112" s="254"/>
    </row>
    <row r="113" spans="1:21" s="319" customFormat="1" ht="18" customHeight="1" x14ac:dyDescent="0.25">
      <c r="A113" s="276">
        <v>4</v>
      </c>
      <c r="B113" s="305"/>
      <c r="C113" s="305" t="s">
        <v>84</v>
      </c>
      <c r="D113" s="363"/>
      <c r="E113" s="364" t="s">
        <v>85</v>
      </c>
      <c r="F113" s="307">
        <f>+F114</f>
        <v>31153000</v>
      </c>
      <c r="G113" s="308">
        <f t="shared" ref="F113:H114" si="43">+G114</f>
        <v>0</v>
      </c>
      <c r="H113" s="308">
        <f t="shared" si="43"/>
        <v>0</v>
      </c>
      <c r="I113" s="308">
        <f>+G113+H113</f>
        <v>0</v>
      </c>
      <c r="J113" s="308">
        <f>+J114</f>
        <v>2990625</v>
      </c>
      <c r="K113" s="308">
        <f>+K114</f>
        <v>2950125</v>
      </c>
      <c r="L113" s="308">
        <f>+J113+K113</f>
        <v>5940750</v>
      </c>
      <c r="M113" s="308">
        <f>+I113+L113</f>
        <v>5940750</v>
      </c>
      <c r="N113" s="307">
        <f>+F113-M113</f>
        <v>25212250</v>
      </c>
      <c r="P113" s="320"/>
      <c r="R113" s="321"/>
      <c r="S113" s="349"/>
      <c r="T113" s="349"/>
      <c r="U113" s="350"/>
    </row>
    <row r="114" spans="1:21" s="329" customFormat="1" ht="18" customHeight="1" x14ac:dyDescent="0.25">
      <c r="A114" s="323"/>
      <c r="B114" s="324"/>
      <c r="C114" s="324"/>
      <c r="D114" s="325" t="s">
        <v>207</v>
      </c>
      <c r="E114" s="326" t="s">
        <v>262</v>
      </c>
      <c r="F114" s="327">
        <f t="shared" si="43"/>
        <v>31153000</v>
      </c>
      <c r="G114" s="328">
        <f t="shared" si="43"/>
        <v>0</v>
      </c>
      <c r="H114" s="328">
        <f t="shared" si="43"/>
        <v>0</v>
      </c>
      <c r="I114" s="328">
        <f>+G114+H114</f>
        <v>0</v>
      </c>
      <c r="J114" s="328">
        <f t="shared" ref="J114:K116" si="44">+J115</f>
        <v>2990625</v>
      </c>
      <c r="K114" s="328">
        <f t="shared" si="44"/>
        <v>2950125</v>
      </c>
      <c r="L114" s="328">
        <f>+J114+K114</f>
        <v>5940750</v>
      </c>
      <c r="M114" s="328">
        <f t="shared" ref="M114:M120" si="45">+I114+L114</f>
        <v>5940750</v>
      </c>
      <c r="N114" s="327">
        <f t="shared" ref="N114:N117" si="46">+F114-M114</f>
        <v>25212250</v>
      </c>
      <c r="P114" s="330"/>
      <c r="R114" s="331"/>
      <c r="S114" s="351"/>
      <c r="T114" s="351"/>
      <c r="U114" s="333"/>
    </row>
    <row r="115" spans="1:21" s="339" customFormat="1" ht="18" customHeight="1" x14ac:dyDescent="0.25">
      <c r="A115" s="334"/>
      <c r="B115" s="378"/>
      <c r="C115" s="378"/>
      <c r="D115" s="335" t="s">
        <v>63</v>
      </c>
      <c r="E115" s="335" t="s">
        <v>30</v>
      </c>
      <c r="F115" s="337">
        <f>F116</f>
        <v>31153000</v>
      </c>
      <c r="G115" s="344">
        <f>+G116</f>
        <v>0</v>
      </c>
      <c r="H115" s="344">
        <f>+H116</f>
        <v>0</v>
      </c>
      <c r="I115" s="344">
        <f>+G115+H115</f>
        <v>0</v>
      </c>
      <c r="J115" s="344">
        <f>+J116</f>
        <v>2990625</v>
      </c>
      <c r="K115" s="344">
        <f t="shared" si="44"/>
        <v>2950125</v>
      </c>
      <c r="L115" s="344">
        <f>+J115+K115</f>
        <v>5940750</v>
      </c>
      <c r="M115" s="344">
        <f t="shared" si="45"/>
        <v>5940750</v>
      </c>
      <c r="N115" s="337">
        <f t="shared" si="46"/>
        <v>25212250</v>
      </c>
      <c r="P115" s="340"/>
      <c r="S115" s="347"/>
      <c r="T115" s="347"/>
      <c r="U115" s="342"/>
    </row>
    <row r="116" spans="1:21" s="339" customFormat="1" ht="18" customHeight="1" x14ac:dyDescent="0.25">
      <c r="A116" s="334"/>
      <c r="B116" s="335"/>
      <c r="C116" s="335"/>
      <c r="D116" s="335" t="s">
        <v>263</v>
      </c>
      <c r="E116" s="336" t="s">
        <v>264</v>
      </c>
      <c r="F116" s="337">
        <f>+F117</f>
        <v>31153000</v>
      </c>
      <c r="G116" s="338">
        <f>+G117</f>
        <v>0</v>
      </c>
      <c r="H116" s="338">
        <f>+H117</f>
        <v>0</v>
      </c>
      <c r="I116" s="338">
        <f>+G116+H116</f>
        <v>0</v>
      </c>
      <c r="J116" s="338">
        <f t="shared" si="44"/>
        <v>2990625</v>
      </c>
      <c r="K116" s="338">
        <f t="shared" si="44"/>
        <v>2950125</v>
      </c>
      <c r="L116" s="338">
        <f>+J116+K116</f>
        <v>5940750</v>
      </c>
      <c r="M116" s="338">
        <f t="shared" si="45"/>
        <v>5940750</v>
      </c>
      <c r="N116" s="337">
        <f t="shared" si="46"/>
        <v>25212250</v>
      </c>
      <c r="P116" s="340"/>
      <c r="S116" s="347"/>
      <c r="T116" s="347"/>
      <c r="U116" s="342"/>
    </row>
    <row r="117" spans="1:21" s="339" customFormat="1" ht="18" customHeight="1" x14ac:dyDescent="0.25">
      <c r="A117" s="334"/>
      <c r="B117" s="378"/>
      <c r="C117" s="378"/>
      <c r="D117" s="335" t="s">
        <v>64</v>
      </c>
      <c r="E117" s="335" t="s">
        <v>65</v>
      </c>
      <c r="F117" s="337">
        <f>F118+F119+F120</f>
        <v>31153000</v>
      </c>
      <c r="G117" s="344">
        <f>SUM(G118:G120)</f>
        <v>0</v>
      </c>
      <c r="H117" s="344">
        <f>SUM(H118:H120)</f>
        <v>0</v>
      </c>
      <c r="I117" s="344">
        <f>+G117+H117</f>
        <v>0</v>
      </c>
      <c r="J117" s="344">
        <f>SUM(J118:J120)</f>
        <v>2990625</v>
      </c>
      <c r="K117" s="344">
        <f>SUM(K118:K120)</f>
        <v>2950125</v>
      </c>
      <c r="L117" s="344">
        <f>+J117+K117</f>
        <v>5940750</v>
      </c>
      <c r="M117" s="344">
        <f t="shared" si="45"/>
        <v>5940750</v>
      </c>
      <c r="N117" s="337">
        <f t="shared" si="46"/>
        <v>25212250</v>
      </c>
      <c r="P117" s="340"/>
      <c r="S117" s="347"/>
      <c r="T117" s="347"/>
      <c r="U117" s="342"/>
    </row>
    <row r="118" spans="1:21" s="339" customFormat="1" ht="18" customHeight="1" x14ac:dyDescent="0.25">
      <c r="A118" s="334"/>
      <c r="B118" s="378"/>
      <c r="C118" s="378"/>
      <c r="D118" s="335" t="s">
        <v>66</v>
      </c>
      <c r="E118" s="335" t="s">
        <v>67</v>
      </c>
      <c r="F118" s="337">
        <v>1447000</v>
      </c>
      <c r="G118" s="344"/>
      <c r="H118" s="344"/>
      <c r="I118" s="344">
        <f t="shared" ref="I118:I120" si="47">+G118+H118</f>
        <v>0</v>
      </c>
      <c r="J118" s="344"/>
      <c r="K118" s="344"/>
      <c r="L118" s="344">
        <f t="shared" ref="L118:L120" si="48">+J118+K118</f>
        <v>0</v>
      </c>
      <c r="M118" s="344">
        <f t="shared" si="45"/>
        <v>0</v>
      </c>
      <c r="N118" s="337">
        <f>+F118-M118</f>
        <v>1447000</v>
      </c>
      <c r="P118" s="340"/>
      <c r="S118" s="347"/>
      <c r="T118" s="347"/>
      <c r="U118" s="342"/>
    </row>
    <row r="119" spans="1:21" s="339" customFormat="1" ht="18" customHeight="1" x14ac:dyDescent="0.25">
      <c r="A119" s="334"/>
      <c r="B119" s="378"/>
      <c r="C119" s="378"/>
      <c r="D119" s="335" t="s">
        <v>337</v>
      </c>
      <c r="E119" s="335" t="s">
        <v>338</v>
      </c>
      <c r="F119" s="337">
        <v>3792000</v>
      </c>
      <c r="G119" s="344"/>
      <c r="H119" s="344"/>
      <c r="I119" s="344">
        <f t="shared" si="47"/>
        <v>0</v>
      </c>
      <c r="J119" s="344"/>
      <c r="K119" s="344"/>
      <c r="L119" s="344">
        <f t="shared" si="48"/>
        <v>0</v>
      </c>
      <c r="M119" s="344">
        <f t="shared" si="45"/>
        <v>0</v>
      </c>
      <c r="N119" s="337">
        <f t="shared" ref="N119:N120" si="49">+F119-M119</f>
        <v>3792000</v>
      </c>
      <c r="P119" s="340"/>
      <c r="S119" s="347"/>
      <c r="T119" s="347"/>
      <c r="U119" s="342"/>
    </row>
    <row r="120" spans="1:21" s="339" customFormat="1" ht="18" customHeight="1" x14ac:dyDescent="0.25">
      <c r="A120" s="334"/>
      <c r="B120" s="378"/>
      <c r="C120" s="378"/>
      <c r="D120" s="335" t="s">
        <v>68</v>
      </c>
      <c r="E120" s="335" t="s">
        <v>69</v>
      </c>
      <c r="F120" s="337">
        <v>25914000</v>
      </c>
      <c r="G120" s="344"/>
      <c r="H120" s="344"/>
      <c r="I120" s="344">
        <f t="shared" si="47"/>
        <v>0</v>
      </c>
      <c r="J120" s="344">
        <v>2990625</v>
      </c>
      <c r="K120" s="344">
        <f>965625+997500+987000</f>
        <v>2950125</v>
      </c>
      <c r="L120" s="344">
        <f t="shared" si="48"/>
        <v>5940750</v>
      </c>
      <c r="M120" s="344">
        <f t="shared" si="45"/>
        <v>5940750</v>
      </c>
      <c r="N120" s="337">
        <f t="shared" si="49"/>
        <v>19973250</v>
      </c>
      <c r="P120" s="340"/>
      <c r="S120" s="346">
        <f>997500+987000+965625</f>
        <v>2950125</v>
      </c>
      <c r="T120" s="347"/>
      <c r="U120" s="342"/>
    </row>
    <row r="121" spans="1:21" s="153" customFormat="1" ht="18" customHeight="1" x14ac:dyDescent="0.25">
      <c r="A121" s="353"/>
      <c r="B121" s="354"/>
      <c r="C121" s="354"/>
      <c r="D121" s="355"/>
      <c r="E121" s="355"/>
      <c r="F121" s="356"/>
      <c r="G121" s="357"/>
      <c r="H121" s="357"/>
      <c r="I121" s="357"/>
      <c r="J121" s="357"/>
      <c r="K121" s="357"/>
      <c r="L121" s="357"/>
      <c r="M121" s="357"/>
      <c r="N121" s="356"/>
      <c r="P121" s="200"/>
      <c r="S121" s="221"/>
      <c r="T121" s="221"/>
      <c r="U121" s="254"/>
    </row>
    <row r="122" spans="1:21" s="319" customFormat="1" ht="18" customHeight="1" x14ac:dyDescent="0.25">
      <c r="A122" s="276"/>
      <c r="B122" s="305" t="s">
        <v>405</v>
      </c>
      <c r="C122" s="305"/>
      <c r="D122" s="305"/>
      <c r="E122" s="305" t="s">
        <v>406</v>
      </c>
      <c r="F122" s="359">
        <f t="shared" ref="F122:G124" si="50">+F123</f>
        <v>654671250</v>
      </c>
      <c r="G122" s="360">
        <f t="shared" si="50"/>
        <v>0</v>
      </c>
      <c r="H122" s="360">
        <f>+H123</f>
        <v>0</v>
      </c>
      <c r="I122" s="360">
        <f t="shared" ref="I122:I136" si="51">+G122+H122</f>
        <v>0</v>
      </c>
      <c r="J122" s="360">
        <f>+J124</f>
        <v>150000</v>
      </c>
      <c r="K122" s="360">
        <f>+K123</f>
        <v>0</v>
      </c>
      <c r="L122" s="360">
        <f>+J122+K122</f>
        <v>150000</v>
      </c>
      <c r="M122" s="360">
        <f t="shared" ref="M122" si="52">+I122+L122</f>
        <v>150000</v>
      </c>
      <c r="N122" s="359">
        <f t="shared" ref="N122:N130" si="53">+F122-M122</f>
        <v>654521250</v>
      </c>
      <c r="P122" s="361"/>
      <c r="R122" s="321"/>
      <c r="S122" s="362"/>
      <c r="T122" s="362"/>
      <c r="U122" s="350"/>
    </row>
    <row r="123" spans="1:21" s="319" customFormat="1" ht="18" customHeight="1" x14ac:dyDescent="0.25">
      <c r="A123" s="277">
        <v>5</v>
      </c>
      <c r="B123" s="305"/>
      <c r="C123" s="305" t="s">
        <v>86</v>
      </c>
      <c r="D123" s="363"/>
      <c r="E123" s="364" t="s">
        <v>87</v>
      </c>
      <c r="F123" s="307">
        <f t="shared" si="50"/>
        <v>654671250</v>
      </c>
      <c r="G123" s="308">
        <f t="shared" si="50"/>
        <v>0</v>
      </c>
      <c r="H123" s="308">
        <f>+H124</f>
        <v>0</v>
      </c>
      <c r="I123" s="308">
        <f t="shared" si="51"/>
        <v>0</v>
      </c>
      <c r="J123" s="308">
        <f>+J124</f>
        <v>150000</v>
      </c>
      <c r="K123" s="308">
        <f>+K124</f>
        <v>0</v>
      </c>
      <c r="L123" s="308">
        <f>+J123+K123</f>
        <v>150000</v>
      </c>
      <c r="M123" s="308">
        <f>+I123+L123</f>
        <v>150000</v>
      </c>
      <c r="N123" s="307">
        <f t="shared" si="53"/>
        <v>654521250</v>
      </c>
      <c r="P123" s="320"/>
      <c r="R123" s="321"/>
      <c r="S123" s="349"/>
      <c r="T123" s="349"/>
      <c r="U123" s="350"/>
    </row>
    <row r="124" spans="1:21" s="329" customFormat="1" ht="18" customHeight="1" x14ac:dyDescent="0.25">
      <c r="A124" s="323"/>
      <c r="B124" s="324"/>
      <c r="C124" s="324"/>
      <c r="D124" s="325" t="s">
        <v>207</v>
      </c>
      <c r="E124" s="326" t="s">
        <v>262</v>
      </c>
      <c r="F124" s="327">
        <f t="shared" si="50"/>
        <v>654671250</v>
      </c>
      <c r="G124" s="328">
        <f t="shared" si="50"/>
        <v>0</v>
      </c>
      <c r="H124" s="328">
        <f>+H125</f>
        <v>0</v>
      </c>
      <c r="I124" s="328">
        <f t="shared" si="51"/>
        <v>0</v>
      </c>
      <c r="J124" s="328">
        <f>+J125</f>
        <v>150000</v>
      </c>
      <c r="K124" s="328">
        <f>+K125</f>
        <v>0</v>
      </c>
      <c r="L124" s="328">
        <f t="shared" ref="L124:L136" si="54">+J124+K124</f>
        <v>150000</v>
      </c>
      <c r="M124" s="328">
        <f t="shared" ref="M124:M127" si="55">+I124+L124</f>
        <v>150000</v>
      </c>
      <c r="N124" s="327">
        <f t="shared" si="53"/>
        <v>654521250</v>
      </c>
      <c r="P124" s="330"/>
      <c r="R124" s="331"/>
      <c r="S124" s="351"/>
      <c r="T124" s="351"/>
      <c r="U124" s="333"/>
    </row>
    <row r="125" spans="1:21" s="339" customFormat="1" ht="18" customHeight="1" x14ac:dyDescent="0.25">
      <c r="A125" s="334"/>
      <c r="B125" s="335"/>
      <c r="C125" s="335"/>
      <c r="D125" s="365" t="s">
        <v>63</v>
      </c>
      <c r="E125" s="335" t="s">
        <v>30</v>
      </c>
      <c r="F125" s="337">
        <f>F131+F126</f>
        <v>654671250</v>
      </c>
      <c r="G125" s="344">
        <f>+G126+G131</f>
        <v>0</v>
      </c>
      <c r="H125" s="344">
        <f>+H126+H131</f>
        <v>0</v>
      </c>
      <c r="I125" s="344">
        <f t="shared" si="51"/>
        <v>0</v>
      </c>
      <c r="J125" s="344">
        <f>+J126+J131</f>
        <v>150000</v>
      </c>
      <c r="K125" s="344">
        <f>+K131+K126</f>
        <v>0</v>
      </c>
      <c r="L125" s="344">
        <f t="shared" si="54"/>
        <v>150000</v>
      </c>
      <c r="M125" s="344">
        <f t="shared" si="55"/>
        <v>150000</v>
      </c>
      <c r="N125" s="337">
        <f t="shared" si="53"/>
        <v>654521250</v>
      </c>
      <c r="P125" s="340"/>
      <c r="S125" s="347"/>
      <c r="T125" s="347"/>
      <c r="U125" s="342"/>
    </row>
    <row r="126" spans="1:21" s="339" customFormat="1" ht="18" customHeight="1" x14ac:dyDescent="0.25">
      <c r="A126" s="334"/>
      <c r="B126" s="335"/>
      <c r="C126" s="335"/>
      <c r="D126" s="365" t="s">
        <v>263</v>
      </c>
      <c r="E126" s="336" t="s">
        <v>264</v>
      </c>
      <c r="F126" s="337">
        <f>+F127</f>
        <v>137486250</v>
      </c>
      <c r="G126" s="344">
        <f>+G127</f>
        <v>0</v>
      </c>
      <c r="H126" s="344">
        <f>+H127</f>
        <v>0</v>
      </c>
      <c r="I126" s="344">
        <f t="shared" si="51"/>
        <v>0</v>
      </c>
      <c r="J126" s="344">
        <f>+J127</f>
        <v>150000</v>
      </c>
      <c r="K126" s="344">
        <f>+K127</f>
        <v>0</v>
      </c>
      <c r="L126" s="344">
        <f t="shared" si="54"/>
        <v>150000</v>
      </c>
      <c r="M126" s="344">
        <f t="shared" si="55"/>
        <v>150000</v>
      </c>
      <c r="N126" s="337">
        <f t="shared" si="53"/>
        <v>137336250</v>
      </c>
      <c r="P126" s="340"/>
      <c r="S126" s="347"/>
      <c r="T126" s="347"/>
      <c r="U126" s="342"/>
    </row>
    <row r="127" spans="1:21" s="339" customFormat="1" ht="18" customHeight="1" x14ac:dyDescent="0.25">
      <c r="A127" s="334"/>
      <c r="B127" s="335"/>
      <c r="C127" s="335"/>
      <c r="D127" s="365" t="s">
        <v>64</v>
      </c>
      <c r="E127" s="335" t="s">
        <v>65</v>
      </c>
      <c r="F127" s="337">
        <f>+F128+F129+F130</f>
        <v>137486250</v>
      </c>
      <c r="G127" s="344">
        <f>SUM(G128:G129)</f>
        <v>0</v>
      </c>
      <c r="H127" s="344">
        <f>SUM(H128:H129)</f>
        <v>0</v>
      </c>
      <c r="I127" s="344">
        <f t="shared" si="51"/>
        <v>0</v>
      </c>
      <c r="J127" s="344">
        <f>SUM(J128:J130)</f>
        <v>150000</v>
      </c>
      <c r="K127" s="344">
        <f>SUM(K128:K130)</f>
        <v>0</v>
      </c>
      <c r="L127" s="344">
        <f t="shared" si="54"/>
        <v>150000</v>
      </c>
      <c r="M127" s="344">
        <f t="shared" si="55"/>
        <v>150000</v>
      </c>
      <c r="N127" s="337">
        <f t="shared" si="53"/>
        <v>137336250</v>
      </c>
      <c r="P127" s="340"/>
      <c r="S127" s="347"/>
      <c r="T127" s="347"/>
      <c r="U127" s="342"/>
    </row>
    <row r="128" spans="1:21" s="339" customFormat="1" ht="18" customHeight="1" x14ac:dyDescent="0.25">
      <c r="A128" s="334"/>
      <c r="B128" s="335"/>
      <c r="C128" s="335"/>
      <c r="D128" s="365" t="s">
        <v>66</v>
      </c>
      <c r="E128" s="335" t="s">
        <v>67</v>
      </c>
      <c r="F128" s="337">
        <v>2756250</v>
      </c>
      <c r="G128" s="344"/>
      <c r="H128" s="344"/>
      <c r="I128" s="344">
        <f t="shared" si="51"/>
        <v>0</v>
      </c>
      <c r="J128" s="344">
        <v>150000</v>
      </c>
      <c r="K128" s="344"/>
      <c r="L128" s="344">
        <f t="shared" si="54"/>
        <v>150000</v>
      </c>
      <c r="M128" s="344">
        <f>+I128+L128</f>
        <v>150000</v>
      </c>
      <c r="N128" s="337">
        <f t="shared" si="53"/>
        <v>2606250</v>
      </c>
      <c r="P128" s="340"/>
      <c r="S128" s="347"/>
      <c r="T128" s="347"/>
      <c r="U128" s="342"/>
    </row>
    <row r="129" spans="1:21" s="339" customFormat="1" ht="18" customHeight="1" x14ac:dyDescent="0.25">
      <c r="A129" s="334"/>
      <c r="B129" s="335"/>
      <c r="C129" s="335"/>
      <c r="D129" s="365" t="s">
        <v>369</v>
      </c>
      <c r="E129" s="335" t="s">
        <v>370</v>
      </c>
      <c r="F129" s="337">
        <v>7230000</v>
      </c>
      <c r="G129" s="344"/>
      <c r="H129" s="344"/>
      <c r="I129" s="344">
        <f t="shared" si="51"/>
        <v>0</v>
      </c>
      <c r="J129" s="344"/>
      <c r="K129" s="344"/>
      <c r="L129" s="344">
        <f t="shared" si="54"/>
        <v>0</v>
      </c>
      <c r="M129" s="344">
        <f>+I129+L129</f>
        <v>0</v>
      </c>
      <c r="N129" s="337">
        <f t="shared" si="53"/>
        <v>7230000</v>
      </c>
      <c r="P129" s="340"/>
      <c r="S129" s="347"/>
      <c r="T129" s="347"/>
      <c r="U129" s="342"/>
    </row>
    <row r="130" spans="1:21" s="339" customFormat="1" ht="18" customHeight="1" x14ac:dyDescent="0.25">
      <c r="A130" s="334"/>
      <c r="B130" s="335"/>
      <c r="C130" s="335"/>
      <c r="D130" s="365" t="s">
        <v>447</v>
      </c>
      <c r="E130" s="335" t="s">
        <v>448</v>
      </c>
      <c r="F130" s="337">
        <v>127500000</v>
      </c>
      <c r="G130" s="344"/>
      <c r="H130" s="344"/>
      <c r="I130" s="344">
        <f t="shared" si="51"/>
        <v>0</v>
      </c>
      <c r="J130" s="344"/>
      <c r="K130" s="344"/>
      <c r="L130" s="344">
        <f t="shared" si="54"/>
        <v>0</v>
      </c>
      <c r="M130" s="344">
        <f>+I130+L130</f>
        <v>0</v>
      </c>
      <c r="N130" s="337">
        <f t="shared" si="53"/>
        <v>127500000</v>
      </c>
      <c r="P130" s="340"/>
      <c r="S130" s="347"/>
      <c r="T130" s="347"/>
      <c r="U130" s="342"/>
    </row>
    <row r="131" spans="1:21" s="339" customFormat="1" ht="18" customHeight="1" x14ac:dyDescent="0.25">
      <c r="A131" s="334"/>
      <c r="B131" s="335"/>
      <c r="C131" s="335"/>
      <c r="D131" s="365" t="s">
        <v>265</v>
      </c>
      <c r="E131" s="335" t="s">
        <v>266</v>
      </c>
      <c r="F131" s="337">
        <f>+F132</f>
        <v>517185000</v>
      </c>
      <c r="G131" s="344">
        <f>+G132</f>
        <v>0</v>
      </c>
      <c r="H131" s="344">
        <f>+H132</f>
        <v>0</v>
      </c>
      <c r="I131" s="344">
        <f t="shared" si="51"/>
        <v>0</v>
      </c>
      <c r="J131" s="344">
        <f>+J132</f>
        <v>0</v>
      </c>
      <c r="K131" s="344">
        <f>+K132</f>
        <v>0</v>
      </c>
      <c r="L131" s="344">
        <f t="shared" si="54"/>
        <v>0</v>
      </c>
      <c r="M131" s="344">
        <f t="shared" ref="M131:M132" si="56">+I131+L131</f>
        <v>0</v>
      </c>
      <c r="N131" s="337">
        <f>+F131-M131</f>
        <v>517185000</v>
      </c>
      <c r="P131" s="340"/>
      <c r="S131" s="347"/>
      <c r="T131" s="347"/>
      <c r="U131" s="342"/>
    </row>
    <row r="132" spans="1:21" s="339" customFormat="1" ht="18" customHeight="1" x14ac:dyDescent="0.25">
      <c r="A132" s="334"/>
      <c r="B132" s="335"/>
      <c r="C132" s="335"/>
      <c r="D132" s="365" t="s">
        <v>71</v>
      </c>
      <c r="E132" s="335" t="s">
        <v>72</v>
      </c>
      <c r="F132" s="337">
        <f>SUM(F133:F136)</f>
        <v>517185000</v>
      </c>
      <c r="G132" s="344">
        <f>SUM(G133:G134)</f>
        <v>0</v>
      </c>
      <c r="H132" s="344">
        <f>SUM(H133:H134)</f>
        <v>0</v>
      </c>
      <c r="I132" s="344">
        <f t="shared" si="51"/>
        <v>0</v>
      </c>
      <c r="J132" s="344">
        <f>SUM(J133:J136)</f>
        <v>0</v>
      </c>
      <c r="K132" s="344">
        <f>SUM(K133:K136)</f>
        <v>0</v>
      </c>
      <c r="L132" s="344">
        <f>+J132+K132</f>
        <v>0</v>
      </c>
      <c r="M132" s="344">
        <f t="shared" si="56"/>
        <v>0</v>
      </c>
      <c r="N132" s="337">
        <f>+F132-M132</f>
        <v>517185000</v>
      </c>
      <c r="P132" s="340"/>
      <c r="S132" s="347"/>
      <c r="T132" s="347"/>
      <c r="U132" s="342"/>
    </row>
    <row r="133" spans="1:21" s="339" customFormat="1" ht="18" customHeight="1" x14ac:dyDescent="0.25">
      <c r="A133" s="334"/>
      <c r="B133" s="335"/>
      <c r="C133" s="335"/>
      <c r="D133" s="365" t="s">
        <v>73</v>
      </c>
      <c r="E133" s="335" t="s">
        <v>74</v>
      </c>
      <c r="F133" s="337">
        <v>128100000</v>
      </c>
      <c r="G133" s="344"/>
      <c r="H133" s="344"/>
      <c r="I133" s="344">
        <f t="shared" si="51"/>
        <v>0</v>
      </c>
      <c r="J133" s="344"/>
      <c r="K133" s="344"/>
      <c r="L133" s="344">
        <f t="shared" si="54"/>
        <v>0</v>
      </c>
      <c r="M133" s="344">
        <f>+I133+L133</f>
        <v>0</v>
      </c>
      <c r="N133" s="337">
        <f t="shared" ref="N133:N136" si="57">+F133-M133</f>
        <v>128100000</v>
      </c>
      <c r="P133" s="340"/>
      <c r="S133" s="347"/>
      <c r="T133" s="347"/>
      <c r="U133" s="342"/>
    </row>
    <row r="134" spans="1:21" s="339" customFormat="1" ht="18" customHeight="1" x14ac:dyDescent="0.25">
      <c r="A134" s="334"/>
      <c r="B134" s="335"/>
      <c r="C134" s="335"/>
      <c r="D134" s="365" t="s">
        <v>88</v>
      </c>
      <c r="E134" s="335" t="s">
        <v>89</v>
      </c>
      <c r="F134" s="337">
        <v>79635000</v>
      </c>
      <c r="G134" s="344"/>
      <c r="H134" s="344"/>
      <c r="I134" s="344">
        <f t="shared" si="51"/>
        <v>0</v>
      </c>
      <c r="J134" s="344"/>
      <c r="K134" s="344"/>
      <c r="L134" s="344">
        <f t="shared" si="54"/>
        <v>0</v>
      </c>
      <c r="M134" s="344">
        <f t="shared" ref="M134" si="58">+I134+L134</f>
        <v>0</v>
      </c>
      <c r="N134" s="337">
        <f t="shared" si="57"/>
        <v>79635000</v>
      </c>
      <c r="P134" s="340"/>
      <c r="S134" s="347"/>
      <c r="T134" s="347"/>
      <c r="U134" s="342"/>
    </row>
    <row r="135" spans="1:21" s="339" customFormat="1" ht="18" customHeight="1" x14ac:dyDescent="0.25">
      <c r="A135" s="334"/>
      <c r="B135" s="335"/>
      <c r="C135" s="335"/>
      <c r="D135" s="365" t="s">
        <v>445</v>
      </c>
      <c r="E135" s="335" t="s">
        <v>446</v>
      </c>
      <c r="F135" s="337">
        <v>241950000</v>
      </c>
      <c r="G135" s="344"/>
      <c r="H135" s="344"/>
      <c r="I135" s="344">
        <f t="shared" si="51"/>
        <v>0</v>
      </c>
      <c r="J135" s="344"/>
      <c r="K135" s="344"/>
      <c r="L135" s="344">
        <f t="shared" si="54"/>
        <v>0</v>
      </c>
      <c r="M135" s="344">
        <f>+I135+L135</f>
        <v>0</v>
      </c>
      <c r="N135" s="337">
        <f t="shared" si="57"/>
        <v>241950000</v>
      </c>
      <c r="P135" s="340"/>
      <c r="S135" s="347"/>
      <c r="T135" s="347"/>
      <c r="U135" s="342"/>
    </row>
    <row r="136" spans="1:21" s="339" customFormat="1" ht="18" customHeight="1" x14ac:dyDescent="0.25">
      <c r="A136" s="334"/>
      <c r="B136" s="335"/>
      <c r="C136" s="335"/>
      <c r="D136" s="365" t="s">
        <v>107</v>
      </c>
      <c r="E136" s="335" t="s">
        <v>108</v>
      </c>
      <c r="F136" s="337">
        <v>67500000</v>
      </c>
      <c r="G136" s="344"/>
      <c r="H136" s="344"/>
      <c r="I136" s="344">
        <f t="shared" si="51"/>
        <v>0</v>
      </c>
      <c r="J136" s="344"/>
      <c r="K136" s="344"/>
      <c r="L136" s="344">
        <f t="shared" si="54"/>
        <v>0</v>
      </c>
      <c r="M136" s="344">
        <f>+I136+L136</f>
        <v>0</v>
      </c>
      <c r="N136" s="337">
        <f t="shared" si="57"/>
        <v>67500000</v>
      </c>
      <c r="P136" s="340"/>
      <c r="S136" s="347"/>
      <c r="T136" s="347"/>
      <c r="U136" s="342"/>
    </row>
    <row r="137" spans="1:21" s="153" customFormat="1" ht="18" customHeight="1" x14ac:dyDescent="0.25">
      <c r="A137" s="353"/>
      <c r="B137" s="355"/>
      <c r="C137" s="355"/>
      <c r="D137" s="355"/>
      <c r="E137" s="355"/>
      <c r="F137" s="356"/>
      <c r="G137" s="357"/>
      <c r="H137" s="357"/>
      <c r="I137" s="357"/>
      <c r="J137" s="357"/>
      <c r="K137" s="357"/>
      <c r="L137" s="357"/>
      <c r="M137" s="357"/>
      <c r="N137" s="356"/>
      <c r="P137" s="200"/>
      <c r="S137" s="221"/>
      <c r="T137" s="221"/>
      <c r="U137" s="254"/>
    </row>
    <row r="138" spans="1:21" s="319" customFormat="1" ht="18" customHeight="1" x14ac:dyDescent="0.25">
      <c r="A138" s="276"/>
      <c r="B138" s="305" t="s">
        <v>380</v>
      </c>
      <c r="C138" s="305"/>
      <c r="D138" s="305"/>
      <c r="E138" s="305" t="s">
        <v>381</v>
      </c>
      <c r="F138" s="359">
        <f>+F139+F165+F173+F184+F206</f>
        <v>4317651500</v>
      </c>
      <c r="G138" s="360">
        <f>+G139+G165+G173+G184+G206</f>
        <v>296175000</v>
      </c>
      <c r="H138" s="360">
        <f>+H139+H165+H173+H184+H206</f>
        <v>192790000</v>
      </c>
      <c r="I138" s="360">
        <f t="shared" ref="I138:I164" si="59">+G138+H138</f>
        <v>488965000</v>
      </c>
      <c r="J138" s="360">
        <f>+J139+J165+J173+J184+J206</f>
        <v>175614600</v>
      </c>
      <c r="K138" s="360">
        <f>+K139+K165+K173+K184+K206</f>
        <v>13246100</v>
      </c>
      <c r="L138" s="360">
        <f t="shared" ref="L138:L146" si="60">+J138+K138</f>
        <v>188860700</v>
      </c>
      <c r="M138" s="360">
        <f t="shared" ref="M138" si="61">+I138+L138</f>
        <v>677825700</v>
      </c>
      <c r="N138" s="359">
        <f t="shared" ref="N138:N146" si="62">+F138-M138</f>
        <v>3639825800</v>
      </c>
      <c r="P138" s="361"/>
      <c r="R138" s="321"/>
      <c r="S138" s="362"/>
      <c r="T138" s="362"/>
      <c r="U138" s="350"/>
    </row>
    <row r="139" spans="1:21" s="319" customFormat="1" ht="18" customHeight="1" x14ac:dyDescent="0.25">
      <c r="A139" s="276">
        <v>6</v>
      </c>
      <c r="B139" s="305"/>
      <c r="C139" s="305" t="s">
        <v>90</v>
      </c>
      <c r="D139" s="363"/>
      <c r="E139" s="364" t="s">
        <v>91</v>
      </c>
      <c r="F139" s="307">
        <f>+F140+F147</f>
        <v>1165936000</v>
      </c>
      <c r="G139" s="308">
        <f>+G140+G147</f>
        <v>0</v>
      </c>
      <c r="H139" s="308">
        <f>+H140+H147</f>
        <v>192790000</v>
      </c>
      <c r="I139" s="308">
        <f t="shared" si="59"/>
        <v>192790000</v>
      </c>
      <c r="J139" s="308">
        <f>+J140+J147</f>
        <v>0</v>
      </c>
      <c r="K139" s="308">
        <f>+K140+K147</f>
        <v>0</v>
      </c>
      <c r="L139" s="308">
        <f t="shared" si="60"/>
        <v>0</v>
      </c>
      <c r="M139" s="308">
        <f>+I139+L139</f>
        <v>192790000</v>
      </c>
      <c r="N139" s="307">
        <f t="shared" si="62"/>
        <v>973146000</v>
      </c>
      <c r="P139" s="320"/>
      <c r="R139" s="321"/>
      <c r="S139" s="349"/>
      <c r="T139" s="349"/>
      <c r="U139" s="350"/>
    </row>
    <row r="140" spans="1:21" s="329" customFormat="1" ht="18" customHeight="1" x14ac:dyDescent="0.25">
      <c r="A140" s="323"/>
      <c r="B140" s="324"/>
      <c r="C140" s="379"/>
      <c r="D140" s="325" t="s">
        <v>207</v>
      </c>
      <c r="E140" s="326" t="s">
        <v>262</v>
      </c>
      <c r="F140" s="327">
        <f>+F141</f>
        <v>39736000</v>
      </c>
      <c r="G140" s="328">
        <f>+G141</f>
        <v>0</v>
      </c>
      <c r="H140" s="328">
        <f>+H141</f>
        <v>0</v>
      </c>
      <c r="I140" s="328">
        <f t="shared" si="59"/>
        <v>0</v>
      </c>
      <c r="J140" s="328">
        <f t="shared" ref="J140:K142" si="63">+J141</f>
        <v>0</v>
      </c>
      <c r="K140" s="328">
        <f t="shared" si="63"/>
        <v>0</v>
      </c>
      <c r="L140" s="328">
        <f t="shared" si="60"/>
        <v>0</v>
      </c>
      <c r="M140" s="328">
        <f t="shared" ref="M140:M164" si="64">+I140+L140</f>
        <v>0</v>
      </c>
      <c r="N140" s="327">
        <f t="shared" si="62"/>
        <v>39736000</v>
      </c>
      <c r="P140" s="330"/>
      <c r="R140" s="331"/>
      <c r="S140" s="351"/>
      <c r="T140" s="351"/>
      <c r="U140" s="333"/>
    </row>
    <row r="141" spans="1:21" s="381" customFormat="1" ht="18" customHeight="1" x14ac:dyDescent="0.25">
      <c r="A141" s="380"/>
      <c r="B141" s="352"/>
      <c r="C141" s="334"/>
      <c r="D141" s="335" t="s">
        <v>63</v>
      </c>
      <c r="E141" s="335" t="s">
        <v>30</v>
      </c>
      <c r="F141" s="337">
        <f>+F142</f>
        <v>39736000</v>
      </c>
      <c r="G141" s="344">
        <f t="shared" ref="G141:H142" si="65">+G142</f>
        <v>0</v>
      </c>
      <c r="H141" s="344">
        <f t="shared" si="65"/>
        <v>0</v>
      </c>
      <c r="I141" s="344">
        <f t="shared" si="59"/>
        <v>0</v>
      </c>
      <c r="J141" s="344">
        <f t="shared" si="63"/>
        <v>0</v>
      </c>
      <c r="K141" s="344">
        <f t="shared" si="63"/>
        <v>0</v>
      </c>
      <c r="L141" s="344">
        <f t="shared" si="60"/>
        <v>0</v>
      </c>
      <c r="M141" s="344">
        <f t="shared" si="64"/>
        <v>0</v>
      </c>
      <c r="N141" s="337">
        <f t="shared" si="62"/>
        <v>39736000</v>
      </c>
      <c r="P141" s="340"/>
      <c r="S141" s="347"/>
      <c r="T141" s="347"/>
      <c r="U141" s="382"/>
    </row>
    <row r="142" spans="1:21" s="339" customFormat="1" ht="18" customHeight="1" x14ac:dyDescent="0.25">
      <c r="A142" s="334"/>
      <c r="B142" s="335"/>
      <c r="C142" s="334"/>
      <c r="D142" s="365" t="s">
        <v>263</v>
      </c>
      <c r="E142" s="335" t="s">
        <v>264</v>
      </c>
      <c r="F142" s="337">
        <f>+F143</f>
        <v>39736000</v>
      </c>
      <c r="G142" s="344">
        <f t="shared" si="65"/>
        <v>0</v>
      </c>
      <c r="H142" s="344">
        <f t="shared" si="65"/>
        <v>0</v>
      </c>
      <c r="I142" s="344">
        <f t="shared" si="59"/>
        <v>0</v>
      </c>
      <c r="J142" s="344">
        <f t="shared" si="63"/>
        <v>0</v>
      </c>
      <c r="K142" s="344">
        <f t="shared" si="63"/>
        <v>0</v>
      </c>
      <c r="L142" s="344">
        <f t="shared" si="60"/>
        <v>0</v>
      </c>
      <c r="M142" s="344">
        <f t="shared" si="64"/>
        <v>0</v>
      </c>
      <c r="N142" s="337">
        <f t="shared" si="62"/>
        <v>39736000</v>
      </c>
      <c r="P142" s="340"/>
      <c r="S142" s="347"/>
      <c r="T142" s="347"/>
      <c r="U142" s="342"/>
    </row>
    <row r="143" spans="1:21" s="381" customFormat="1" ht="18" customHeight="1" x14ac:dyDescent="0.25">
      <c r="A143" s="380"/>
      <c r="B143" s="352"/>
      <c r="C143" s="334"/>
      <c r="D143" s="335" t="s">
        <v>64</v>
      </c>
      <c r="E143" s="335" t="s">
        <v>65</v>
      </c>
      <c r="F143" s="337">
        <f>F145+F144+F146</f>
        <v>39736000</v>
      </c>
      <c r="G143" s="344">
        <f>+G145</f>
        <v>0</v>
      </c>
      <c r="H143" s="344">
        <f>+H145</f>
        <v>0</v>
      </c>
      <c r="I143" s="344">
        <f t="shared" si="59"/>
        <v>0</v>
      </c>
      <c r="J143" s="344">
        <f>+J145</f>
        <v>0</v>
      </c>
      <c r="K143" s="344">
        <f>+K145</f>
        <v>0</v>
      </c>
      <c r="L143" s="344">
        <f t="shared" si="60"/>
        <v>0</v>
      </c>
      <c r="M143" s="344">
        <f t="shared" si="64"/>
        <v>0</v>
      </c>
      <c r="N143" s="337">
        <f t="shared" si="62"/>
        <v>39736000</v>
      </c>
      <c r="P143" s="340"/>
      <c r="S143" s="347"/>
      <c r="T143" s="347"/>
      <c r="U143" s="382"/>
    </row>
    <row r="144" spans="1:21" s="381" customFormat="1" ht="18" customHeight="1" x14ac:dyDescent="0.25">
      <c r="A144" s="380"/>
      <c r="B144" s="352"/>
      <c r="C144" s="334"/>
      <c r="D144" s="335" t="s">
        <v>66</v>
      </c>
      <c r="E144" s="335" t="s">
        <v>67</v>
      </c>
      <c r="F144" s="337">
        <v>13500</v>
      </c>
      <c r="G144" s="344"/>
      <c r="H144" s="344"/>
      <c r="I144" s="344">
        <f t="shared" si="59"/>
        <v>0</v>
      </c>
      <c r="J144" s="344"/>
      <c r="K144" s="344"/>
      <c r="L144" s="344">
        <f t="shared" si="60"/>
        <v>0</v>
      </c>
      <c r="M144" s="344">
        <f t="shared" si="64"/>
        <v>0</v>
      </c>
      <c r="N144" s="337">
        <f t="shared" si="62"/>
        <v>13500</v>
      </c>
      <c r="P144" s="340"/>
      <c r="S144" s="347"/>
      <c r="T144" s="347"/>
      <c r="U144" s="382"/>
    </row>
    <row r="145" spans="1:21" s="381" customFormat="1" ht="18" customHeight="1" x14ac:dyDescent="0.25">
      <c r="A145" s="380"/>
      <c r="B145" s="352"/>
      <c r="C145" s="334"/>
      <c r="D145" s="335" t="s">
        <v>339</v>
      </c>
      <c r="E145" s="335" t="s">
        <v>340</v>
      </c>
      <c r="F145" s="337">
        <v>29175000</v>
      </c>
      <c r="G145" s="344"/>
      <c r="H145" s="344"/>
      <c r="I145" s="344">
        <f t="shared" si="59"/>
        <v>0</v>
      </c>
      <c r="J145" s="344"/>
      <c r="K145" s="344"/>
      <c r="L145" s="344">
        <f t="shared" si="60"/>
        <v>0</v>
      </c>
      <c r="M145" s="344">
        <f t="shared" si="64"/>
        <v>0</v>
      </c>
      <c r="N145" s="337">
        <f t="shared" si="62"/>
        <v>29175000</v>
      </c>
      <c r="P145" s="340"/>
      <c r="S145" s="347"/>
      <c r="T145" s="347"/>
      <c r="U145" s="382"/>
    </row>
    <row r="146" spans="1:21" s="381" customFormat="1" ht="18" customHeight="1" x14ac:dyDescent="0.25">
      <c r="A146" s="380"/>
      <c r="B146" s="352"/>
      <c r="C146" s="334"/>
      <c r="D146" s="335" t="s">
        <v>371</v>
      </c>
      <c r="E146" s="335" t="s">
        <v>372</v>
      </c>
      <c r="F146" s="337">
        <v>10547500</v>
      </c>
      <c r="G146" s="344"/>
      <c r="H146" s="344"/>
      <c r="I146" s="344">
        <f t="shared" si="59"/>
        <v>0</v>
      </c>
      <c r="J146" s="344"/>
      <c r="K146" s="344"/>
      <c r="L146" s="344">
        <f t="shared" si="60"/>
        <v>0</v>
      </c>
      <c r="M146" s="344">
        <f t="shared" si="64"/>
        <v>0</v>
      </c>
      <c r="N146" s="337">
        <f t="shared" si="62"/>
        <v>10547500</v>
      </c>
      <c r="P146" s="340"/>
      <c r="S146" s="347"/>
      <c r="T146" s="347"/>
      <c r="U146" s="382"/>
    </row>
    <row r="147" spans="1:21" s="381" customFormat="1" ht="18" customHeight="1" x14ac:dyDescent="0.25">
      <c r="A147" s="380"/>
      <c r="B147" s="383"/>
      <c r="C147" s="384"/>
      <c r="D147" s="365" t="s">
        <v>267</v>
      </c>
      <c r="E147" s="335" t="s">
        <v>268</v>
      </c>
      <c r="F147" s="337">
        <f>+F148</f>
        <v>1126200000</v>
      </c>
      <c r="G147" s="344">
        <f>+G148</f>
        <v>0</v>
      </c>
      <c r="H147" s="344">
        <f>+H148</f>
        <v>192790000</v>
      </c>
      <c r="I147" s="344">
        <f>+G147+H147</f>
        <v>192790000</v>
      </c>
      <c r="J147" s="344">
        <f>+J148</f>
        <v>0</v>
      </c>
      <c r="K147" s="344">
        <f>+K148</f>
        <v>0</v>
      </c>
      <c r="L147" s="344">
        <f>+J147+K147</f>
        <v>0</v>
      </c>
      <c r="M147" s="344">
        <f t="shared" si="64"/>
        <v>192790000</v>
      </c>
      <c r="N147" s="337">
        <f>+F147-M147</f>
        <v>933410000</v>
      </c>
      <c r="P147" s="340"/>
      <c r="R147" s="385"/>
      <c r="S147" s="347"/>
      <c r="T147" s="347"/>
      <c r="U147" s="382"/>
    </row>
    <row r="148" spans="1:21" s="381" customFormat="1" ht="18" customHeight="1" x14ac:dyDescent="0.25">
      <c r="A148" s="380"/>
      <c r="B148" s="352"/>
      <c r="C148" s="334"/>
      <c r="D148" s="335" t="s">
        <v>78</v>
      </c>
      <c r="E148" s="335" t="s">
        <v>75</v>
      </c>
      <c r="F148" s="337">
        <f>+F149+F159+F156</f>
        <v>1126200000</v>
      </c>
      <c r="G148" s="344">
        <f>+G149+G159</f>
        <v>0</v>
      </c>
      <c r="H148" s="344">
        <f>+H149+H159</f>
        <v>192790000</v>
      </c>
      <c r="I148" s="344">
        <f>+G148+H148</f>
        <v>192790000</v>
      </c>
      <c r="J148" s="344">
        <f>+J149+J159</f>
        <v>0</v>
      </c>
      <c r="K148" s="344">
        <f>+K149+K159</f>
        <v>0</v>
      </c>
      <c r="L148" s="344">
        <f>+J148+K148</f>
        <v>0</v>
      </c>
      <c r="M148" s="344">
        <f t="shared" si="64"/>
        <v>192790000</v>
      </c>
      <c r="N148" s="337">
        <f>+F148-M148</f>
        <v>933410000</v>
      </c>
      <c r="P148" s="340"/>
      <c r="S148" s="347"/>
      <c r="T148" s="347"/>
      <c r="U148" s="382"/>
    </row>
    <row r="149" spans="1:21" s="339" customFormat="1" ht="18" customHeight="1" x14ac:dyDescent="0.25">
      <c r="A149" s="334"/>
      <c r="B149" s="335"/>
      <c r="C149" s="334"/>
      <c r="D149" s="365" t="s">
        <v>269</v>
      </c>
      <c r="E149" s="335" t="s">
        <v>270</v>
      </c>
      <c r="F149" s="337">
        <f>+F153+F150</f>
        <v>385400000</v>
      </c>
      <c r="G149" s="344">
        <f>+G153</f>
        <v>0</v>
      </c>
      <c r="H149" s="344">
        <f>+H153</f>
        <v>0</v>
      </c>
      <c r="I149" s="344">
        <f>+G149+H149</f>
        <v>0</v>
      </c>
      <c r="J149" s="344">
        <f>+J153</f>
        <v>0</v>
      </c>
      <c r="K149" s="344">
        <f>+K153+K150</f>
        <v>0</v>
      </c>
      <c r="L149" s="344">
        <f>+J149+K149</f>
        <v>0</v>
      </c>
      <c r="M149" s="344">
        <f t="shared" si="64"/>
        <v>0</v>
      </c>
      <c r="N149" s="337">
        <f>+F149-M149</f>
        <v>385400000</v>
      </c>
      <c r="P149" s="340"/>
      <c r="S149" s="347"/>
      <c r="T149" s="347"/>
      <c r="U149" s="342"/>
    </row>
    <row r="150" spans="1:21" s="381" customFormat="1" ht="18" customHeight="1" x14ac:dyDescent="0.25">
      <c r="A150" s="380"/>
      <c r="B150" s="352"/>
      <c r="C150" s="334"/>
      <c r="D150" s="335" t="s">
        <v>76</v>
      </c>
      <c r="E150" s="335" t="s">
        <v>484</v>
      </c>
      <c r="F150" s="337">
        <f>F151+F152</f>
        <v>180100000</v>
      </c>
      <c r="G150" s="344">
        <f>G151</f>
        <v>0</v>
      </c>
      <c r="H150" s="344">
        <f>+H151</f>
        <v>0</v>
      </c>
      <c r="I150" s="344">
        <f>+G150+H150</f>
        <v>0</v>
      </c>
      <c r="J150" s="344">
        <f>J151</f>
        <v>0</v>
      </c>
      <c r="K150" s="344">
        <f>+K151</f>
        <v>0</v>
      </c>
      <c r="L150" s="344">
        <f>+J150+K150</f>
        <v>0</v>
      </c>
      <c r="M150" s="344">
        <f t="shared" si="64"/>
        <v>0</v>
      </c>
      <c r="N150" s="337">
        <f>+F150-M150</f>
        <v>180100000</v>
      </c>
      <c r="P150" s="340"/>
      <c r="S150" s="347"/>
      <c r="T150" s="347"/>
      <c r="U150" s="382"/>
    </row>
    <row r="151" spans="1:21" s="381" customFormat="1" ht="18" customHeight="1" x14ac:dyDescent="0.25">
      <c r="A151" s="380"/>
      <c r="B151" s="352"/>
      <c r="C151" s="334"/>
      <c r="D151" s="335" t="s">
        <v>393</v>
      </c>
      <c r="E151" s="335" t="s">
        <v>394</v>
      </c>
      <c r="F151" s="337">
        <v>99600000</v>
      </c>
      <c r="G151" s="344"/>
      <c r="H151" s="344"/>
      <c r="I151" s="344">
        <f t="shared" ref="I151:I152" si="66">+G151+H151</f>
        <v>0</v>
      </c>
      <c r="J151" s="344"/>
      <c r="K151" s="344"/>
      <c r="L151" s="344">
        <f t="shared" ref="L151:L152" si="67">+J151+K151</f>
        <v>0</v>
      </c>
      <c r="M151" s="344">
        <f t="shared" si="64"/>
        <v>0</v>
      </c>
      <c r="N151" s="337">
        <f t="shared" ref="N151:N152" si="68">+F151-M151</f>
        <v>99600000</v>
      </c>
      <c r="P151" s="340"/>
      <c r="S151" s="347"/>
      <c r="T151" s="347"/>
      <c r="U151" s="382"/>
    </row>
    <row r="152" spans="1:21" s="381" customFormat="1" ht="18" customHeight="1" x14ac:dyDescent="0.25">
      <c r="A152" s="380"/>
      <c r="B152" s="352"/>
      <c r="C152" s="334"/>
      <c r="D152" s="335" t="s">
        <v>117</v>
      </c>
      <c r="E152" s="335" t="s">
        <v>118</v>
      </c>
      <c r="F152" s="337">
        <v>80500000</v>
      </c>
      <c r="G152" s="344"/>
      <c r="H152" s="344"/>
      <c r="I152" s="344">
        <f t="shared" si="66"/>
        <v>0</v>
      </c>
      <c r="J152" s="344"/>
      <c r="K152" s="344"/>
      <c r="L152" s="344">
        <f t="shared" si="67"/>
        <v>0</v>
      </c>
      <c r="M152" s="344">
        <f t="shared" si="64"/>
        <v>0</v>
      </c>
      <c r="N152" s="337">
        <f t="shared" si="68"/>
        <v>80500000</v>
      </c>
      <c r="P152" s="340"/>
      <c r="S152" s="347"/>
      <c r="T152" s="347"/>
      <c r="U152" s="382"/>
    </row>
    <row r="153" spans="1:21" s="381" customFormat="1" ht="18" customHeight="1" x14ac:dyDescent="0.25">
      <c r="A153" s="380"/>
      <c r="B153" s="352"/>
      <c r="C153" s="334"/>
      <c r="D153" s="335" t="s">
        <v>92</v>
      </c>
      <c r="E153" s="335" t="s">
        <v>94</v>
      </c>
      <c r="F153" s="337">
        <f>F154+F155</f>
        <v>205300000</v>
      </c>
      <c r="G153" s="344">
        <f>+G154+G155</f>
        <v>0</v>
      </c>
      <c r="H153" s="344">
        <f>+H154+H155</f>
        <v>0</v>
      </c>
      <c r="I153" s="344">
        <f>+G153+H153</f>
        <v>0</v>
      </c>
      <c r="J153" s="344">
        <f>J154+J155</f>
        <v>0</v>
      </c>
      <c r="K153" s="344">
        <f>+K154+K155</f>
        <v>0</v>
      </c>
      <c r="L153" s="344">
        <f>+J153+K153</f>
        <v>0</v>
      </c>
      <c r="M153" s="344">
        <f t="shared" si="64"/>
        <v>0</v>
      </c>
      <c r="N153" s="337">
        <f>+F153-M153</f>
        <v>205300000</v>
      </c>
      <c r="P153" s="340"/>
      <c r="S153" s="347"/>
      <c r="T153" s="347"/>
      <c r="U153" s="382"/>
    </row>
    <row r="154" spans="1:21" s="381" customFormat="1" ht="18" customHeight="1" x14ac:dyDescent="0.25">
      <c r="A154" s="380"/>
      <c r="B154" s="352"/>
      <c r="C154" s="334"/>
      <c r="D154" s="335" t="s">
        <v>93</v>
      </c>
      <c r="E154" s="335" t="s">
        <v>95</v>
      </c>
      <c r="F154" s="337">
        <v>180000000</v>
      </c>
      <c r="G154" s="344"/>
      <c r="H154" s="344"/>
      <c r="I154" s="344">
        <f t="shared" ref="I154:I155" si="69">+G154+H154</f>
        <v>0</v>
      </c>
      <c r="J154" s="344"/>
      <c r="K154" s="344"/>
      <c r="L154" s="344">
        <f t="shared" ref="L154:L164" si="70">+J154+K154</f>
        <v>0</v>
      </c>
      <c r="M154" s="344">
        <f t="shared" si="64"/>
        <v>0</v>
      </c>
      <c r="N154" s="337">
        <f t="shared" ref="N154:N155" si="71">+F154-M154</f>
        <v>180000000</v>
      </c>
      <c r="P154" s="340"/>
      <c r="S154" s="347"/>
      <c r="T154" s="347"/>
      <c r="U154" s="382"/>
    </row>
    <row r="155" spans="1:21" s="381" customFormat="1" ht="18" customHeight="1" x14ac:dyDescent="0.25">
      <c r="A155" s="380"/>
      <c r="B155" s="352"/>
      <c r="C155" s="334"/>
      <c r="D155" s="335" t="s">
        <v>397</v>
      </c>
      <c r="E155" s="335" t="s">
        <v>398</v>
      </c>
      <c r="F155" s="337">
        <v>25300000</v>
      </c>
      <c r="G155" s="344"/>
      <c r="H155" s="344"/>
      <c r="I155" s="344">
        <f t="shared" si="69"/>
        <v>0</v>
      </c>
      <c r="J155" s="344"/>
      <c r="K155" s="344"/>
      <c r="L155" s="344">
        <f t="shared" si="70"/>
        <v>0</v>
      </c>
      <c r="M155" s="344">
        <f t="shared" si="64"/>
        <v>0</v>
      </c>
      <c r="N155" s="337">
        <f t="shared" si="71"/>
        <v>25300000</v>
      </c>
      <c r="P155" s="340"/>
      <c r="S155" s="347"/>
      <c r="T155" s="347"/>
      <c r="U155" s="382"/>
    </row>
    <row r="156" spans="1:21" s="339" customFormat="1" ht="18" customHeight="1" x14ac:dyDescent="0.25">
      <c r="A156" s="334"/>
      <c r="B156" s="335"/>
      <c r="C156" s="334"/>
      <c r="D156" s="365" t="s">
        <v>399</v>
      </c>
      <c r="E156" s="335" t="s">
        <v>400</v>
      </c>
      <c r="F156" s="337">
        <f>+F157</f>
        <v>200000000</v>
      </c>
      <c r="G156" s="344">
        <f>+G160</f>
        <v>0</v>
      </c>
      <c r="H156" s="344">
        <f>+H160</f>
        <v>192790000</v>
      </c>
      <c r="I156" s="344">
        <f>+G156+H156</f>
        <v>192790000</v>
      </c>
      <c r="J156" s="344">
        <f>+J160</f>
        <v>0</v>
      </c>
      <c r="K156" s="344">
        <f>+K160+K157</f>
        <v>0</v>
      </c>
      <c r="L156" s="344">
        <f>+J156+K156</f>
        <v>0</v>
      </c>
      <c r="M156" s="344">
        <f t="shared" si="64"/>
        <v>192790000</v>
      </c>
      <c r="N156" s="337">
        <f>+F156-M156</f>
        <v>7210000</v>
      </c>
      <c r="P156" s="340"/>
      <c r="S156" s="347"/>
      <c r="T156" s="347"/>
      <c r="U156" s="342"/>
    </row>
    <row r="157" spans="1:21" s="381" customFormat="1" ht="18" customHeight="1" x14ac:dyDescent="0.25">
      <c r="A157" s="380"/>
      <c r="B157" s="352"/>
      <c r="C157" s="334"/>
      <c r="D157" s="335" t="s">
        <v>401</v>
      </c>
      <c r="E157" s="335" t="s">
        <v>402</v>
      </c>
      <c r="F157" s="337">
        <f>+F158</f>
        <v>200000000</v>
      </c>
      <c r="G157" s="344">
        <f>G158</f>
        <v>0</v>
      </c>
      <c r="H157" s="344">
        <f>+H158</f>
        <v>0</v>
      </c>
      <c r="I157" s="344">
        <f>+G157+H157</f>
        <v>0</v>
      </c>
      <c r="J157" s="344">
        <f>J158</f>
        <v>0</v>
      </c>
      <c r="K157" s="344">
        <f>+K158</f>
        <v>0</v>
      </c>
      <c r="L157" s="344">
        <f>+J157+K157</f>
        <v>0</v>
      </c>
      <c r="M157" s="344">
        <f t="shared" si="64"/>
        <v>0</v>
      </c>
      <c r="N157" s="337">
        <f>+F157-M157</f>
        <v>200000000</v>
      </c>
      <c r="P157" s="340"/>
      <c r="S157" s="347"/>
      <c r="T157" s="347"/>
      <c r="U157" s="382"/>
    </row>
    <row r="158" spans="1:21" s="381" customFormat="1" ht="18" customHeight="1" x14ac:dyDescent="0.25">
      <c r="A158" s="380"/>
      <c r="B158" s="352"/>
      <c r="C158" s="334"/>
      <c r="D158" s="335" t="s">
        <v>459</v>
      </c>
      <c r="E158" s="335" t="s">
        <v>460</v>
      </c>
      <c r="F158" s="337">
        <v>200000000</v>
      </c>
      <c r="G158" s="344"/>
      <c r="H158" s="344"/>
      <c r="I158" s="344">
        <f t="shared" ref="I158" si="72">+G158+H158</f>
        <v>0</v>
      </c>
      <c r="J158" s="344"/>
      <c r="K158" s="344"/>
      <c r="L158" s="344">
        <f t="shared" ref="L158" si="73">+J158+K158</f>
        <v>0</v>
      </c>
      <c r="M158" s="344">
        <f t="shared" si="64"/>
        <v>0</v>
      </c>
      <c r="N158" s="337">
        <f t="shared" ref="N158" si="74">+F158-M158</f>
        <v>200000000</v>
      </c>
      <c r="P158" s="340"/>
      <c r="S158" s="347"/>
      <c r="T158" s="347"/>
      <c r="U158" s="382"/>
    </row>
    <row r="159" spans="1:21" s="339" customFormat="1" ht="18" customHeight="1" x14ac:dyDescent="0.25">
      <c r="A159" s="334"/>
      <c r="B159" s="335"/>
      <c r="C159" s="334"/>
      <c r="D159" s="365" t="s">
        <v>273</v>
      </c>
      <c r="E159" s="335" t="s">
        <v>274</v>
      </c>
      <c r="F159" s="337">
        <f>+F160+F162</f>
        <v>540800000</v>
      </c>
      <c r="G159" s="344">
        <f>+G160+G162</f>
        <v>0</v>
      </c>
      <c r="H159" s="344">
        <f>+H160+H162</f>
        <v>192790000</v>
      </c>
      <c r="I159" s="344">
        <f>+G159+H159</f>
        <v>192790000</v>
      </c>
      <c r="J159" s="344">
        <f t="shared" ref="J159:K160" si="75">+J160</f>
        <v>0</v>
      </c>
      <c r="K159" s="344">
        <f t="shared" si="75"/>
        <v>0</v>
      </c>
      <c r="L159" s="344">
        <f t="shared" si="70"/>
        <v>0</v>
      </c>
      <c r="M159" s="344">
        <f t="shared" si="64"/>
        <v>192790000</v>
      </c>
      <c r="N159" s="337">
        <f>+F159-M159</f>
        <v>348010000</v>
      </c>
      <c r="P159" s="340"/>
      <c r="S159" s="347"/>
      <c r="T159" s="347"/>
      <c r="U159" s="342"/>
    </row>
    <row r="160" spans="1:21" s="381" customFormat="1" ht="18" customHeight="1" x14ac:dyDescent="0.25">
      <c r="A160" s="380"/>
      <c r="B160" s="352"/>
      <c r="C160" s="334"/>
      <c r="D160" s="335" t="s">
        <v>96</v>
      </c>
      <c r="E160" s="335" t="s">
        <v>98</v>
      </c>
      <c r="F160" s="337">
        <f>F161</f>
        <v>335000000</v>
      </c>
      <c r="G160" s="344">
        <f>+G161</f>
        <v>0</v>
      </c>
      <c r="H160" s="344">
        <f>+H161</f>
        <v>192790000</v>
      </c>
      <c r="I160" s="344">
        <f>+G160+H160</f>
        <v>192790000</v>
      </c>
      <c r="J160" s="344">
        <f>+J161</f>
        <v>0</v>
      </c>
      <c r="K160" s="344">
        <f t="shared" si="75"/>
        <v>0</v>
      </c>
      <c r="L160" s="344">
        <f t="shared" si="70"/>
        <v>0</v>
      </c>
      <c r="M160" s="344">
        <f t="shared" si="64"/>
        <v>192790000</v>
      </c>
      <c r="N160" s="337">
        <f>+F160-M160</f>
        <v>142210000</v>
      </c>
      <c r="P160" s="340"/>
      <c r="S160" s="347"/>
      <c r="T160" s="347"/>
      <c r="U160" s="382"/>
    </row>
    <row r="161" spans="1:21" s="381" customFormat="1" ht="18" customHeight="1" x14ac:dyDescent="0.25">
      <c r="A161" s="380"/>
      <c r="B161" s="352"/>
      <c r="C161" s="334"/>
      <c r="D161" s="335" t="s">
        <v>97</v>
      </c>
      <c r="E161" s="335" t="s">
        <v>99</v>
      </c>
      <c r="F161" s="337">
        <v>335000000</v>
      </c>
      <c r="G161" s="344"/>
      <c r="H161" s="344">
        <v>192790000</v>
      </c>
      <c r="I161" s="344">
        <f t="shared" si="59"/>
        <v>192790000</v>
      </c>
      <c r="J161" s="344"/>
      <c r="K161" s="344"/>
      <c r="L161" s="344">
        <f t="shared" si="70"/>
        <v>0</v>
      </c>
      <c r="M161" s="344">
        <f t="shared" si="64"/>
        <v>192790000</v>
      </c>
      <c r="N161" s="337">
        <f t="shared" ref="N161" si="76">+F161-M161</f>
        <v>142210000</v>
      </c>
      <c r="P161" s="340"/>
      <c r="S161" s="347"/>
      <c r="T161" s="346">
        <v>192790000</v>
      </c>
      <c r="U161" s="382"/>
    </row>
    <row r="162" spans="1:21" s="381" customFormat="1" ht="18" customHeight="1" x14ac:dyDescent="0.25">
      <c r="A162" s="380"/>
      <c r="B162" s="352"/>
      <c r="C162" s="334"/>
      <c r="D162" s="335" t="s">
        <v>382</v>
      </c>
      <c r="E162" s="335" t="s">
        <v>383</v>
      </c>
      <c r="F162" s="337">
        <f>SUM(F163:F164)</f>
        <v>205800000</v>
      </c>
      <c r="G162" s="344">
        <f>SUM(G163:G164)</f>
        <v>0</v>
      </c>
      <c r="H162" s="344">
        <f>SUM(H163:H164)</f>
        <v>0</v>
      </c>
      <c r="I162" s="344">
        <f>+G162+H162</f>
        <v>0</v>
      </c>
      <c r="J162" s="344">
        <f>SUM(J163:J164)</f>
        <v>0</v>
      </c>
      <c r="K162" s="344">
        <f>SUM(K163:K164)</f>
        <v>0</v>
      </c>
      <c r="L162" s="344">
        <f>+J162+K162</f>
        <v>0</v>
      </c>
      <c r="M162" s="344">
        <f t="shared" si="64"/>
        <v>0</v>
      </c>
      <c r="N162" s="337">
        <f>+F162-M162</f>
        <v>205800000</v>
      </c>
      <c r="P162" s="340"/>
      <c r="S162" s="347"/>
      <c r="T162" s="347"/>
      <c r="U162" s="382"/>
    </row>
    <row r="163" spans="1:21" s="381" customFormat="1" ht="18" customHeight="1" x14ac:dyDescent="0.25">
      <c r="A163" s="380"/>
      <c r="B163" s="352"/>
      <c r="C163" s="334"/>
      <c r="D163" s="335" t="s">
        <v>384</v>
      </c>
      <c r="E163" s="335" t="s">
        <v>385</v>
      </c>
      <c r="F163" s="337">
        <v>170400000</v>
      </c>
      <c r="G163" s="344"/>
      <c r="H163" s="344"/>
      <c r="I163" s="344">
        <f t="shared" si="59"/>
        <v>0</v>
      </c>
      <c r="J163" s="344"/>
      <c r="K163" s="344"/>
      <c r="L163" s="344">
        <f t="shared" si="70"/>
        <v>0</v>
      </c>
      <c r="M163" s="344">
        <f t="shared" si="64"/>
        <v>0</v>
      </c>
      <c r="N163" s="337">
        <f t="shared" ref="N163:N164" si="77">+F163-M163</f>
        <v>170400000</v>
      </c>
      <c r="P163" s="340"/>
      <c r="S163" s="347"/>
      <c r="T163" s="347"/>
      <c r="U163" s="382"/>
    </row>
    <row r="164" spans="1:21" s="388" customFormat="1" ht="18" customHeight="1" x14ac:dyDescent="0.25">
      <c r="A164" s="386"/>
      <c r="B164" s="387"/>
      <c r="C164" s="353"/>
      <c r="D164" s="355" t="s">
        <v>386</v>
      </c>
      <c r="E164" s="355" t="s">
        <v>387</v>
      </c>
      <c r="F164" s="356">
        <v>35400000</v>
      </c>
      <c r="G164" s="357"/>
      <c r="H164" s="357"/>
      <c r="I164" s="357">
        <f t="shared" si="59"/>
        <v>0</v>
      </c>
      <c r="J164" s="357"/>
      <c r="K164" s="357"/>
      <c r="L164" s="357">
        <f t="shared" si="70"/>
        <v>0</v>
      </c>
      <c r="M164" s="357">
        <f t="shared" si="64"/>
        <v>0</v>
      </c>
      <c r="N164" s="356">
        <f t="shared" si="77"/>
        <v>35400000</v>
      </c>
      <c r="P164" s="200"/>
      <c r="S164" s="221"/>
      <c r="T164" s="221"/>
      <c r="U164" s="389"/>
    </row>
    <row r="165" spans="1:21" s="319" customFormat="1" ht="18" customHeight="1" x14ac:dyDescent="0.25">
      <c r="A165" s="276">
        <v>7</v>
      </c>
      <c r="B165" s="305"/>
      <c r="C165" s="390" t="s">
        <v>102</v>
      </c>
      <c r="D165" s="363"/>
      <c r="E165" s="364" t="s">
        <v>103</v>
      </c>
      <c r="F165" s="307">
        <f t="shared" ref="F165:H168" si="78">+F166</f>
        <v>540210000</v>
      </c>
      <c r="G165" s="308">
        <f t="shared" si="78"/>
        <v>0</v>
      </c>
      <c r="H165" s="308">
        <f t="shared" si="78"/>
        <v>0</v>
      </c>
      <c r="I165" s="308">
        <f>+G165+H165</f>
        <v>0</v>
      </c>
      <c r="J165" s="308">
        <f>+J166</f>
        <v>83750000</v>
      </c>
      <c r="K165" s="308">
        <f t="shared" ref="J165:K168" si="79">+K166</f>
        <v>12450000</v>
      </c>
      <c r="L165" s="308">
        <f>+J165+K165</f>
        <v>96200000</v>
      </c>
      <c r="M165" s="308">
        <f>+I165+L165</f>
        <v>96200000</v>
      </c>
      <c r="N165" s="307">
        <f>+F165-M165</f>
        <v>444010000</v>
      </c>
      <c r="P165" s="320"/>
      <c r="R165" s="321"/>
      <c r="S165" s="349"/>
      <c r="T165" s="349"/>
      <c r="U165" s="350"/>
    </row>
    <row r="166" spans="1:21" s="329" customFormat="1" ht="18" customHeight="1" x14ac:dyDescent="0.25">
      <c r="A166" s="323"/>
      <c r="B166" s="324"/>
      <c r="C166" s="379"/>
      <c r="D166" s="325" t="s">
        <v>207</v>
      </c>
      <c r="E166" s="326" t="s">
        <v>262</v>
      </c>
      <c r="F166" s="327">
        <f t="shared" si="78"/>
        <v>540210000</v>
      </c>
      <c r="G166" s="328">
        <f t="shared" si="78"/>
        <v>0</v>
      </c>
      <c r="H166" s="328">
        <f t="shared" si="78"/>
        <v>0</v>
      </c>
      <c r="I166" s="328">
        <f>+G166+H166</f>
        <v>0</v>
      </c>
      <c r="J166" s="328">
        <f t="shared" si="79"/>
        <v>83750000</v>
      </c>
      <c r="K166" s="328">
        <f t="shared" si="79"/>
        <v>12450000</v>
      </c>
      <c r="L166" s="328">
        <f>+J166+K166</f>
        <v>96200000</v>
      </c>
      <c r="M166" s="328">
        <f t="shared" ref="M166:M169" si="80">+I166+L166</f>
        <v>96200000</v>
      </c>
      <c r="N166" s="327">
        <f>+F166-M166</f>
        <v>444010000</v>
      </c>
      <c r="P166" s="330"/>
      <c r="R166" s="331"/>
      <c r="S166" s="351"/>
      <c r="T166" s="351"/>
      <c r="U166" s="333"/>
    </row>
    <row r="167" spans="1:21" s="381" customFormat="1" ht="18" customHeight="1" x14ac:dyDescent="0.25">
      <c r="A167" s="380"/>
      <c r="B167" s="352"/>
      <c r="C167" s="334"/>
      <c r="D167" s="335" t="s">
        <v>63</v>
      </c>
      <c r="E167" s="335" t="s">
        <v>30</v>
      </c>
      <c r="F167" s="337">
        <f t="shared" si="78"/>
        <v>540210000</v>
      </c>
      <c r="G167" s="344">
        <f t="shared" si="78"/>
        <v>0</v>
      </c>
      <c r="H167" s="344">
        <f t="shared" si="78"/>
        <v>0</v>
      </c>
      <c r="I167" s="344">
        <f>+G167+H167</f>
        <v>0</v>
      </c>
      <c r="J167" s="344">
        <f t="shared" si="79"/>
        <v>83750000</v>
      </c>
      <c r="K167" s="344">
        <f t="shared" si="79"/>
        <v>12450000</v>
      </c>
      <c r="L167" s="344">
        <f>+J167+K167</f>
        <v>96200000</v>
      </c>
      <c r="M167" s="344">
        <f t="shared" si="80"/>
        <v>96200000</v>
      </c>
      <c r="N167" s="337">
        <f>+F167-M167</f>
        <v>444010000</v>
      </c>
      <c r="P167" s="340"/>
      <c r="S167" s="347"/>
      <c r="T167" s="347"/>
      <c r="U167" s="382"/>
    </row>
    <row r="168" spans="1:21" s="339" customFormat="1" ht="18" customHeight="1" x14ac:dyDescent="0.25">
      <c r="A168" s="334"/>
      <c r="B168" s="335"/>
      <c r="C168" s="334"/>
      <c r="D168" s="365" t="s">
        <v>263</v>
      </c>
      <c r="E168" s="335" t="s">
        <v>264</v>
      </c>
      <c r="F168" s="337">
        <f t="shared" si="78"/>
        <v>540210000</v>
      </c>
      <c r="G168" s="344">
        <f>+G169</f>
        <v>0</v>
      </c>
      <c r="H168" s="344">
        <f>+H169</f>
        <v>0</v>
      </c>
      <c r="I168" s="344">
        <f>+G168+H168</f>
        <v>0</v>
      </c>
      <c r="J168" s="344">
        <f t="shared" si="79"/>
        <v>83750000</v>
      </c>
      <c r="K168" s="344">
        <f t="shared" si="79"/>
        <v>12450000</v>
      </c>
      <c r="L168" s="344">
        <f>+J168+K168</f>
        <v>96200000</v>
      </c>
      <c r="M168" s="344">
        <f t="shared" si="80"/>
        <v>96200000</v>
      </c>
      <c r="N168" s="337">
        <f>+F168-M168</f>
        <v>444010000</v>
      </c>
      <c r="P168" s="340"/>
      <c r="S168" s="347"/>
      <c r="T168" s="347"/>
      <c r="U168" s="342"/>
    </row>
    <row r="169" spans="1:21" s="381" customFormat="1" ht="18" customHeight="1" x14ac:dyDescent="0.25">
      <c r="A169" s="380"/>
      <c r="B169" s="352"/>
      <c r="C169" s="334"/>
      <c r="D169" s="335" t="s">
        <v>64</v>
      </c>
      <c r="E169" s="335" t="s">
        <v>65</v>
      </c>
      <c r="F169" s="337">
        <f>SUM(F170:F172)</f>
        <v>540210000</v>
      </c>
      <c r="G169" s="344">
        <f>SUM(G170:G172)</f>
        <v>0</v>
      </c>
      <c r="H169" s="344">
        <f>SUM(H170:H172)</f>
        <v>0</v>
      </c>
      <c r="I169" s="344">
        <f>+G169+H169</f>
        <v>0</v>
      </c>
      <c r="J169" s="344">
        <f>SUM(J170:J172)</f>
        <v>83750000</v>
      </c>
      <c r="K169" s="344">
        <f>SUM(K170:K172)</f>
        <v>12450000</v>
      </c>
      <c r="L169" s="344">
        <f>+J169+K169</f>
        <v>96200000</v>
      </c>
      <c r="M169" s="344">
        <f t="shared" si="80"/>
        <v>96200000</v>
      </c>
      <c r="N169" s="337">
        <f>+F169-M169</f>
        <v>444010000</v>
      </c>
      <c r="P169" s="340"/>
      <c r="S169" s="347"/>
      <c r="T169" s="347"/>
      <c r="U169" s="382"/>
    </row>
    <row r="170" spans="1:21" s="381" customFormat="1" ht="18" customHeight="1" x14ac:dyDescent="0.25">
      <c r="A170" s="380"/>
      <c r="B170" s="352"/>
      <c r="C170" s="334"/>
      <c r="D170" s="335" t="s">
        <v>388</v>
      </c>
      <c r="E170" s="335" t="s">
        <v>389</v>
      </c>
      <c r="F170" s="337">
        <v>57760000</v>
      </c>
      <c r="G170" s="344"/>
      <c r="H170" s="344"/>
      <c r="I170" s="344">
        <f t="shared" ref="I170" si="81">+G170+H170</f>
        <v>0</v>
      </c>
      <c r="J170" s="344">
        <v>8000000</v>
      </c>
      <c r="K170" s="344">
        <f>2990000+460000</f>
        <v>3450000</v>
      </c>
      <c r="L170" s="344">
        <f t="shared" ref="L170:L172" si="82">+J170+K170</f>
        <v>11450000</v>
      </c>
      <c r="M170" s="344">
        <f>+I170+L170</f>
        <v>11450000</v>
      </c>
      <c r="N170" s="337">
        <f t="shared" ref="N170:N172" si="83">+F170-M170</f>
        <v>46310000</v>
      </c>
      <c r="P170" s="340"/>
      <c r="S170" s="346">
        <f>460000+2990000</f>
        <v>3450000</v>
      </c>
      <c r="T170" s="347"/>
      <c r="U170" s="382"/>
    </row>
    <row r="171" spans="1:21" s="381" customFormat="1" ht="18" customHeight="1" x14ac:dyDescent="0.25">
      <c r="A171" s="380"/>
      <c r="B171" s="352"/>
      <c r="C171" s="334"/>
      <c r="D171" s="335" t="s">
        <v>70</v>
      </c>
      <c r="E171" s="335" t="s">
        <v>33</v>
      </c>
      <c r="F171" s="337">
        <v>382450000</v>
      </c>
      <c r="G171" s="344"/>
      <c r="H171" s="344"/>
      <c r="I171" s="344">
        <f>+G171+H171</f>
        <v>0</v>
      </c>
      <c r="J171" s="344">
        <v>75750000</v>
      </c>
      <c r="K171" s="344">
        <f>3500000+1250000+2500000+1750000</f>
        <v>9000000</v>
      </c>
      <c r="L171" s="344">
        <f t="shared" si="82"/>
        <v>84750000</v>
      </c>
      <c r="M171" s="344">
        <f t="shared" ref="M171:M172" si="84">+I171+L171</f>
        <v>84750000</v>
      </c>
      <c r="N171" s="337">
        <f t="shared" si="83"/>
        <v>297700000</v>
      </c>
      <c r="P171" s="340"/>
      <c r="S171" s="346">
        <f>1000000+750000+1250000+2500000+3500000</f>
        <v>9000000</v>
      </c>
      <c r="T171" s="347"/>
      <c r="U171" s="382"/>
    </row>
    <row r="172" spans="1:21" s="388" customFormat="1" ht="18" customHeight="1" x14ac:dyDescent="0.25">
      <c r="A172" s="386"/>
      <c r="B172" s="387"/>
      <c r="C172" s="353"/>
      <c r="D172" s="355" t="s">
        <v>104</v>
      </c>
      <c r="E172" s="355" t="s">
        <v>390</v>
      </c>
      <c r="F172" s="356">
        <v>100000000</v>
      </c>
      <c r="G172" s="357"/>
      <c r="H172" s="357"/>
      <c r="I172" s="357"/>
      <c r="J172" s="357">
        <v>0</v>
      </c>
      <c r="K172" s="357"/>
      <c r="L172" s="357">
        <f t="shared" si="82"/>
        <v>0</v>
      </c>
      <c r="M172" s="357">
        <f t="shared" si="84"/>
        <v>0</v>
      </c>
      <c r="N172" s="356">
        <f t="shared" si="83"/>
        <v>100000000</v>
      </c>
      <c r="P172" s="200"/>
      <c r="S172" s="221"/>
      <c r="T172" s="221"/>
      <c r="U172" s="389"/>
    </row>
    <row r="173" spans="1:21" s="319" customFormat="1" ht="18" customHeight="1" x14ac:dyDescent="0.25">
      <c r="A173" s="276">
        <v>8</v>
      </c>
      <c r="B173" s="305"/>
      <c r="C173" s="390" t="s">
        <v>105</v>
      </c>
      <c r="D173" s="363"/>
      <c r="E173" s="364" t="s">
        <v>106</v>
      </c>
      <c r="F173" s="307">
        <f t="shared" ref="F173:H180" si="85">+F174</f>
        <v>1600450000</v>
      </c>
      <c r="G173" s="308">
        <f t="shared" si="85"/>
        <v>296175000</v>
      </c>
      <c r="H173" s="308">
        <f>+H174</f>
        <v>0</v>
      </c>
      <c r="I173" s="308">
        <f>+G173+H173</f>
        <v>296175000</v>
      </c>
      <c r="J173" s="308">
        <f t="shared" ref="J173:K180" si="86">+J174</f>
        <v>64609600</v>
      </c>
      <c r="K173" s="308">
        <f t="shared" si="86"/>
        <v>796100</v>
      </c>
      <c r="L173" s="308">
        <f>+J173+K173</f>
        <v>65405700</v>
      </c>
      <c r="M173" s="308">
        <f>+I173+L173</f>
        <v>361580700</v>
      </c>
      <c r="N173" s="307">
        <f>+F173-M173</f>
        <v>1238869300</v>
      </c>
      <c r="P173" s="320"/>
      <c r="R173" s="321"/>
      <c r="S173" s="349"/>
      <c r="T173" s="349"/>
      <c r="U173" s="350"/>
    </row>
    <row r="174" spans="1:21" s="329" customFormat="1" ht="18" customHeight="1" x14ac:dyDescent="0.25">
      <c r="A174" s="323"/>
      <c r="B174" s="324"/>
      <c r="C174" s="379"/>
      <c r="D174" s="325" t="s">
        <v>207</v>
      </c>
      <c r="E174" s="326" t="s">
        <v>262</v>
      </c>
      <c r="F174" s="327">
        <f>+F175</f>
        <v>1600450000</v>
      </c>
      <c r="G174" s="328">
        <f t="shared" si="85"/>
        <v>296175000</v>
      </c>
      <c r="H174" s="328">
        <f t="shared" si="85"/>
        <v>0</v>
      </c>
      <c r="I174" s="328">
        <f>+G174+H174</f>
        <v>296175000</v>
      </c>
      <c r="J174" s="328">
        <f t="shared" si="86"/>
        <v>64609600</v>
      </c>
      <c r="K174" s="328">
        <f t="shared" si="86"/>
        <v>796100</v>
      </c>
      <c r="L174" s="328">
        <f>+J174+K174</f>
        <v>65405700</v>
      </c>
      <c r="M174" s="328">
        <f t="shared" ref="M174:M182" si="87">+I174+L174</f>
        <v>361580700</v>
      </c>
      <c r="N174" s="327">
        <f>+F174-M174</f>
        <v>1238869300</v>
      </c>
      <c r="P174" s="330"/>
      <c r="R174" s="331"/>
      <c r="S174" s="351"/>
      <c r="T174" s="351"/>
      <c r="U174" s="333"/>
    </row>
    <row r="175" spans="1:21" s="381" customFormat="1" ht="18" customHeight="1" x14ac:dyDescent="0.25">
      <c r="A175" s="380"/>
      <c r="B175" s="352"/>
      <c r="C175" s="334"/>
      <c r="D175" s="335" t="s">
        <v>63</v>
      </c>
      <c r="E175" s="335" t="s">
        <v>30</v>
      </c>
      <c r="F175" s="337">
        <f>+F180+F176</f>
        <v>1600450000</v>
      </c>
      <c r="G175" s="344">
        <f>+G180</f>
        <v>296175000</v>
      </c>
      <c r="H175" s="344">
        <f>+H180+H176</f>
        <v>0</v>
      </c>
      <c r="I175" s="344">
        <f>+G175+H175</f>
        <v>296175000</v>
      </c>
      <c r="J175" s="344">
        <f>+J180+J176</f>
        <v>64609600</v>
      </c>
      <c r="K175" s="344">
        <f>+K180+K176</f>
        <v>796100</v>
      </c>
      <c r="L175" s="344">
        <f>+J175+K175</f>
        <v>65405700</v>
      </c>
      <c r="M175" s="344">
        <f t="shared" si="87"/>
        <v>361580700</v>
      </c>
      <c r="N175" s="337">
        <f>+F175-M175</f>
        <v>1238869300</v>
      </c>
      <c r="P175" s="340"/>
      <c r="S175" s="347"/>
      <c r="T175" s="347"/>
      <c r="U175" s="382"/>
    </row>
    <row r="176" spans="1:21" s="339" customFormat="1" ht="18" customHeight="1" x14ac:dyDescent="0.25">
      <c r="A176" s="334"/>
      <c r="B176" s="335"/>
      <c r="C176" s="334"/>
      <c r="D176" s="365" t="s">
        <v>263</v>
      </c>
      <c r="E176" s="335" t="s">
        <v>264</v>
      </c>
      <c r="F176" s="337">
        <f>+F177</f>
        <v>32500000</v>
      </c>
      <c r="G176" s="344">
        <f>+G177</f>
        <v>0</v>
      </c>
      <c r="H176" s="344">
        <f>+H177</f>
        <v>0</v>
      </c>
      <c r="I176" s="344">
        <f>+G176+H176</f>
        <v>0</v>
      </c>
      <c r="J176" s="344">
        <f t="shared" si="86"/>
        <v>0</v>
      </c>
      <c r="K176" s="344">
        <f t="shared" si="86"/>
        <v>0</v>
      </c>
      <c r="L176" s="344">
        <f>+J176+K176</f>
        <v>0</v>
      </c>
      <c r="M176" s="344">
        <f t="shared" si="87"/>
        <v>0</v>
      </c>
      <c r="N176" s="337">
        <f>+F176-M176</f>
        <v>32500000</v>
      </c>
      <c r="P176" s="340"/>
      <c r="S176" s="347"/>
      <c r="T176" s="347"/>
      <c r="U176" s="342"/>
    </row>
    <row r="177" spans="1:21" s="381" customFormat="1" ht="18" customHeight="1" x14ac:dyDescent="0.25">
      <c r="A177" s="380"/>
      <c r="B177" s="352"/>
      <c r="C177" s="334"/>
      <c r="D177" s="335" t="s">
        <v>64</v>
      </c>
      <c r="E177" s="335" t="s">
        <v>65</v>
      </c>
      <c r="F177" s="337">
        <f>+F179+F178</f>
        <v>32500000</v>
      </c>
      <c r="G177" s="344">
        <f>+G179</f>
        <v>0</v>
      </c>
      <c r="H177" s="344">
        <f>SUM(H179)</f>
        <v>0</v>
      </c>
      <c r="I177" s="344">
        <f>+G177+H177</f>
        <v>0</v>
      </c>
      <c r="J177" s="344">
        <f>+J179</f>
        <v>0</v>
      </c>
      <c r="K177" s="344">
        <f>+K179</f>
        <v>0</v>
      </c>
      <c r="L177" s="344">
        <f>+J177+K177</f>
        <v>0</v>
      </c>
      <c r="M177" s="344">
        <f t="shared" si="87"/>
        <v>0</v>
      </c>
      <c r="N177" s="337">
        <f>+F177-M177</f>
        <v>32500000</v>
      </c>
      <c r="P177" s="340"/>
      <c r="S177" s="347"/>
      <c r="T177" s="347"/>
      <c r="U177" s="382"/>
    </row>
    <row r="178" spans="1:21" s="381" customFormat="1" ht="18" customHeight="1" x14ac:dyDescent="0.25">
      <c r="A178" s="380"/>
      <c r="B178" s="352"/>
      <c r="C178" s="334"/>
      <c r="D178" s="335" t="s">
        <v>443</v>
      </c>
      <c r="E178" s="335" t="s">
        <v>444</v>
      </c>
      <c r="F178" s="337">
        <v>17500000</v>
      </c>
      <c r="G178" s="344"/>
      <c r="H178" s="344"/>
      <c r="I178" s="344">
        <f t="shared" ref="I178:I179" si="88">+G178+H178</f>
        <v>0</v>
      </c>
      <c r="J178" s="344"/>
      <c r="K178" s="344"/>
      <c r="L178" s="344">
        <f t="shared" ref="L178:L179" si="89">+J178+K178</f>
        <v>0</v>
      </c>
      <c r="M178" s="344">
        <f t="shared" si="87"/>
        <v>0</v>
      </c>
      <c r="N178" s="337">
        <f t="shared" ref="N178:N179" si="90">+F178-M178</f>
        <v>17500000</v>
      </c>
      <c r="P178" s="340"/>
      <c r="S178" s="347"/>
      <c r="T178" s="347"/>
      <c r="U178" s="382"/>
    </row>
    <row r="179" spans="1:21" s="381" customFormat="1" ht="18" customHeight="1" x14ac:dyDescent="0.25">
      <c r="A179" s="380"/>
      <c r="B179" s="352"/>
      <c r="C179" s="334"/>
      <c r="D179" s="335" t="s">
        <v>447</v>
      </c>
      <c r="E179" s="335" t="s">
        <v>448</v>
      </c>
      <c r="F179" s="337">
        <v>15000000</v>
      </c>
      <c r="G179" s="344"/>
      <c r="H179" s="344"/>
      <c r="I179" s="344">
        <f t="shared" si="88"/>
        <v>0</v>
      </c>
      <c r="J179" s="344"/>
      <c r="K179" s="344"/>
      <c r="L179" s="344">
        <f t="shared" si="89"/>
        <v>0</v>
      </c>
      <c r="M179" s="344">
        <f t="shared" si="87"/>
        <v>0</v>
      </c>
      <c r="N179" s="337">
        <f t="shared" si="90"/>
        <v>15000000</v>
      </c>
      <c r="P179" s="340"/>
      <c r="S179" s="347"/>
      <c r="T179" s="347"/>
      <c r="U179" s="382"/>
    </row>
    <row r="180" spans="1:21" s="339" customFormat="1" ht="18" customHeight="1" x14ac:dyDescent="0.25">
      <c r="A180" s="334"/>
      <c r="B180" s="335"/>
      <c r="C180" s="334"/>
      <c r="D180" s="365" t="s">
        <v>265</v>
      </c>
      <c r="E180" s="335" t="s">
        <v>266</v>
      </c>
      <c r="F180" s="337">
        <f t="shared" si="85"/>
        <v>1567950000</v>
      </c>
      <c r="G180" s="344">
        <f>+G181</f>
        <v>296175000</v>
      </c>
      <c r="H180" s="344">
        <f>+H181</f>
        <v>0</v>
      </c>
      <c r="I180" s="344">
        <f>+G180+H180</f>
        <v>296175000</v>
      </c>
      <c r="J180" s="344">
        <f t="shared" si="86"/>
        <v>64609600</v>
      </c>
      <c r="K180" s="344">
        <f t="shared" si="86"/>
        <v>796100</v>
      </c>
      <c r="L180" s="344">
        <f>+J180+K180</f>
        <v>65405700</v>
      </c>
      <c r="M180" s="344">
        <f t="shared" si="87"/>
        <v>361580700</v>
      </c>
      <c r="N180" s="337">
        <f>+F180-M180</f>
        <v>1206369300</v>
      </c>
      <c r="P180" s="340"/>
      <c r="S180" s="347"/>
      <c r="T180" s="347"/>
      <c r="U180" s="342"/>
    </row>
    <row r="181" spans="1:21" s="381" customFormat="1" ht="18" customHeight="1" x14ac:dyDescent="0.25">
      <c r="A181" s="380"/>
      <c r="B181" s="352"/>
      <c r="C181" s="334"/>
      <c r="D181" s="335" t="s">
        <v>71</v>
      </c>
      <c r="E181" s="335" t="s">
        <v>72</v>
      </c>
      <c r="F181" s="337">
        <f>SUM(F182:F183)</f>
        <v>1567950000</v>
      </c>
      <c r="G181" s="344">
        <f>SUM(G182:G183)</f>
        <v>296175000</v>
      </c>
      <c r="H181" s="344">
        <f>SUM(H182:H183)</f>
        <v>0</v>
      </c>
      <c r="I181" s="344">
        <f>+G181+H181</f>
        <v>296175000</v>
      </c>
      <c r="J181" s="344">
        <f>SUM(J182:J183)</f>
        <v>64609600</v>
      </c>
      <c r="K181" s="344">
        <f>SUM(K182:K183)</f>
        <v>796100</v>
      </c>
      <c r="L181" s="344">
        <f>+J181+K181</f>
        <v>65405700</v>
      </c>
      <c r="M181" s="344">
        <f t="shared" si="87"/>
        <v>361580700</v>
      </c>
      <c r="N181" s="337">
        <f>+F181-M181</f>
        <v>1206369300</v>
      </c>
      <c r="P181" s="340"/>
      <c r="S181" s="347"/>
      <c r="T181" s="347"/>
      <c r="U181" s="382"/>
    </row>
    <row r="182" spans="1:21" s="381" customFormat="1" ht="18" customHeight="1" x14ac:dyDescent="0.25">
      <c r="A182" s="380"/>
      <c r="B182" s="352"/>
      <c r="C182" s="334"/>
      <c r="D182" s="335" t="s">
        <v>73</v>
      </c>
      <c r="E182" s="335" t="s">
        <v>74</v>
      </c>
      <c r="F182" s="337">
        <v>1501270000</v>
      </c>
      <c r="G182" s="344">
        <v>296175000</v>
      </c>
      <c r="H182" s="344"/>
      <c r="I182" s="344">
        <f t="shared" ref="I182" si="91">+G182+H182</f>
        <v>296175000</v>
      </c>
      <c r="J182" s="344">
        <v>55809700</v>
      </c>
      <c r="K182" s="344"/>
      <c r="L182" s="344">
        <f t="shared" ref="L182:L193" si="92">+J182+K182</f>
        <v>55809700</v>
      </c>
      <c r="M182" s="344">
        <f t="shared" si="87"/>
        <v>351984700</v>
      </c>
      <c r="N182" s="337">
        <f t="shared" ref="N182:N183" si="93">+F182-M182</f>
        <v>1149285300</v>
      </c>
      <c r="P182" s="340"/>
      <c r="S182" s="347"/>
      <c r="T182" s="347"/>
      <c r="U182" s="382"/>
    </row>
    <row r="183" spans="1:21" s="388" customFormat="1" ht="18" customHeight="1" x14ac:dyDescent="0.25">
      <c r="A183" s="386"/>
      <c r="B183" s="387"/>
      <c r="C183" s="353"/>
      <c r="D183" s="355" t="s">
        <v>88</v>
      </c>
      <c r="E183" s="355" t="s">
        <v>89</v>
      </c>
      <c r="F183" s="356">
        <v>66680000</v>
      </c>
      <c r="G183" s="357"/>
      <c r="H183" s="357"/>
      <c r="I183" s="357"/>
      <c r="J183" s="357">
        <v>8799900</v>
      </c>
      <c r="K183" s="357">
        <f>503000+293100</f>
        <v>796100</v>
      </c>
      <c r="L183" s="357">
        <f t="shared" si="92"/>
        <v>9596000</v>
      </c>
      <c r="M183" s="357">
        <f>+I183+L183</f>
        <v>9596000</v>
      </c>
      <c r="N183" s="356">
        <f t="shared" si="93"/>
        <v>57084000</v>
      </c>
      <c r="P183" s="200"/>
      <c r="S183" s="358">
        <f>503000+293100</f>
        <v>796100</v>
      </c>
      <c r="T183" s="221"/>
      <c r="U183" s="389"/>
    </row>
    <row r="184" spans="1:21" s="319" customFormat="1" ht="18" customHeight="1" x14ac:dyDescent="0.25">
      <c r="A184" s="276">
        <v>9</v>
      </c>
      <c r="B184" s="305"/>
      <c r="C184" s="390" t="s">
        <v>109</v>
      </c>
      <c r="D184" s="363"/>
      <c r="E184" s="364" t="s">
        <v>110</v>
      </c>
      <c r="F184" s="307">
        <f>+F185+F201</f>
        <v>200844000</v>
      </c>
      <c r="G184" s="308">
        <f>+G185+G201</f>
        <v>0</v>
      </c>
      <c r="H184" s="308">
        <f>+H185+H201</f>
        <v>0</v>
      </c>
      <c r="I184" s="308">
        <f>+G184+H184</f>
        <v>0</v>
      </c>
      <c r="J184" s="308">
        <f>+J185+J201</f>
        <v>18880000</v>
      </c>
      <c r="K184" s="308">
        <f>+K185+K201</f>
        <v>0</v>
      </c>
      <c r="L184" s="308">
        <f t="shared" si="92"/>
        <v>18880000</v>
      </c>
      <c r="M184" s="308">
        <f>+I184+L184</f>
        <v>18880000</v>
      </c>
      <c r="N184" s="307">
        <f>+F184-M184</f>
        <v>181964000</v>
      </c>
      <c r="P184" s="320"/>
      <c r="R184" s="321"/>
      <c r="S184" s="349"/>
      <c r="T184" s="349"/>
      <c r="U184" s="350"/>
    </row>
    <row r="185" spans="1:21" s="329" customFormat="1" ht="18" customHeight="1" x14ac:dyDescent="0.25">
      <c r="A185" s="323"/>
      <c r="B185" s="324"/>
      <c r="C185" s="379"/>
      <c r="D185" s="325" t="s">
        <v>207</v>
      </c>
      <c r="E185" s="326" t="s">
        <v>262</v>
      </c>
      <c r="F185" s="327">
        <f>+F186</f>
        <v>174844000</v>
      </c>
      <c r="G185" s="328">
        <f>+G186</f>
        <v>0</v>
      </c>
      <c r="H185" s="328">
        <f>+H186</f>
        <v>0</v>
      </c>
      <c r="I185" s="328">
        <f>+G185+H185</f>
        <v>0</v>
      </c>
      <c r="J185" s="328">
        <f>+J186</f>
        <v>18880000</v>
      </c>
      <c r="K185" s="328">
        <f>+K186</f>
        <v>0</v>
      </c>
      <c r="L185" s="328">
        <f t="shared" si="92"/>
        <v>18880000</v>
      </c>
      <c r="M185" s="328">
        <f>+I185+L185</f>
        <v>18880000</v>
      </c>
      <c r="N185" s="327">
        <f>+F185-M185</f>
        <v>155964000</v>
      </c>
      <c r="P185" s="330"/>
      <c r="R185" s="331"/>
      <c r="S185" s="351"/>
      <c r="T185" s="351"/>
      <c r="U185" s="333"/>
    </row>
    <row r="186" spans="1:21" s="381" customFormat="1" ht="18" customHeight="1" x14ac:dyDescent="0.25">
      <c r="A186" s="380"/>
      <c r="B186" s="352"/>
      <c r="C186" s="334"/>
      <c r="D186" s="335" t="s">
        <v>63</v>
      </c>
      <c r="E186" s="335" t="s">
        <v>30</v>
      </c>
      <c r="F186" s="337">
        <f>+F187+F194+F198</f>
        <v>174844000</v>
      </c>
      <c r="G186" s="344">
        <f>+G187+G194</f>
        <v>0</v>
      </c>
      <c r="H186" s="344">
        <f>+H187+H194</f>
        <v>0</v>
      </c>
      <c r="I186" s="344">
        <f>+G186+H186</f>
        <v>0</v>
      </c>
      <c r="J186" s="344">
        <f>+J187+J194</f>
        <v>18880000</v>
      </c>
      <c r="K186" s="344">
        <f>+K187+K194</f>
        <v>0</v>
      </c>
      <c r="L186" s="344">
        <f t="shared" si="92"/>
        <v>18880000</v>
      </c>
      <c r="M186" s="344">
        <f t="shared" ref="M186:M196" si="94">+I186+L186</f>
        <v>18880000</v>
      </c>
      <c r="N186" s="337">
        <f>+F186-M186</f>
        <v>155964000</v>
      </c>
      <c r="P186" s="340"/>
      <c r="S186" s="347"/>
      <c r="T186" s="347"/>
      <c r="U186" s="382"/>
    </row>
    <row r="187" spans="1:21" s="339" customFormat="1" ht="18" customHeight="1" x14ac:dyDescent="0.25">
      <c r="A187" s="334"/>
      <c r="B187" s="335"/>
      <c r="C187" s="334"/>
      <c r="D187" s="365" t="s">
        <v>263</v>
      </c>
      <c r="E187" s="335" t="s">
        <v>264</v>
      </c>
      <c r="F187" s="337">
        <f t="shared" ref="F187" si="95">+F188</f>
        <v>44044000</v>
      </c>
      <c r="G187" s="344">
        <f>+G188</f>
        <v>0</v>
      </c>
      <c r="H187" s="344">
        <f>+H188</f>
        <v>0</v>
      </c>
      <c r="I187" s="344">
        <f>+G187+H187</f>
        <v>0</v>
      </c>
      <c r="J187" s="344">
        <f>+J188</f>
        <v>0</v>
      </c>
      <c r="K187" s="344">
        <f>+K188</f>
        <v>0</v>
      </c>
      <c r="L187" s="344">
        <f t="shared" si="92"/>
        <v>0</v>
      </c>
      <c r="M187" s="344">
        <f t="shared" si="94"/>
        <v>0</v>
      </c>
      <c r="N187" s="337">
        <f>+F187-M187</f>
        <v>44044000</v>
      </c>
      <c r="P187" s="340"/>
      <c r="S187" s="347"/>
      <c r="T187" s="347"/>
      <c r="U187" s="342"/>
    </row>
    <row r="188" spans="1:21" s="381" customFormat="1" ht="18" customHeight="1" x14ac:dyDescent="0.25">
      <c r="A188" s="380"/>
      <c r="B188" s="352"/>
      <c r="C188" s="334"/>
      <c r="D188" s="335" t="s">
        <v>64</v>
      </c>
      <c r="E188" s="335" t="s">
        <v>65</v>
      </c>
      <c r="F188" s="337">
        <f>SUM(F189:F193)</f>
        <v>44044000</v>
      </c>
      <c r="G188" s="344">
        <f>SUM(G189:G193)</f>
        <v>0</v>
      </c>
      <c r="H188" s="344">
        <f>SUM(H189:H193)</f>
        <v>0</v>
      </c>
      <c r="I188" s="344">
        <f>+G188+H188</f>
        <v>0</v>
      </c>
      <c r="J188" s="344">
        <f>SUM(J189:J193)</f>
        <v>0</v>
      </c>
      <c r="K188" s="344">
        <f>SUM(K189:K193)</f>
        <v>0</v>
      </c>
      <c r="L188" s="344">
        <f t="shared" si="92"/>
        <v>0</v>
      </c>
      <c r="M188" s="344">
        <f t="shared" si="94"/>
        <v>0</v>
      </c>
      <c r="N188" s="337">
        <f>+F188-M188</f>
        <v>44044000</v>
      </c>
      <c r="P188" s="340"/>
      <c r="S188" s="347"/>
      <c r="T188" s="347"/>
      <c r="U188" s="382"/>
    </row>
    <row r="189" spans="1:21" s="381" customFormat="1" ht="18" customHeight="1" x14ac:dyDescent="0.25">
      <c r="A189" s="380"/>
      <c r="B189" s="352"/>
      <c r="C189" s="334"/>
      <c r="D189" s="335" t="s">
        <v>66</v>
      </c>
      <c r="E189" s="335" t="s">
        <v>67</v>
      </c>
      <c r="F189" s="337">
        <v>24037500</v>
      </c>
      <c r="G189" s="344"/>
      <c r="H189" s="344"/>
      <c r="I189" s="344">
        <f t="shared" ref="I189" si="96">+G189+H189</f>
        <v>0</v>
      </c>
      <c r="J189" s="344"/>
      <c r="K189" s="344"/>
      <c r="L189" s="344">
        <f t="shared" si="92"/>
        <v>0</v>
      </c>
      <c r="M189" s="357">
        <f t="shared" si="94"/>
        <v>0</v>
      </c>
      <c r="N189" s="337">
        <f t="shared" ref="N189:N193" si="97">+F189-M189</f>
        <v>24037500</v>
      </c>
      <c r="P189" s="340"/>
      <c r="S189" s="347"/>
      <c r="T189" s="347"/>
      <c r="U189" s="382"/>
    </row>
    <row r="190" spans="1:21" s="381" customFormat="1" ht="18" customHeight="1" x14ac:dyDescent="0.25">
      <c r="A190" s="380"/>
      <c r="B190" s="352"/>
      <c r="C190" s="334"/>
      <c r="D190" s="335" t="s">
        <v>337</v>
      </c>
      <c r="E190" s="335" t="s">
        <v>338</v>
      </c>
      <c r="F190" s="337">
        <v>12104000</v>
      </c>
      <c r="G190" s="344"/>
      <c r="H190" s="344"/>
      <c r="I190" s="344"/>
      <c r="J190" s="344"/>
      <c r="K190" s="344"/>
      <c r="L190" s="344">
        <f t="shared" si="92"/>
        <v>0</v>
      </c>
      <c r="M190" s="357">
        <f t="shared" si="94"/>
        <v>0</v>
      </c>
      <c r="N190" s="337">
        <f t="shared" si="97"/>
        <v>12104000</v>
      </c>
      <c r="P190" s="340"/>
      <c r="S190" s="347"/>
      <c r="T190" s="347"/>
      <c r="U190" s="382"/>
    </row>
    <row r="191" spans="1:21" s="381" customFormat="1" ht="18" customHeight="1" x14ac:dyDescent="0.25">
      <c r="A191" s="380"/>
      <c r="B191" s="352"/>
      <c r="C191" s="334"/>
      <c r="D191" s="335" t="s">
        <v>367</v>
      </c>
      <c r="E191" s="335" t="s">
        <v>368</v>
      </c>
      <c r="F191" s="337">
        <v>3142500</v>
      </c>
      <c r="G191" s="344"/>
      <c r="H191" s="344"/>
      <c r="I191" s="344"/>
      <c r="J191" s="344"/>
      <c r="K191" s="344"/>
      <c r="L191" s="344">
        <f t="shared" si="92"/>
        <v>0</v>
      </c>
      <c r="M191" s="357">
        <f t="shared" si="94"/>
        <v>0</v>
      </c>
      <c r="N191" s="337">
        <f t="shared" si="97"/>
        <v>3142500</v>
      </c>
      <c r="P191" s="340"/>
      <c r="S191" s="347"/>
      <c r="T191" s="347"/>
      <c r="U191" s="382"/>
    </row>
    <row r="192" spans="1:21" s="381" customFormat="1" ht="18" customHeight="1" x14ac:dyDescent="0.25">
      <c r="A192" s="380"/>
      <c r="B192" s="352"/>
      <c r="C192" s="334"/>
      <c r="D192" s="335" t="s">
        <v>373</v>
      </c>
      <c r="E192" s="335" t="s">
        <v>392</v>
      </c>
      <c r="F192" s="337">
        <v>560000</v>
      </c>
      <c r="G192" s="344"/>
      <c r="H192" s="344"/>
      <c r="I192" s="344"/>
      <c r="J192" s="344"/>
      <c r="K192" s="344"/>
      <c r="L192" s="344">
        <f t="shared" si="92"/>
        <v>0</v>
      </c>
      <c r="M192" s="357">
        <f t="shared" si="94"/>
        <v>0</v>
      </c>
      <c r="N192" s="337">
        <f t="shared" si="97"/>
        <v>560000</v>
      </c>
      <c r="P192" s="340"/>
      <c r="S192" s="347"/>
      <c r="T192" s="347"/>
      <c r="U192" s="382"/>
    </row>
    <row r="193" spans="1:21" s="381" customFormat="1" ht="18" customHeight="1" x14ac:dyDescent="0.25">
      <c r="A193" s="380"/>
      <c r="B193" s="352"/>
      <c r="C193" s="334"/>
      <c r="D193" s="335" t="s">
        <v>70</v>
      </c>
      <c r="E193" s="335" t="s">
        <v>33</v>
      </c>
      <c r="F193" s="337">
        <v>4200000</v>
      </c>
      <c r="G193" s="344"/>
      <c r="H193" s="344"/>
      <c r="I193" s="344"/>
      <c r="J193" s="344"/>
      <c r="K193" s="344"/>
      <c r="L193" s="344">
        <f t="shared" si="92"/>
        <v>0</v>
      </c>
      <c r="M193" s="357">
        <f t="shared" si="94"/>
        <v>0</v>
      </c>
      <c r="N193" s="337">
        <f t="shared" si="97"/>
        <v>4200000</v>
      </c>
      <c r="P193" s="340"/>
      <c r="S193" s="347"/>
      <c r="T193" s="347"/>
      <c r="U193" s="382"/>
    </row>
    <row r="194" spans="1:21" s="339" customFormat="1" ht="18" customHeight="1" x14ac:dyDescent="0.25">
      <c r="A194" s="334"/>
      <c r="B194" s="335"/>
      <c r="C194" s="334"/>
      <c r="D194" s="365" t="s">
        <v>271</v>
      </c>
      <c r="E194" s="335" t="s">
        <v>272</v>
      </c>
      <c r="F194" s="337">
        <f t="shared" ref="F194" si="98">+F195</f>
        <v>78300000</v>
      </c>
      <c r="G194" s="344">
        <f>+G195</f>
        <v>0</v>
      </c>
      <c r="H194" s="344">
        <f>+H195</f>
        <v>0</v>
      </c>
      <c r="I194" s="344">
        <f>+G194+H194</f>
        <v>0</v>
      </c>
      <c r="J194" s="344">
        <f>+J195</f>
        <v>18880000</v>
      </c>
      <c r="K194" s="344">
        <f>+K195</f>
        <v>0</v>
      </c>
      <c r="L194" s="344">
        <f>+J194+K194</f>
        <v>18880000</v>
      </c>
      <c r="M194" s="344">
        <f t="shared" si="94"/>
        <v>18880000</v>
      </c>
      <c r="N194" s="337">
        <f>+F194-M194</f>
        <v>59420000</v>
      </c>
      <c r="P194" s="340"/>
      <c r="S194" s="347"/>
      <c r="T194" s="347"/>
      <c r="U194" s="342"/>
    </row>
    <row r="195" spans="1:21" s="381" customFormat="1" ht="18" customHeight="1" x14ac:dyDescent="0.25">
      <c r="A195" s="380"/>
      <c r="B195" s="352"/>
      <c r="C195" s="334"/>
      <c r="D195" s="335" t="s">
        <v>81</v>
      </c>
      <c r="E195" s="335" t="s">
        <v>31</v>
      </c>
      <c r="F195" s="337">
        <f>SUM(F196:F197)</f>
        <v>78300000</v>
      </c>
      <c r="G195" s="344">
        <f>SUM(G197:G197)</f>
        <v>0</v>
      </c>
      <c r="H195" s="344">
        <f>+H197</f>
        <v>0</v>
      </c>
      <c r="I195" s="344">
        <f>+G195+H195</f>
        <v>0</v>
      </c>
      <c r="J195" s="344">
        <f>SUM(J197:J197)</f>
        <v>18880000</v>
      </c>
      <c r="K195" s="344">
        <f>+K197</f>
        <v>0</v>
      </c>
      <c r="L195" s="344">
        <f>+J195+K195</f>
        <v>18880000</v>
      </c>
      <c r="M195" s="344">
        <f t="shared" si="94"/>
        <v>18880000</v>
      </c>
      <c r="N195" s="337">
        <f>+F195-M195</f>
        <v>59420000</v>
      </c>
      <c r="P195" s="340"/>
      <c r="S195" s="347"/>
      <c r="T195" s="347"/>
      <c r="U195" s="382"/>
    </row>
    <row r="196" spans="1:21" s="381" customFormat="1" ht="18" customHeight="1" x14ac:dyDescent="0.25">
      <c r="A196" s="380"/>
      <c r="B196" s="352"/>
      <c r="C196" s="334"/>
      <c r="D196" s="335" t="s">
        <v>451</v>
      </c>
      <c r="E196" s="335" t="s">
        <v>452</v>
      </c>
      <c r="F196" s="337">
        <v>1500000</v>
      </c>
      <c r="G196" s="344"/>
      <c r="H196" s="344"/>
      <c r="I196" s="344">
        <f t="shared" ref="I196" si="99">+G196+H196</f>
        <v>0</v>
      </c>
      <c r="J196" s="344"/>
      <c r="K196" s="344"/>
      <c r="L196" s="344">
        <f t="shared" ref="L196" si="100">+J196+K196</f>
        <v>0</v>
      </c>
      <c r="M196" s="344">
        <f t="shared" si="94"/>
        <v>0</v>
      </c>
      <c r="N196" s="337">
        <f t="shared" ref="N196:N197" si="101">+F196-M196</f>
        <v>1500000</v>
      </c>
      <c r="P196" s="340"/>
      <c r="S196" s="347"/>
      <c r="T196" s="347"/>
      <c r="U196" s="382"/>
    </row>
    <row r="197" spans="1:21" s="381" customFormat="1" ht="18" customHeight="1" x14ac:dyDescent="0.25">
      <c r="A197" s="380"/>
      <c r="B197" s="352"/>
      <c r="C197" s="334"/>
      <c r="D197" s="335" t="s">
        <v>82</v>
      </c>
      <c r="E197" s="335" t="s">
        <v>83</v>
      </c>
      <c r="F197" s="337">
        <v>76800000</v>
      </c>
      <c r="G197" s="344"/>
      <c r="H197" s="344"/>
      <c r="I197" s="344">
        <f>+G197+H197</f>
        <v>0</v>
      </c>
      <c r="J197" s="344">
        <v>18880000</v>
      </c>
      <c r="K197" s="344"/>
      <c r="L197" s="344">
        <f>+J197+K197</f>
        <v>18880000</v>
      </c>
      <c r="M197" s="344">
        <f>+I197+L197</f>
        <v>18880000</v>
      </c>
      <c r="N197" s="337">
        <f t="shared" si="101"/>
        <v>57920000</v>
      </c>
      <c r="P197" s="340"/>
      <c r="S197" s="347"/>
      <c r="T197" s="347"/>
      <c r="U197" s="382"/>
    </row>
    <row r="198" spans="1:21" s="339" customFormat="1" ht="18" customHeight="1" x14ac:dyDescent="0.25">
      <c r="A198" s="334"/>
      <c r="B198" s="335"/>
      <c r="C198" s="334"/>
      <c r="D198" s="365" t="s">
        <v>275</v>
      </c>
      <c r="E198" s="335" t="s">
        <v>276</v>
      </c>
      <c r="F198" s="337">
        <f>+F199</f>
        <v>52500000</v>
      </c>
      <c r="G198" s="344">
        <f>+G199</f>
        <v>0</v>
      </c>
      <c r="H198" s="344">
        <f>+H199</f>
        <v>0</v>
      </c>
      <c r="I198" s="344">
        <f>+G198+H198</f>
        <v>0</v>
      </c>
      <c r="J198" s="344">
        <f>+J199</f>
        <v>0</v>
      </c>
      <c r="K198" s="344">
        <f>+K199</f>
        <v>0</v>
      </c>
      <c r="L198" s="344">
        <f>+J198+K198</f>
        <v>0</v>
      </c>
      <c r="M198" s="344">
        <f t="shared" ref="M198:M205" si="102">+I198+L198</f>
        <v>0</v>
      </c>
      <c r="N198" s="337">
        <f>+F198-M198</f>
        <v>52500000</v>
      </c>
      <c r="P198" s="340"/>
      <c r="S198" s="347"/>
      <c r="T198" s="347"/>
      <c r="U198" s="342"/>
    </row>
    <row r="199" spans="1:21" s="381" customFormat="1" ht="18" customHeight="1" x14ac:dyDescent="0.25">
      <c r="A199" s="380"/>
      <c r="B199" s="352"/>
      <c r="C199" s="334"/>
      <c r="D199" s="335" t="s">
        <v>150</v>
      </c>
      <c r="E199" s="335" t="s">
        <v>32</v>
      </c>
      <c r="F199" s="337">
        <f>+F200</f>
        <v>52500000</v>
      </c>
      <c r="G199" s="344">
        <f>SUM(G201:G201)</f>
        <v>0</v>
      </c>
      <c r="H199" s="344">
        <f>+H201</f>
        <v>0</v>
      </c>
      <c r="I199" s="344">
        <f>+G199+H199</f>
        <v>0</v>
      </c>
      <c r="J199" s="344">
        <f>SUM(J201:J201)</f>
        <v>0</v>
      </c>
      <c r="K199" s="344">
        <f>+K201</f>
        <v>0</v>
      </c>
      <c r="L199" s="344">
        <f>+J199+K199</f>
        <v>0</v>
      </c>
      <c r="M199" s="344">
        <f t="shared" si="102"/>
        <v>0</v>
      </c>
      <c r="N199" s="337">
        <f>+F199-M199</f>
        <v>52500000</v>
      </c>
      <c r="P199" s="340"/>
      <c r="S199" s="347"/>
      <c r="T199" s="347"/>
      <c r="U199" s="382"/>
    </row>
    <row r="200" spans="1:21" s="381" customFormat="1" ht="36" customHeight="1" x14ac:dyDescent="0.25">
      <c r="A200" s="380"/>
      <c r="B200" s="352"/>
      <c r="C200" s="334"/>
      <c r="D200" s="335" t="s">
        <v>462</v>
      </c>
      <c r="E200" s="391" t="s">
        <v>463</v>
      </c>
      <c r="F200" s="337">
        <v>52500000</v>
      </c>
      <c r="G200" s="344"/>
      <c r="H200" s="344"/>
      <c r="I200" s="344">
        <f t="shared" ref="I200" si="103">+G200+H200</f>
        <v>0</v>
      </c>
      <c r="J200" s="344"/>
      <c r="K200" s="344"/>
      <c r="L200" s="344">
        <f t="shared" ref="L200" si="104">+J200+K200</f>
        <v>0</v>
      </c>
      <c r="M200" s="344">
        <f t="shared" si="102"/>
        <v>0</v>
      </c>
      <c r="N200" s="337">
        <f t="shared" ref="N200" si="105">+F200-M200</f>
        <v>52500000</v>
      </c>
      <c r="P200" s="340"/>
      <c r="S200" s="347"/>
      <c r="T200" s="347"/>
      <c r="U200" s="382"/>
    </row>
    <row r="201" spans="1:21" s="381" customFormat="1" ht="18" customHeight="1" x14ac:dyDescent="0.25">
      <c r="A201" s="380"/>
      <c r="B201" s="383"/>
      <c r="C201" s="384"/>
      <c r="D201" s="365" t="s">
        <v>267</v>
      </c>
      <c r="E201" s="335" t="s">
        <v>268</v>
      </c>
      <c r="F201" s="337">
        <f t="shared" ref="F201:H203" si="106">+F202</f>
        <v>26000000</v>
      </c>
      <c r="G201" s="344">
        <f t="shared" si="106"/>
        <v>0</v>
      </c>
      <c r="H201" s="344">
        <f t="shared" si="106"/>
        <v>0</v>
      </c>
      <c r="I201" s="344">
        <f>+G201+H201</f>
        <v>0</v>
      </c>
      <c r="J201" s="344">
        <f t="shared" ref="J201:K204" si="107">+J202</f>
        <v>0</v>
      </c>
      <c r="K201" s="344">
        <f t="shared" si="107"/>
        <v>0</v>
      </c>
      <c r="L201" s="344">
        <f>+J201+K201</f>
        <v>0</v>
      </c>
      <c r="M201" s="344">
        <f t="shared" si="102"/>
        <v>0</v>
      </c>
      <c r="N201" s="337">
        <f>+F201-M201</f>
        <v>26000000</v>
      </c>
      <c r="P201" s="340"/>
      <c r="R201" s="385"/>
      <c r="S201" s="347"/>
      <c r="T201" s="347"/>
      <c r="U201" s="382"/>
    </row>
    <row r="202" spans="1:21" s="381" customFormat="1" ht="18" customHeight="1" x14ac:dyDescent="0.25">
      <c r="A202" s="380"/>
      <c r="B202" s="352"/>
      <c r="C202" s="334"/>
      <c r="D202" s="335" t="s">
        <v>78</v>
      </c>
      <c r="E202" s="335" t="s">
        <v>75</v>
      </c>
      <c r="F202" s="337">
        <f t="shared" si="106"/>
        <v>26000000</v>
      </c>
      <c r="G202" s="344">
        <f t="shared" si="106"/>
        <v>0</v>
      </c>
      <c r="H202" s="344">
        <f t="shared" si="106"/>
        <v>0</v>
      </c>
      <c r="I202" s="344">
        <f t="shared" ref="I202:I205" si="108">+G202+H202</f>
        <v>0</v>
      </c>
      <c r="J202" s="344">
        <f t="shared" si="107"/>
        <v>0</v>
      </c>
      <c r="K202" s="344">
        <f t="shared" si="107"/>
        <v>0</v>
      </c>
      <c r="L202" s="344">
        <f t="shared" ref="L202:L203" si="109">+J202+K202</f>
        <v>0</v>
      </c>
      <c r="M202" s="344">
        <f t="shared" si="102"/>
        <v>0</v>
      </c>
      <c r="N202" s="337">
        <f>+F202-M202</f>
        <v>26000000</v>
      </c>
      <c r="P202" s="340"/>
      <c r="S202" s="347"/>
      <c r="T202" s="347"/>
      <c r="U202" s="382"/>
    </row>
    <row r="203" spans="1:21" s="339" customFormat="1" ht="18" customHeight="1" x14ac:dyDescent="0.25">
      <c r="A203" s="334"/>
      <c r="B203" s="335"/>
      <c r="C203" s="334"/>
      <c r="D203" s="365" t="s">
        <v>269</v>
      </c>
      <c r="E203" s="335" t="s">
        <v>270</v>
      </c>
      <c r="F203" s="337">
        <f t="shared" si="106"/>
        <v>26000000</v>
      </c>
      <c r="G203" s="344">
        <f>+G204</f>
        <v>0</v>
      </c>
      <c r="H203" s="344">
        <f>+H204</f>
        <v>0</v>
      </c>
      <c r="I203" s="344">
        <f t="shared" si="108"/>
        <v>0</v>
      </c>
      <c r="J203" s="344">
        <f t="shared" si="107"/>
        <v>0</v>
      </c>
      <c r="K203" s="344">
        <f t="shared" si="107"/>
        <v>0</v>
      </c>
      <c r="L203" s="344">
        <f t="shared" si="109"/>
        <v>0</v>
      </c>
      <c r="M203" s="344">
        <f t="shared" si="102"/>
        <v>0</v>
      </c>
      <c r="N203" s="337">
        <f>+F203-M203</f>
        <v>26000000</v>
      </c>
      <c r="P203" s="340"/>
      <c r="S203" s="347"/>
      <c r="T203" s="347"/>
      <c r="U203" s="342"/>
    </row>
    <row r="204" spans="1:21" s="381" customFormat="1" ht="18" customHeight="1" x14ac:dyDescent="0.25">
      <c r="A204" s="380"/>
      <c r="B204" s="352"/>
      <c r="C204" s="334"/>
      <c r="D204" s="335" t="s">
        <v>76</v>
      </c>
      <c r="E204" s="335" t="s">
        <v>77</v>
      </c>
      <c r="F204" s="337">
        <f>SUM(F205)</f>
        <v>26000000</v>
      </c>
      <c r="G204" s="344">
        <f>+G205</f>
        <v>0</v>
      </c>
      <c r="H204" s="344">
        <f>+H205</f>
        <v>0</v>
      </c>
      <c r="I204" s="344">
        <f>+G204+H204</f>
        <v>0</v>
      </c>
      <c r="J204" s="344">
        <f t="shared" si="107"/>
        <v>0</v>
      </c>
      <c r="K204" s="344">
        <f t="shared" si="107"/>
        <v>0</v>
      </c>
      <c r="L204" s="344">
        <f>+J204+K204</f>
        <v>0</v>
      </c>
      <c r="M204" s="344">
        <f t="shared" si="102"/>
        <v>0</v>
      </c>
      <c r="N204" s="337">
        <f>+F204-M204</f>
        <v>26000000</v>
      </c>
      <c r="P204" s="340"/>
      <c r="S204" s="347"/>
      <c r="T204" s="347"/>
      <c r="U204" s="382"/>
    </row>
    <row r="205" spans="1:21" s="388" customFormat="1" ht="18" customHeight="1" x14ac:dyDescent="0.25">
      <c r="A205" s="386"/>
      <c r="B205" s="387"/>
      <c r="C205" s="353"/>
      <c r="D205" s="355" t="s">
        <v>393</v>
      </c>
      <c r="E205" s="355" t="s">
        <v>394</v>
      </c>
      <c r="F205" s="356">
        <v>26000000</v>
      </c>
      <c r="G205" s="357"/>
      <c r="H205" s="357"/>
      <c r="I205" s="357">
        <f t="shared" si="108"/>
        <v>0</v>
      </c>
      <c r="J205" s="357"/>
      <c r="K205" s="357"/>
      <c r="L205" s="357">
        <f t="shared" ref="L205" si="110">+J205+K205</f>
        <v>0</v>
      </c>
      <c r="M205" s="357">
        <f t="shared" si="102"/>
        <v>0</v>
      </c>
      <c r="N205" s="356">
        <f t="shared" ref="N205" si="111">+F205-M205</f>
        <v>26000000</v>
      </c>
      <c r="P205" s="200"/>
      <c r="S205" s="221"/>
      <c r="T205" s="221"/>
      <c r="U205" s="389"/>
    </row>
    <row r="206" spans="1:21" s="319" customFormat="1" ht="18" customHeight="1" x14ac:dyDescent="0.25">
      <c r="A206" s="276">
        <v>10</v>
      </c>
      <c r="B206" s="305"/>
      <c r="C206" s="390" t="s">
        <v>112</v>
      </c>
      <c r="D206" s="363"/>
      <c r="E206" s="364" t="s">
        <v>113</v>
      </c>
      <c r="F206" s="307">
        <f>+F207+F221</f>
        <v>810211500</v>
      </c>
      <c r="G206" s="308">
        <f>G207+G221</f>
        <v>0</v>
      </c>
      <c r="H206" s="308">
        <f>H207+H221</f>
        <v>0</v>
      </c>
      <c r="I206" s="308">
        <f>+G206+H206</f>
        <v>0</v>
      </c>
      <c r="J206" s="308">
        <f>J207+J221</f>
        <v>8375000</v>
      </c>
      <c r="K206" s="308">
        <f>K207+K221</f>
        <v>0</v>
      </c>
      <c r="L206" s="308">
        <f>+J206+K206</f>
        <v>8375000</v>
      </c>
      <c r="M206" s="308">
        <f>+I206+L206</f>
        <v>8375000</v>
      </c>
      <c r="N206" s="307">
        <f>+F206-M206</f>
        <v>801836500</v>
      </c>
      <c r="P206" s="320"/>
      <c r="R206" s="321"/>
      <c r="S206" s="349"/>
      <c r="T206" s="349"/>
      <c r="U206" s="350"/>
    </row>
    <row r="207" spans="1:21" s="329" customFormat="1" ht="18" customHeight="1" x14ac:dyDescent="0.25">
      <c r="A207" s="323"/>
      <c r="B207" s="324"/>
      <c r="C207" s="379"/>
      <c r="D207" s="325" t="s">
        <v>207</v>
      </c>
      <c r="E207" s="326" t="s">
        <v>262</v>
      </c>
      <c r="F207" s="327">
        <f>+F208</f>
        <v>441471500</v>
      </c>
      <c r="G207" s="328">
        <f>+G208</f>
        <v>0</v>
      </c>
      <c r="H207" s="328">
        <f>+H208</f>
        <v>0</v>
      </c>
      <c r="I207" s="328">
        <f>+G207+H207</f>
        <v>0</v>
      </c>
      <c r="J207" s="328">
        <f>+J208</f>
        <v>8375000</v>
      </c>
      <c r="K207" s="328">
        <f>+K208</f>
        <v>0</v>
      </c>
      <c r="L207" s="328">
        <f>+J207+K207</f>
        <v>8375000</v>
      </c>
      <c r="M207" s="328">
        <f t="shared" ref="M207:M220" si="112">+I207+L207</f>
        <v>8375000</v>
      </c>
      <c r="N207" s="327">
        <f>+F207-M207</f>
        <v>433096500</v>
      </c>
      <c r="P207" s="330"/>
      <c r="R207" s="331"/>
      <c r="S207" s="351"/>
      <c r="T207" s="351"/>
      <c r="U207" s="333"/>
    </row>
    <row r="208" spans="1:21" s="381" customFormat="1" ht="18" customHeight="1" x14ac:dyDescent="0.25">
      <c r="A208" s="380"/>
      <c r="B208" s="352"/>
      <c r="C208" s="334"/>
      <c r="D208" s="335" t="s">
        <v>63</v>
      </c>
      <c r="E208" s="335" t="s">
        <v>30</v>
      </c>
      <c r="F208" s="337">
        <f>+F209+F212+F216</f>
        <v>441471500</v>
      </c>
      <c r="G208" s="344">
        <f>+G209+G212+G216</f>
        <v>0</v>
      </c>
      <c r="H208" s="344">
        <f>+H209+H212+H216</f>
        <v>0</v>
      </c>
      <c r="I208" s="344">
        <f t="shared" ref="I208:I218" si="113">+G208+H208</f>
        <v>0</v>
      </c>
      <c r="J208" s="344">
        <f>+J209+J212+J216</f>
        <v>8375000</v>
      </c>
      <c r="K208" s="344">
        <f>+K209+K212+K216</f>
        <v>0</v>
      </c>
      <c r="L208" s="344">
        <f t="shared" ref="L208:L209" si="114">+J208+K208</f>
        <v>8375000</v>
      </c>
      <c r="M208" s="344">
        <f t="shared" si="112"/>
        <v>8375000</v>
      </c>
      <c r="N208" s="337">
        <f>+F208-M208</f>
        <v>433096500</v>
      </c>
      <c r="P208" s="340"/>
      <c r="S208" s="347"/>
      <c r="T208" s="347"/>
      <c r="U208" s="382"/>
    </row>
    <row r="209" spans="1:21" s="339" customFormat="1" ht="18" customHeight="1" x14ac:dyDescent="0.25">
      <c r="A209" s="334"/>
      <c r="B209" s="335"/>
      <c r="C209" s="334"/>
      <c r="D209" s="365" t="s">
        <v>263</v>
      </c>
      <c r="E209" s="335" t="s">
        <v>264</v>
      </c>
      <c r="F209" s="337">
        <f t="shared" ref="F209:H209" si="115">+F210</f>
        <v>4031500</v>
      </c>
      <c r="G209" s="344">
        <f>+G210</f>
        <v>0</v>
      </c>
      <c r="H209" s="344">
        <f t="shared" si="115"/>
        <v>0</v>
      </c>
      <c r="I209" s="344">
        <f t="shared" si="113"/>
        <v>0</v>
      </c>
      <c r="J209" s="344">
        <f>+J210</f>
        <v>0</v>
      </c>
      <c r="K209" s="344">
        <f t="shared" ref="K209" si="116">+K210</f>
        <v>0</v>
      </c>
      <c r="L209" s="344">
        <f t="shared" si="114"/>
        <v>0</v>
      </c>
      <c r="M209" s="344">
        <f t="shared" si="112"/>
        <v>0</v>
      </c>
      <c r="N209" s="337">
        <f>+F209-M209</f>
        <v>4031500</v>
      </c>
      <c r="P209" s="340"/>
      <c r="S209" s="347"/>
      <c r="T209" s="347"/>
      <c r="U209" s="342"/>
    </row>
    <row r="210" spans="1:21" s="381" customFormat="1" ht="18" customHeight="1" x14ac:dyDescent="0.25">
      <c r="A210" s="380"/>
      <c r="B210" s="352"/>
      <c r="C210" s="334"/>
      <c r="D210" s="335" t="s">
        <v>64</v>
      </c>
      <c r="E210" s="335" t="s">
        <v>65</v>
      </c>
      <c r="F210" s="337">
        <f>F211</f>
        <v>4031500</v>
      </c>
      <c r="G210" s="344">
        <f>SUM(G211:G211)</f>
        <v>0</v>
      </c>
      <c r="H210" s="344">
        <f>SUM(H211:H211)</f>
        <v>0</v>
      </c>
      <c r="I210" s="344">
        <f>+G210+H210</f>
        <v>0</v>
      </c>
      <c r="J210" s="344">
        <f>SUM(J211:J211)</f>
        <v>0</v>
      </c>
      <c r="K210" s="344">
        <f>SUM(K211:K211)</f>
        <v>0</v>
      </c>
      <c r="L210" s="344">
        <f>+J210+K210</f>
        <v>0</v>
      </c>
      <c r="M210" s="344">
        <f t="shared" si="112"/>
        <v>0</v>
      </c>
      <c r="N210" s="337">
        <f>+F210-M210</f>
        <v>4031500</v>
      </c>
      <c r="P210" s="340"/>
      <c r="S210" s="347"/>
      <c r="T210" s="347"/>
      <c r="U210" s="382"/>
    </row>
    <row r="211" spans="1:21" s="381" customFormat="1" ht="18" customHeight="1" x14ac:dyDescent="0.25">
      <c r="A211" s="380"/>
      <c r="B211" s="352"/>
      <c r="C211" s="334"/>
      <c r="D211" s="335" t="s">
        <v>339</v>
      </c>
      <c r="E211" s="335" t="s">
        <v>340</v>
      </c>
      <c r="F211" s="337">
        <v>4031500</v>
      </c>
      <c r="G211" s="344"/>
      <c r="H211" s="344"/>
      <c r="I211" s="344">
        <f t="shared" si="113"/>
        <v>0</v>
      </c>
      <c r="J211" s="344"/>
      <c r="K211" s="344"/>
      <c r="L211" s="344">
        <f t="shared" ref="L211" si="117">+J211+K211</f>
        <v>0</v>
      </c>
      <c r="M211" s="344">
        <f t="shared" si="112"/>
        <v>0</v>
      </c>
      <c r="N211" s="337">
        <f t="shared" ref="N211" si="118">+F211-M211</f>
        <v>4031500</v>
      </c>
      <c r="P211" s="340"/>
      <c r="S211" s="347"/>
      <c r="T211" s="347"/>
      <c r="U211" s="382"/>
    </row>
    <row r="212" spans="1:21" s="339" customFormat="1" ht="18" customHeight="1" x14ac:dyDescent="0.25">
      <c r="A212" s="334"/>
      <c r="B212" s="335"/>
      <c r="C212" s="334"/>
      <c r="D212" s="365" t="s">
        <v>271</v>
      </c>
      <c r="E212" s="335" t="s">
        <v>272</v>
      </c>
      <c r="F212" s="337">
        <f t="shared" ref="F212:H212" si="119">+F213</f>
        <v>98700000</v>
      </c>
      <c r="G212" s="344">
        <f>+G213</f>
        <v>0</v>
      </c>
      <c r="H212" s="344">
        <f t="shared" si="119"/>
        <v>0</v>
      </c>
      <c r="I212" s="344">
        <f t="shared" si="113"/>
        <v>0</v>
      </c>
      <c r="J212" s="344">
        <f>+J213</f>
        <v>4800000</v>
      </c>
      <c r="K212" s="344">
        <f t="shared" ref="K212" si="120">+K213</f>
        <v>0</v>
      </c>
      <c r="L212" s="344">
        <f>+J212+K212</f>
        <v>4800000</v>
      </c>
      <c r="M212" s="344">
        <f t="shared" si="112"/>
        <v>4800000</v>
      </c>
      <c r="N212" s="337">
        <f>+F212-M212</f>
        <v>93900000</v>
      </c>
      <c r="P212" s="340"/>
      <c r="S212" s="347"/>
      <c r="T212" s="347"/>
      <c r="U212" s="342"/>
    </row>
    <row r="213" spans="1:21" s="381" customFormat="1" ht="18" customHeight="1" x14ac:dyDescent="0.25">
      <c r="A213" s="380"/>
      <c r="B213" s="352"/>
      <c r="C213" s="334"/>
      <c r="D213" s="335" t="s">
        <v>81</v>
      </c>
      <c r="E213" s="335" t="s">
        <v>31</v>
      </c>
      <c r="F213" s="337">
        <f>SUM(F214:F215)</f>
        <v>98700000</v>
      </c>
      <c r="G213" s="344">
        <f>SUM(G214:G215)</f>
        <v>0</v>
      </c>
      <c r="H213" s="344">
        <f>SUM(H214:H215)</f>
        <v>0</v>
      </c>
      <c r="I213" s="344">
        <f t="shared" si="113"/>
        <v>0</v>
      </c>
      <c r="J213" s="344">
        <f>SUM(J214:J215)</f>
        <v>4800000</v>
      </c>
      <c r="K213" s="344">
        <f>SUM(K214:K215)</f>
        <v>0</v>
      </c>
      <c r="L213" s="344">
        <f>+J213+K213</f>
        <v>4800000</v>
      </c>
      <c r="M213" s="344">
        <f t="shared" si="112"/>
        <v>4800000</v>
      </c>
      <c r="N213" s="337">
        <f>+F213-M213</f>
        <v>93900000</v>
      </c>
      <c r="P213" s="340"/>
      <c r="S213" s="347"/>
      <c r="T213" s="347"/>
      <c r="U213" s="382"/>
    </row>
    <row r="214" spans="1:21" s="381" customFormat="1" ht="18" customHeight="1" x14ac:dyDescent="0.25">
      <c r="A214" s="392"/>
      <c r="B214" s="339"/>
      <c r="C214" s="366"/>
      <c r="D214" s="367" t="s">
        <v>82</v>
      </c>
      <c r="E214" s="367" t="s">
        <v>83</v>
      </c>
      <c r="F214" s="370">
        <v>38400000</v>
      </c>
      <c r="G214" s="371"/>
      <c r="H214" s="371"/>
      <c r="I214" s="371">
        <f t="shared" si="113"/>
        <v>0</v>
      </c>
      <c r="J214" s="371">
        <v>4800000</v>
      </c>
      <c r="K214" s="371"/>
      <c r="L214" s="371">
        <f>+J214+K214</f>
        <v>4800000</v>
      </c>
      <c r="M214" s="371">
        <f>+I214+L214</f>
        <v>4800000</v>
      </c>
      <c r="N214" s="370">
        <f>+F214-M214</f>
        <v>33600000</v>
      </c>
      <c r="P214" s="340"/>
      <c r="S214" s="347"/>
      <c r="T214" s="347"/>
      <c r="U214" s="382"/>
    </row>
    <row r="215" spans="1:21" s="381" customFormat="1" ht="18" customHeight="1" x14ac:dyDescent="0.25">
      <c r="A215" s="392"/>
      <c r="B215" s="339"/>
      <c r="C215" s="366"/>
      <c r="D215" s="367" t="s">
        <v>111</v>
      </c>
      <c r="E215" s="367" t="s">
        <v>44</v>
      </c>
      <c r="F215" s="370">
        <v>60300000</v>
      </c>
      <c r="G215" s="371"/>
      <c r="H215" s="371"/>
      <c r="I215" s="371">
        <f t="shared" si="113"/>
        <v>0</v>
      </c>
      <c r="J215" s="371"/>
      <c r="K215" s="371"/>
      <c r="L215" s="371">
        <f t="shared" ref="L215" si="121">+J215+K215</f>
        <v>0</v>
      </c>
      <c r="M215" s="371">
        <f t="shared" si="112"/>
        <v>0</v>
      </c>
      <c r="N215" s="370">
        <f t="shared" ref="N215" si="122">+F215-M215</f>
        <v>60300000</v>
      </c>
      <c r="P215" s="340"/>
      <c r="S215" s="347"/>
      <c r="T215" s="347"/>
      <c r="U215" s="382"/>
    </row>
    <row r="216" spans="1:21" s="339" customFormat="1" ht="18" customHeight="1" x14ac:dyDescent="0.25">
      <c r="A216" s="334"/>
      <c r="B216" s="335"/>
      <c r="C216" s="334"/>
      <c r="D216" s="365" t="s">
        <v>275</v>
      </c>
      <c r="E216" s="335" t="s">
        <v>276</v>
      </c>
      <c r="F216" s="337">
        <f t="shared" ref="F216:H216" si="123">+F217</f>
        <v>338740000</v>
      </c>
      <c r="G216" s="344">
        <f>+G217</f>
        <v>0</v>
      </c>
      <c r="H216" s="344">
        <f t="shared" si="123"/>
        <v>0</v>
      </c>
      <c r="I216" s="344">
        <f t="shared" si="113"/>
        <v>0</v>
      </c>
      <c r="J216" s="344">
        <f>+J217</f>
        <v>3575000</v>
      </c>
      <c r="K216" s="344">
        <f t="shared" ref="K216" si="124">+K217</f>
        <v>0</v>
      </c>
      <c r="L216" s="344">
        <f>+J216+K216</f>
        <v>3575000</v>
      </c>
      <c r="M216" s="344">
        <f t="shared" si="112"/>
        <v>3575000</v>
      </c>
      <c r="N216" s="337">
        <f>+F216-M216</f>
        <v>335165000</v>
      </c>
      <c r="P216" s="340"/>
      <c r="S216" s="347"/>
      <c r="T216" s="347"/>
      <c r="U216" s="342"/>
    </row>
    <row r="217" spans="1:21" s="381" customFormat="1" ht="18" customHeight="1" x14ac:dyDescent="0.25">
      <c r="A217" s="380"/>
      <c r="B217" s="352"/>
      <c r="C217" s="334"/>
      <c r="D217" s="335" t="s">
        <v>114</v>
      </c>
      <c r="E217" s="335" t="s">
        <v>43</v>
      </c>
      <c r="F217" s="337">
        <f>SUM(F218:F220)</f>
        <v>338740000</v>
      </c>
      <c r="G217" s="344">
        <f>SUM(G218:G220)</f>
        <v>0</v>
      </c>
      <c r="H217" s="344">
        <f>SUM(H218:H220)</f>
        <v>0</v>
      </c>
      <c r="I217" s="344">
        <f t="shared" si="113"/>
        <v>0</v>
      </c>
      <c r="J217" s="344">
        <f>SUM(J218:J220)</f>
        <v>3575000</v>
      </c>
      <c r="K217" s="344">
        <f>SUM(K218:K220)</f>
        <v>0</v>
      </c>
      <c r="L217" s="344">
        <f>+J217+K217</f>
        <v>3575000</v>
      </c>
      <c r="M217" s="344">
        <f t="shared" si="112"/>
        <v>3575000</v>
      </c>
      <c r="N217" s="337">
        <f>+F217-M217</f>
        <v>335165000</v>
      </c>
      <c r="P217" s="340"/>
      <c r="S217" s="347"/>
      <c r="T217" s="347"/>
      <c r="U217" s="382"/>
    </row>
    <row r="218" spans="1:21" s="381" customFormat="1" ht="21" customHeight="1" x14ac:dyDescent="0.25">
      <c r="A218" s="392"/>
      <c r="B218" s="339"/>
      <c r="C218" s="366"/>
      <c r="D218" s="367" t="s">
        <v>349</v>
      </c>
      <c r="E218" s="369" t="s">
        <v>350</v>
      </c>
      <c r="F218" s="370">
        <v>21240000</v>
      </c>
      <c r="G218" s="371"/>
      <c r="H218" s="371"/>
      <c r="I218" s="371">
        <f t="shared" si="113"/>
        <v>0</v>
      </c>
      <c r="J218" s="371">
        <v>3575000</v>
      </c>
      <c r="K218" s="371"/>
      <c r="L218" s="371">
        <f t="shared" ref="L218" si="125">+J218+K218</f>
        <v>3575000</v>
      </c>
      <c r="M218" s="371">
        <f t="shared" si="112"/>
        <v>3575000</v>
      </c>
      <c r="N218" s="370">
        <f>+F218-M218</f>
        <v>17665000</v>
      </c>
      <c r="P218" s="340"/>
      <c r="S218" s="347"/>
      <c r="T218" s="347"/>
      <c r="U218" s="382"/>
    </row>
    <row r="219" spans="1:21" s="381" customFormat="1" ht="30.75" customHeight="1" x14ac:dyDescent="0.25">
      <c r="A219" s="392"/>
      <c r="B219" s="339"/>
      <c r="C219" s="366"/>
      <c r="D219" s="367" t="s">
        <v>395</v>
      </c>
      <c r="E219" s="369" t="s">
        <v>396</v>
      </c>
      <c r="F219" s="370">
        <v>2500000</v>
      </c>
      <c r="G219" s="371"/>
      <c r="H219" s="371"/>
      <c r="I219" s="371"/>
      <c r="J219" s="371"/>
      <c r="K219" s="371"/>
      <c r="L219" s="371">
        <f>+J219+K219</f>
        <v>0</v>
      </c>
      <c r="M219" s="371">
        <f t="shared" si="112"/>
        <v>0</v>
      </c>
      <c r="N219" s="370">
        <f>+F219-M219</f>
        <v>2500000</v>
      </c>
      <c r="P219" s="340"/>
      <c r="S219" s="347"/>
      <c r="T219" s="347"/>
      <c r="U219" s="382"/>
    </row>
    <row r="220" spans="1:21" s="381" customFormat="1" ht="18" customHeight="1" x14ac:dyDescent="0.25">
      <c r="A220" s="392"/>
      <c r="B220" s="339"/>
      <c r="C220" s="366"/>
      <c r="D220" s="367" t="s">
        <v>354</v>
      </c>
      <c r="E220" s="369" t="s">
        <v>355</v>
      </c>
      <c r="F220" s="370">
        <v>315000000</v>
      </c>
      <c r="G220" s="371"/>
      <c r="H220" s="371"/>
      <c r="I220" s="371">
        <f>+G220+H220</f>
        <v>0</v>
      </c>
      <c r="J220" s="371"/>
      <c r="K220" s="371"/>
      <c r="L220" s="371"/>
      <c r="M220" s="371">
        <f t="shared" si="112"/>
        <v>0</v>
      </c>
      <c r="N220" s="370">
        <f t="shared" ref="N220" si="126">+F220-M220</f>
        <v>315000000</v>
      </c>
      <c r="P220" s="340"/>
      <c r="S220" s="347"/>
      <c r="T220" s="347"/>
      <c r="U220" s="382"/>
    </row>
    <row r="221" spans="1:21" s="381" customFormat="1" ht="18" customHeight="1" x14ac:dyDescent="0.25">
      <c r="A221" s="380"/>
      <c r="B221" s="383"/>
      <c r="C221" s="384"/>
      <c r="D221" s="365" t="s">
        <v>267</v>
      </c>
      <c r="E221" s="335" t="s">
        <v>268</v>
      </c>
      <c r="F221" s="337">
        <f>+F222+F234</f>
        <v>368740000</v>
      </c>
      <c r="G221" s="344">
        <f>+G222+G234</f>
        <v>0</v>
      </c>
      <c r="H221" s="344">
        <f>+H222+H234</f>
        <v>0</v>
      </c>
      <c r="I221" s="344">
        <f>+G221+H221</f>
        <v>0</v>
      </c>
      <c r="J221" s="344">
        <f>+J222</f>
        <v>0</v>
      </c>
      <c r="K221" s="344">
        <f>+K222</f>
        <v>0</v>
      </c>
      <c r="L221" s="344">
        <f>+J221+K221</f>
        <v>0</v>
      </c>
      <c r="M221" s="344">
        <f>+I221+L221</f>
        <v>0</v>
      </c>
      <c r="N221" s="337">
        <f>+F221-M221</f>
        <v>368740000</v>
      </c>
      <c r="P221" s="340"/>
      <c r="R221" s="385"/>
      <c r="S221" s="347"/>
      <c r="T221" s="347"/>
      <c r="U221" s="382"/>
    </row>
    <row r="222" spans="1:21" s="381" customFormat="1" ht="18" customHeight="1" x14ac:dyDescent="0.25">
      <c r="A222" s="380"/>
      <c r="B222" s="352"/>
      <c r="C222" s="334"/>
      <c r="D222" s="335" t="s">
        <v>78</v>
      </c>
      <c r="E222" s="335" t="s">
        <v>75</v>
      </c>
      <c r="F222" s="337">
        <f>+F223+F226+F231</f>
        <v>268740000</v>
      </c>
      <c r="G222" s="344">
        <f>+G223+G226</f>
        <v>0</v>
      </c>
      <c r="H222" s="344">
        <f>+H223+H226</f>
        <v>0</v>
      </c>
      <c r="I222" s="344">
        <f t="shared" ref="I222:I235" si="127">+G222+H222</f>
        <v>0</v>
      </c>
      <c r="J222" s="344">
        <f>+J223+J226</f>
        <v>0</v>
      </c>
      <c r="K222" s="344">
        <f t="shared" ref="K222:K223" si="128">+K223</f>
        <v>0</v>
      </c>
      <c r="L222" s="344">
        <f t="shared" ref="L222:L223" si="129">+J222+K222</f>
        <v>0</v>
      </c>
      <c r="M222" s="344">
        <f t="shared" ref="M222:M226" si="130">+I222+L222</f>
        <v>0</v>
      </c>
      <c r="N222" s="337">
        <f>+F222-M222</f>
        <v>268740000</v>
      </c>
      <c r="P222" s="340"/>
      <c r="S222" s="347"/>
      <c r="T222" s="347"/>
      <c r="U222" s="382"/>
    </row>
    <row r="223" spans="1:21" s="339" customFormat="1" ht="18" customHeight="1" x14ac:dyDescent="0.25">
      <c r="A223" s="334"/>
      <c r="B223" s="335"/>
      <c r="C223" s="334"/>
      <c r="D223" s="365" t="s">
        <v>269</v>
      </c>
      <c r="E223" s="335" t="s">
        <v>270</v>
      </c>
      <c r="F223" s="337">
        <f t="shared" ref="F223:H223" si="131">+F224</f>
        <v>32340000</v>
      </c>
      <c r="G223" s="344">
        <f>+G224</f>
        <v>0</v>
      </c>
      <c r="H223" s="344">
        <f t="shared" si="131"/>
        <v>0</v>
      </c>
      <c r="I223" s="344">
        <f t="shared" si="127"/>
        <v>0</v>
      </c>
      <c r="J223" s="344">
        <f>+J224</f>
        <v>0</v>
      </c>
      <c r="K223" s="344">
        <f t="shared" si="128"/>
        <v>0</v>
      </c>
      <c r="L223" s="344">
        <f t="shared" si="129"/>
        <v>0</v>
      </c>
      <c r="M223" s="344">
        <f t="shared" si="130"/>
        <v>0</v>
      </c>
      <c r="N223" s="337">
        <f>+F223-M223</f>
        <v>32340000</v>
      </c>
      <c r="P223" s="340"/>
      <c r="S223" s="347"/>
      <c r="T223" s="347"/>
      <c r="U223" s="342"/>
    </row>
    <row r="224" spans="1:21" s="381" customFormat="1" ht="18" customHeight="1" x14ac:dyDescent="0.25">
      <c r="A224" s="380"/>
      <c r="B224" s="352"/>
      <c r="C224" s="334"/>
      <c r="D224" s="335" t="s">
        <v>92</v>
      </c>
      <c r="E224" s="335" t="s">
        <v>94</v>
      </c>
      <c r="F224" s="337">
        <f>SUM(F225)</f>
        <v>32340000</v>
      </c>
      <c r="G224" s="344">
        <f>+G225</f>
        <v>0</v>
      </c>
      <c r="H224" s="344">
        <f>+H225</f>
        <v>0</v>
      </c>
      <c r="I224" s="344">
        <f>+G224+H224</f>
        <v>0</v>
      </c>
      <c r="J224" s="344">
        <f>+J225</f>
        <v>0</v>
      </c>
      <c r="K224" s="344">
        <f>+K225</f>
        <v>0</v>
      </c>
      <c r="L224" s="344">
        <f>+J224+K224</f>
        <v>0</v>
      </c>
      <c r="M224" s="344">
        <f t="shared" si="130"/>
        <v>0</v>
      </c>
      <c r="N224" s="337">
        <f>+F224-M224</f>
        <v>32340000</v>
      </c>
      <c r="P224" s="340"/>
      <c r="S224" s="347"/>
      <c r="T224" s="347"/>
      <c r="U224" s="382"/>
    </row>
    <row r="225" spans="1:21" s="381" customFormat="1" ht="18" customHeight="1" x14ac:dyDescent="0.25">
      <c r="A225" s="380"/>
      <c r="B225" s="352"/>
      <c r="C225" s="334"/>
      <c r="D225" s="335" t="s">
        <v>397</v>
      </c>
      <c r="E225" s="335" t="s">
        <v>398</v>
      </c>
      <c r="F225" s="337">
        <v>32340000</v>
      </c>
      <c r="G225" s="344"/>
      <c r="H225" s="344"/>
      <c r="I225" s="344">
        <f t="shared" si="127"/>
        <v>0</v>
      </c>
      <c r="J225" s="344"/>
      <c r="K225" s="344"/>
      <c r="L225" s="344">
        <f t="shared" ref="L225:L235" si="132">+J225+K225</f>
        <v>0</v>
      </c>
      <c r="M225" s="344">
        <f t="shared" si="130"/>
        <v>0</v>
      </c>
      <c r="N225" s="337">
        <f t="shared" ref="N225:N237" si="133">+F225-M225</f>
        <v>32340000</v>
      </c>
      <c r="P225" s="340"/>
      <c r="S225" s="347"/>
      <c r="T225" s="347"/>
      <c r="U225" s="382"/>
    </row>
    <row r="226" spans="1:21" s="339" customFormat="1" ht="18" customHeight="1" x14ac:dyDescent="0.25">
      <c r="A226" s="334"/>
      <c r="B226" s="335"/>
      <c r="C226" s="334"/>
      <c r="D226" s="365" t="s">
        <v>399</v>
      </c>
      <c r="E226" s="335" t="s">
        <v>400</v>
      </c>
      <c r="F226" s="337">
        <f t="shared" ref="F226:H226" si="134">+F227</f>
        <v>234600000</v>
      </c>
      <c r="G226" s="344">
        <f>+G227</f>
        <v>0</v>
      </c>
      <c r="H226" s="344">
        <f t="shared" si="134"/>
        <v>0</v>
      </c>
      <c r="I226" s="344">
        <f t="shared" si="127"/>
        <v>0</v>
      </c>
      <c r="J226" s="344">
        <f>+J227</f>
        <v>0</v>
      </c>
      <c r="K226" s="344">
        <f t="shared" ref="K226" si="135">+K227</f>
        <v>0</v>
      </c>
      <c r="L226" s="344">
        <f t="shared" si="132"/>
        <v>0</v>
      </c>
      <c r="M226" s="344">
        <f t="shared" si="130"/>
        <v>0</v>
      </c>
      <c r="N226" s="337">
        <f t="shared" si="133"/>
        <v>234600000</v>
      </c>
      <c r="P226" s="340"/>
      <c r="S226" s="347"/>
      <c r="T226" s="347"/>
      <c r="U226" s="342"/>
    </row>
    <row r="227" spans="1:21" s="381" customFormat="1" ht="18" customHeight="1" x14ac:dyDescent="0.25">
      <c r="A227" s="380"/>
      <c r="B227" s="352"/>
      <c r="C227" s="334"/>
      <c r="D227" s="335" t="s">
        <v>401</v>
      </c>
      <c r="E227" s="335" t="s">
        <v>402</v>
      </c>
      <c r="F227" s="337">
        <f>SUM(F228:F230)</f>
        <v>234600000</v>
      </c>
      <c r="G227" s="344">
        <f>SUM(G229:G229)</f>
        <v>0</v>
      </c>
      <c r="H227" s="344">
        <f>SUM(H229:H229)</f>
        <v>0</v>
      </c>
      <c r="I227" s="344">
        <f t="shared" si="127"/>
        <v>0</v>
      </c>
      <c r="J227" s="344">
        <f>SUM(J229:J229)</f>
        <v>0</v>
      </c>
      <c r="K227" s="344">
        <f>SUM(K229:K229)</f>
        <v>0</v>
      </c>
      <c r="L227" s="344">
        <f t="shared" si="132"/>
        <v>0</v>
      </c>
      <c r="M227" s="344">
        <f>+I227+L227</f>
        <v>0</v>
      </c>
      <c r="N227" s="337">
        <f t="shared" si="133"/>
        <v>234600000</v>
      </c>
      <c r="P227" s="340"/>
      <c r="S227" s="347"/>
      <c r="T227" s="347"/>
      <c r="U227" s="382"/>
    </row>
    <row r="228" spans="1:21" s="381" customFormat="1" ht="18" customHeight="1" x14ac:dyDescent="0.25">
      <c r="A228" s="380"/>
      <c r="B228" s="352"/>
      <c r="C228" s="334"/>
      <c r="D228" s="335" t="s">
        <v>464</v>
      </c>
      <c r="E228" s="335" t="s">
        <v>465</v>
      </c>
      <c r="F228" s="337">
        <v>3000000</v>
      </c>
      <c r="G228" s="344"/>
      <c r="H228" s="344"/>
      <c r="I228" s="344">
        <f t="shared" si="127"/>
        <v>0</v>
      </c>
      <c r="J228" s="344"/>
      <c r="K228" s="344"/>
      <c r="L228" s="344">
        <f t="shared" si="132"/>
        <v>0</v>
      </c>
      <c r="M228" s="344">
        <f>+I228+L228</f>
        <v>0</v>
      </c>
      <c r="N228" s="337">
        <f t="shared" si="133"/>
        <v>3000000</v>
      </c>
      <c r="P228" s="340"/>
      <c r="S228" s="347"/>
      <c r="T228" s="347"/>
      <c r="U228" s="382"/>
    </row>
    <row r="229" spans="1:21" s="381" customFormat="1" ht="18" customHeight="1" x14ac:dyDescent="0.25">
      <c r="A229" s="380"/>
      <c r="B229" s="352"/>
      <c r="C229" s="334"/>
      <c r="D229" s="335" t="s">
        <v>403</v>
      </c>
      <c r="E229" s="335" t="s">
        <v>404</v>
      </c>
      <c r="F229" s="337">
        <v>36600000</v>
      </c>
      <c r="G229" s="344"/>
      <c r="H229" s="344"/>
      <c r="I229" s="344">
        <f t="shared" si="127"/>
        <v>0</v>
      </c>
      <c r="J229" s="344"/>
      <c r="K229" s="344"/>
      <c r="L229" s="344">
        <f t="shared" si="132"/>
        <v>0</v>
      </c>
      <c r="M229" s="344">
        <f>+I229+L229</f>
        <v>0</v>
      </c>
      <c r="N229" s="337">
        <f t="shared" si="133"/>
        <v>36600000</v>
      </c>
      <c r="P229" s="340"/>
      <c r="S229" s="347"/>
      <c r="T229" s="347"/>
      <c r="U229" s="382"/>
    </row>
    <row r="230" spans="1:21" s="381" customFormat="1" ht="18" customHeight="1" x14ac:dyDescent="0.25">
      <c r="A230" s="380"/>
      <c r="B230" s="352"/>
      <c r="C230" s="334"/>
      <c r="D230" s="335" t="s">
        <v>459</v>
      </c>
      <c r="E230" s="335" t="s">
        <v>460</v>
      </c>
      <c r="F230" s="337">
        <v>195000000</v>
      </c>
      <c r="G230" s="344"/>
      <c r="H230" s="344"/>
      <c r="I230" s="344">
        <f t="shared" si="127"/>
        <v>0</v>
      </c>
      <c r="J230" s="344"/>
      <c r="K230" s="344"/>
      <c r="L230" s="344">
        <f t="shared" si="132"/>
        <v>0</v>
      </c>
      <c r="M230" s="344">
        <f>+I230+L230</f>
        <v>0</v>
      </c>
      <c r="N230" s="337">
        <f t="shared" si="133"/>
        <v>195000000</v>
      </c>
      <c r="P230" s="340"/>
      <c r="S230" s="347"/>
      <c r="T230" s="347"/>
      <c r="U230" s="382"/>
    </row>
    <row r="231" spans="1:21" s="339" customFormat="1" ht="18" customHeight="1" x14ac:dyDescent="0.25">
      <c r="A231" s="334"/>
      <c r="B231" s="335"/>
      <c r="C231" s="334"/>
      <c r="D231" s="365" t="s">
        <v>273</v>
      </c>
      <c r="E231" s="335" t="s">
        <v>274</v>
      </c>
      <c r="F231" s="337">
        <f>+F232</f>
        <v>1800000</v>
      </c>
      <c r="G231" s="344">
        <f>+G232</f>
        <v>0</v>
      </c>
      <c r="H231" s="344">
        <f t="shared" ref="H231" si="136">+H232</f>
        <v>0</v>
      </c>
      <c r="I231" s="344">
        <f t="shared" si="127"/>
        <v>0</v>
      </c>
      <c r="J231" s="344">
        <f>+J232</f>
        <v>0</v>
      </c>
      <c r="K231" s="344">
        <f t="shared" ref="K231" si="137">+K232</f>
        <v>0</v>
      </c>
      <c r="L231" s="344">
        <f t="shared" si="132"/>
        <v>0</v>
      </c>
      <c r="M231" s="344">
        <f t="shared" ref="M231" si="138">+I231+L231</f>
        <v>0</v>
      </c>
      <c r="N231" s="337">
        <f t="shared" si="133"/>
        <v>1800000</v>
      </c>
      <c r="P231" s="340"/>
      <c r="S231" s="347"/>
      <c r="T231" s="347"/>
      <c r="U231" s="342"/>
    </row>
    <row r="232" spans="1:21" s="381" customFormat="1" ht="18" customHeight="1" x14ac:dyDescent="0.25">
      <c r="A232" s="380"/>
      <c r="B232" s="352"/>
      <c r="C232" s="334"/>
      <c r="D232" s="335" t="s">
        <v>382</v>
      </c>
      <c r="E232" s="335" t="s">
        <v>383</v>
      </c>
      <c r="F232" s="337">
        <f>+F233</f>
        <v>1800000</v>
      </c>
      <c r="G232" s="344">
        <f>SUM(G234:G234)</f>
        <v>0</v>
      </c>
      <c r="H232" s="344">
        <f>SUM(H234:H234)</f>
        <v>0</v>
      </c>
      <c r="I232" s="344">
        <f t="shared" si="127"/>
        <v>0</v>
      </c>
      <c r="J232" s="344">
        <f>SUM(J234:J234)</f>
        <v>0</v>
      </c>
      <c r="K232" s="344">
        <f>SUM(K234:K234)</f>
        <v>0</v>
      </c>
      <c r="L232" s="344">
        <f t="shared" si="132"/>
        <v>0</v>
      </c>
      <c r="M232" s="344">
        <f>+I232+L232</f>
        <v>0</v>
      </c>
      <c r="N232" s="337">
        <f t="shared" si="133"/>
        <v>1800000</v>
      </c>
      <c r="P232" s="340"/>
      <c r="S232" s="347"/>
      <c r="T232" s="347"/>
      <c r="U232" s="382"/>
    </row>
    <row r="233" spans="1:21" s="381" customFormat="1" ht="18" customHeight="1" x14ac:dyDescent="0.25">
      <c r="A233" s="380"/>
      <c r="B233" s="352"/>
      <c r="C233" s="334"/>
      <c r="D233" s="335" t="s">
        <v>386</v>
      </c>
      <c r="E233" s="335" t="s">
        <v>387</v>
      </c>
      <c r="F233" s="337">
        <v>1800000</v>
      </c>
      <c r="G233" s="344"/>
      <c r="H233" s="344"/>
      <c r="I233" s="344">
        <f t="shared" si="127"/>
        <v>0</v>
      </c>
      <c r="J233" s="344"/>
      <c r="K233" s="344"/>
      <c r="L233" s="344">
        <f t="shared" si="132"/>
        <v>0</v>
      </c>
      <c r="M233" s="344">
        <f>+I233+L233</f>
        <v>0</v>
      </c>
      <c r="N233" s="337">
        <f t="shared" si="133"/>
        <v>1800000</v>
      </c>
      <c r="P233" s="340"/>
      <c r="S233" s="347"/>
      <c r="T233" s="347"/>
      <c r="U233" s="382"/>
    </row>
    <row r="234" spans="1:21" s="381" customFormat="1" ht="18" customHeight="1" x14ac:dyDescent="0.25">
      <c r="A234" s="380"/>
      <c r="B234" s="352"/>
      <c r="C234" s="334"/>
      <c r="D234" s="335" t="s">
        <v>466</v>
      </c>
      <c r="E234" s="335" t="s">
        <v>467</v>
      </c>
      <c r="F234" s="337">
        <f>+F235</f>
        <v>100000000</v>
      </c>
      <c r="G234" s="344">
        <f>+G235</f>
        <v>0</v>
      </c>
      <c r="H234" s="344">
        <f>+H235+H238</f>
        <v>0</v>
      </c>
      <c r="I234" s="344">
        <f t="shared" si="127"/>
        <v>0</v>
      </c>
      <c r="J234" s="344">
        <f>+J235</f>
        <v>0</v>
      </c>
      <c r="K234" s="344">
        <f t="shared" ref="K234:K235" si="139">+K235</f>
        <v>0</v>
      </c>
      <c r="L234" s="344">
        <f t="shared" si="132"/>
        <v>0</v>
      </c>
      <c r="M234" s="344">
        <f>+I234+L234</f>
        <v>0</v>
      </c>
      <c r="N234" s="337">
        <f t="shared" si="133"/>
        <v>100000000</v>
      </c>
      <c r="P234" s="340"/>
      <c r="S234" s="347"/>
      <c r="T234" s="347"/>
      <c r="U234" s="382"/>
    </row>
    <row r="235" spans="1:21" s="339" customFormat="1" ht="18" customHeight="1" x14ac:dyDescent="0.25">
      <c r="A235" s="334"/>
      <c r="B235" s="335"/>
      <c r="C235" s="334"/>
      <c r="D235" s="365" t="s">
        <v>468</v>
      </c>
      <c r="E235" s="335" t="s">
        <v>469</v>
      </c>
      <c r="F235" s="337">
        <f t="shared" ref="F235:H235" si="140">+F236</f>
        <v>100000000</v>
      </c>
      <c r="G235" s="344">
        <f>+G236</f>
        <v>0</v>
      </c>
      <c r="H235" s="344">
        <f t="shared" si="140"/>
        <v>0</v>
      </c>
      <c r="I235" s="344">
        <f t="shared" si="127"/>
        <v>0</v>
      </c>
      <c r="J235" s="344">
        <f>+J236</f>
        <v>0</v>
      </c>
      <c r="K235" s="344">
        <f t="shared" si="139"/>
        <v>0</v>
      </c>
      <c r="L235" s="344">
        <f t="shared" si="132"/>
        <v>0</v>
      </c>
      <c r="M235" s="344">
        <f t="shared" ref="M235:M236" si="141">+I235+L235</f>
        <v>0</v>
      </c>
      <c r="N235" s="337">
        <f t="shared" si="133"/>
        <v>100000000</v>
      </c>
      <c r="P235" s="340"/>
      <c r="S235" s="347"/>
      <c r="T235" s="347"/>
      <c r="U235" s="342"/>
    </row>
    <row r="236" spans="1:21" s="381" customFormat="1" ht="18" customHeight="1" x14ac:dyDescent="0.25">
      <c r="A236" s="380"/>
      <c r="B236" s="352"/>
      <c r="C236" s="334"/>
      <c r="D236" s="335" t="s">
        <v>470</v>
      </c>
      <c r="E236" s="335" t="s">
        <v>471</v>
      </c>
      <c r="F236" s="337">
        <f>SUM(F237)</f>
        <v>100000000</v>
      </c>
      <c r="G236" s="344">
        <f>+G237</f>
        <v>0</v>
      </c>
      <c r="H236" s="344">
        <f>+H237</f>
        <v>0</v>
      </c>
      <c r="I236" s="344">
        <f>+G236+H236</f>
        <v>0</v>
      </c>
      <c r="J236" s="344">
        <f>+J237</f>
        <v>0</v>
      </c>
      <c r="K236" s="344">
        <f>+K237</f>
        <v>0</v>
      </c>
      <c r="L236" s="344">
        <f>+J236+K236</f>
        <v>0</v>
      </c>
      <c r="M236" s="344">
        <f t="shared" si="141"/>
        <v>0</v>
      </c>
      <c r="N236" s="337">
        <f t="shared" si="133"/>
        <v>100000000</v>
      </c>
      <c r="P236" s="340"/>
      <c r="S236" s="347"/>
      <c r="T236" s="347"/>
      <c r="U236" s="382"/>
    </row>
    <row r="237" spans="1:21" s="381" customFormat="1" ht="18" customHeight="1" x14ac:dyDescent="0.25">
      <c r="A237" s="380"/>
      <c r="B237" s="352"/>
      <c r="C237" s="334"/>
      <c r="D237" s="335" t="s">
        <v>472</v>
      </c>
      <c r="E237" s="335" t="s">
        <v>473</v>
      </c>
      <c r="F237" s="337">
        <v>100000000</v>
      </c>
      <c r="G237" s="344"/>
      <c r="H237" s="344"/>
      <c r="I237" s="344">
        <f>+G237+H237</f>
        <v>0</v>
      </c>
      <c r="J237" s="344"/>
      <c r="K237" s="344"/>
      <c r="L237" s="344">
        <f t="shared" ref="L237" si="142">+J237+K237</f>
        <v>0</v>
      </c>
      <c r="M237" s="344">
        <f>+I237+L237</f>
        <v>0</v>
      </c>
      <c r="N237" s="337">
        <f t="shared" si="133"/>
        <v>100000000</v>
      </c>
      <c r="P237" s="340"/>
      <c r="S237" s="347"/>
      <c r="T237" s="347"/>
      <c r="U237" s="382"/>
    </row>
    <row r="238" spans="1:21" s="153" customFormat="1" ht="18" customHeight="1" x14ac:dyDescent="0.25">
      <c r="A238" s="353"/>
      <c r="B238" s="355"/>
      <c r="C238" s="355"/>
      <c r="D238" s="355"/>
      <c r="E238" s="355"/>
      <c r="F238" s="356"/>
      <c r="G238" s="357"/>
      <c r="H238" s="357"/>
      <c r="I238" s="357"/>
      <c r="J238" s="357"/>
      <c r="K238" s="357"/>
      <c r="L238" s="357"/>
      <c r="M238" s="357"/>
      <c r="N238" s="356"/>
      <c r="P238" s="200"/>
      <c r="S238" s="221"/>
      <c r="T238" s="221"/>
      <c r="U238" s="254"/>
    </row>
    <row r="239" spans="1:21" s="319" customFormat="1" ht="18" customHeight="1" x14ac:dyDescent="0.25">
      <c r="A239" s="276"/>
      <c r="B239" s="305" t="s">
        <v>357</v>
      </c>
      <c r="C239" s="305"/>
      <c r="D239" s="305"/>
      <c r="E239" s="305" t="s">
        <v>358</v>
      </c>
      <c r="F239" s="359">
        <f>+F241</f>
        <v>260000000</v>
      </c>
      <c r="G239" s="360">
        <f>+G240</f>
        <v>0</v>
      </c>
      <c r="H239" s="360">
        <f>+H240</f>
        <v>0</v>
      </c>
      <c r="I239" s="360">
        <f>+G239+H239</f>
        <v>0</v>
      </c>
      <c r="J239" s="360">
        <f>+J240</f>
        <v>0</v>
      </c>
      <c r="K239" s="360">
        <f>+K240</f>
        <v>0</v>
      </c>
      <c r="L239" s="360">
        <f>+J239+K239</f>
        <v>0</v>
      </c>
      <c r="M239" s="360">
        <f t="shared" ref="M239" si="143">+I239+L239</f>
        <v>0</v>
      </c>
      <c r="N239" s="359">
        <f t="shared" ref="N239:N245" si="144">+F239-M239</f>
        <v>260000000</v>
      </c>
      <c r="P239" s="361"/>
      <c r="R239" s="321"/>
      <c r="S239" s="362"/>
      <c r="T239" s="362"/>
      <c r="U239" s="350"/>
    </row>
    <row r="240" spans="1:21" s="319" customFormat="1" ht="18" customHeight="1" x14ac:dyDescent="0.25">
      <c r="A240" s="276">
        <v>11</v>
      </c>
      <c r="B240" s="305"/>
      <c r="C240" s="305" t="s">
        <v>119</v>
      </c>
      <c r="D240" s="363"/>
      <c r="E240" s="364" t="s">
        <v>120</v>
      </c>
      <c r="F240" s="307">
        <f>+F241</f>
        <v>260000000</v>
      </c>
      <c r="G240" s="308">
        <f>+G241</f>
        <v>0</v>
      </c>
      <c r="H240" s="308">
        <f>+H241</f>
        <v>0</v>
      </c>
      <c r="I240" s="308">
        <f>+G240+H240</f>
        <v>0</v>
      </c>
      <c r="J240" s="308">
        <f>+J241</f>
        <v>0</v>
      </c>
      <c r="K240" s="308">
        <f>+K241</f>
        <v>0</v>
      </c>
      <c r="L240" s="308">
        <f>+J240+K240</f>
        <v>0</v>
      </c>
      <c r="M240" s="308">
        <f>+I240+L240</f>
        <v>0</v>
      </c>
      <c r="N240" s="307">
        <f t="shared" si="144"/>
        <v>260000000</v>
      </c>
      <c r="P240" s="320"/>
      <c r="R240" s="321"/>
      <c r="S240" s="349"/>
      <c r="T240" s="349"/>
      <c r="U240" s="350"/>
    </row>
    <row r="241" spans="1:21" s="329" customFormat="1" ht="18" customHeight="1" x14ac:dyDescent="0.25">
      <c r="A241" s="323"/>
      <c r="B241" s="324"/>
      <c r="C241" s="324"/>
      <c r="D241" s="325" t="s">
        <v>267</v>
      </c>
      <c r="E241" s="326" t="s">
        <v>268</v>
      </c>
      <c r="F241" s="327">
        <f t="shared" ref="F241:H243" si="145">+F242</f>
        <v>260000000</v>
      </c>
      <c r="G241" s="328">
        <f>+G242</f>
        <v>0</v>
      </c>
      <c r="H241" s="328">
        <f t="shared" si="145"/>
        <v>0</v>
      </c>
      <c r="I241" s="328">
        <f t="shared" ref="I241:I245" si="146">+G241+H241</f>
        <v>0</v>
      </c>
      <c r="J241" s="328">
        <f>+J242</f>
        <v>0</v>
      </c>
      <c r="K241" s="328">
        <f t="shared" ref="K241:K243" si="147">+K242</f>
        <v>0</v>
      </c>
      <c r="L241" s="328">
        <f t="shared" ref="L241:L244" si="148">+J241+K241</f>
        <v>0</v>
      </c>
      <c r="M241" s="328">
        <f t="shared" ref="M241:M244" si="149">+I241+L241</f>
        <v>0</v>
      </c>
      <c r="N241" s="327">
        <f t="shared" si="144"/>
        <v>260000000</v>
      </c>
      <c r="P241" s="330"/>
      <c r="R241" s="331"/>
      <c r="S241" s="351"/>
      <c r="T241" s="351"/>
      <c r="U241" s="333"/>
    </row>
    <row r="242" spans="1:21" s="339" customFormat="1" ht="18" customHeight="1" x14ac:dyDescent="0.25">
      <c r="A242" s="334"/>
      <c r="B242" s="352"/>
      <c r="C242" s="334"/>
      <c r="D242" s="335" t="s">
        <v>78</v>
      </c>
      <c r="E242" s="335" t="s">
        <v>75</v>
      </c>
      <c r="F242" s="337">
        <f t="shared" si="145"/>
        <v>260000000</v>
      </c>
      <c r="G242" s="344">
        <f>+G243</f>
        <v>0</v>
      </c>
      <c r="H242" s="344">
        <f t="shared" si="145"/>
        <v>0</v>
      </c>
      <c r="I242" s="344">
        <f t="shared" si="146"/>
        <v>0</v>
      </c>
      <c r="J242" s="344">
        <f>+J243</f>
        <v>0</v>
      </c>
      <c r="K242" s="344">
        <f t="shared" si="147"/>
        <v>0</v>
      </c>
      <c r="L242" s="344">
        <f t="shared" si="148"/>
        <v>0</v>
      </c>
      <c r="M242" s="344">
        <f t="shared" si="149"/>
        <v>0</v>
      </c>
      <c r="N242" s="337">
        <f t="shared" si="144"/>
        <v>260000000</v>
      </c>
      <c r="P242" s="340"/>
      <c r="S242" s="347"/>
      <c r="T242" s="347"/>
      <c r="U242" s="342"/>
    </row>
    <row r="243" spans="1:21" s="339" customFormat="1" ht="18" customHeight="1" x14ac:dyDescent="0.25">
      <c r="A243" s="334"/>
      <c r="B243" s="335"/>
      <c r="C243" s="334"/>
      <c r="D243" s="365" t="s">
        <v>277</v>
      </c>
      <c r="E243" s="335" t="s">
        <v>278</v>
      </c>
      <c r="F243" s="337">
        <f t="shared" si="145"/>
        <v>260000000</v>
      </c>
      <c r="G243" s="344">
        <f>+G244</f>
        <v>0</v>
      </c>
      <c r="H243" s="344">
        <f t="shared" si="145"/>
        <v>0</v>
      </c>
      <c r="I243" s="344">
        <f t="shared" si="146"/>
        <v>0</v>
      </c>
      <c r="J243" s="344">
        <f>+J244</f>
        <v>0</v>
      </c>
      <c r="K243" s="344">
        <f t="shared" si="147"/>
        <v>0</v>
      </c>
      <c r="L243" s="344">
        <f t="shared" si="148"/>
        <v>0</v>
      </c>
      <c r="M243" s="344">
        <f t="shared" si="149"/>
        <v>0</v>
      </c>
      <c r="N243" s="337">
        <f t="shared" si="144"/>
        <v>260000000</v>
      </c>
      <c r="P243" s="340"/>
      <c r="S243" s="347"/>
      <c r="T243" s="347"/>
      <c r="U243" s="342"/>
    </row>
    <row r="244" spans="1:21" s="339" customFormat="1" ht="18" customHeight="1" x14ac:dyDescent="0.25">
      <c r="A244" s="334"/>
      <c r="B244" s="352"/>
      <c r="C244" s="334"/>
      <c r="D244" s="335" t="s">
        <v>121</v>
      </c>
      <c r="E244" s="335" t="s">
        <v>123</v>
      </c>
      <c r="F244" s="337">
        <f>F245</f>
        <v>260000000</v>
      </c>
      <c r="G244" s="344">
        <f>+G245</f>
        <v>0</v>
      </c>
      <c r="H244" s="344">
        <f>+H245</f>
        <v>0</v>
      </c>
      <c r="I244" s="344">
        <f t="shared" si="146"/>
        <v>0</v>
      </c>
      <c r="J244" s="344">
        <f>+J245</f>
        <v>0</v>
      </c>
      <c r="K244" s="344">
        <f>+K245</f>
        <v>0</v>
      </c>
      <c r="L244" s="344">
        <f t="shared" si="148"/>
        <v>0</v>
      </c>
      <c r="M244" s="344">
        <f t="shared" si="149"/>
        <v>0</v>
      </c>
      <c r="N244" s="337">
        <f t="shared" si="144"/>
        <v>260000000</v>
      </c>
      <c r="P244" s="340"/>
      <c r="S244" s="347"/>
      <c r="T244" s="347"/>
      <c r="U244" s="342"/>
    </row>
    <row r="245" spans="1:21" s="339" customFormat="1" ht="18" customHeight="1" x14ac:dyDescent="0.25">
      <c r="A245" s="334"/>
      <c r="B245" s="352"/>
      <c r="C245" s="334"/>
      <c r="D245" s="335" t="s">
        <v>122</v>
      </c>
      <c r="E245" s="335" t="s">
        <v>124</v>
      </c>
      <c r="F245" s="337">
        <v>260000000</v>
      </c>
      <c r="G245" s="344"/>
      <c r="H245" s="344"/>
      <c r="I245" s="344">
        <f t="shared" si="146"/>
        <v>0</v>
      </c>
      <c r="J245" s="344"/>
      <c r="K245" s="344"/>
      <c r="L245" s="344"/>
      <c r="M245" s="344">
        <f>+I245+L245</f>
        <v>0</v>
      </c>
      <c r="N245" s="337">
        <f t="shared" si="144"/>
        <v>260000000</v>
      </c>
      <c r="P245" s="340"/>
      <c r="S245" s="347"/>
      <c r="T245" s="347"/>
      <c r="U245" s="342"/>
    </row>
    <row r="246" spans="1:21" s="153" customFormat="1" ht="18" customHeight="1" x14ac:dyDescent="0.25">
      <c r="A246" s="353"/>
      <c r="B246" s="355"/>
      <c r="C246" s="355"/>
      <c r="D246" s="355"/>
      <c r="E246" s="355"/>
      <c r="F246" s="356"/>
      <c r="G246" s="357"/>
      <c r="H246" s="357"/>
      <c r="I246" s="357"/>
      <c r="J246" s="357"/>
      <c r="K246" s="357"/>
      <c r="L246" s="357"/>
      <c r="M246" s="357"/>
      <c r="N246" s="356"/>
      <c r="P246" s="200"/>
      <c r="S246" s="221"/>
      <c r="T246" s="221"/>
      <c r="U246" s="254"/>
    </row>
    <row r="247" spans="1:21" s="319" customFormat="1" ht="16.5" customHeight="1" x14ac:dyDescent="0.25">
      <c r="A247" s="276"/>
      <c r="B247" s="305" t="s">
        <v>359</v>
      </c>
      <c r="C247" s="305"/>
      <c r="D247" s="305"/>
      <c r="E247" s="305" t="s">
        <v>360</v>
      </c>
      <c r="F247" s="359">
        <f>+F248+F256+F269+F278</f>
        <v>39780847375</v>
      </c>
      <c r="G247" s="360">
        <f>+G248+G256+G269+G278</f>
        <v>9469897278</v>
      </c>
      <c r="H247" s="360">
        <f>+H248+H256+H269+H278</f>
        <v>3055188038</v>
      </c>
      <c r="I247" s="360">
        <f>+G247+H247</f>
        <v>12525085316</v>
      </c>
      <c r="J247" s="360">
        <f>+J248+J256+J269+J278</f>
        <v>328721370</v>
      </c>
      <c r="K247" s="360">
        <f>+K248+K256+K269+K278</f>
        <v>32384184</v>
      </c>
      <c r="L247" s="360">
        <f>+J247+K247</f>
        <v>361105554</v>
      </c>
      <c r="M247" s="308">
        <f t="shared" ref="M247" si="150">+I247+L247</f>
        <v>12886190870</v>
      </c>
      <c r="N247" s="359">
        <f t="shared" ref="N247:N255" si="151">+F247-M247</f>
        <v>26894656505</v>
      </c>
      <c r="P247" s="361"/>
      <c r="R247" s="321"/>
      <c r="S247" s="362"/>
      <c r="T247" s="362"/>
      <c r="U247" s="350"/>
    </row>
    <row r="248" spans="1:21" s="319" customFormat="1" ht="18" customHeight="1" x14ac:dyDescent="0.25">
      <c r="A248" s="276">
        <v>12</v>
      </c>
      <c r="B248" s="305"/>
      <c r="C248" s="305" t="s">
        <v>125</v>
      </c>
      <c r="D248" s="363"/>
      <c r="E248" s="364" t="s">
        <v>34</v>
      </c>
      <c r="F248" s="307">
        <f>+F249</f>
        <v>219414700</v>
      </c>
      <c r="G248" s="308">
        <f>+G249</f>
        <v>149879620</v>
      </c>
      <c r="H248" s="308">
        <f>+H249</f>
        <v>0</v>
      </c>
      <c r="I248" s="308">
        <f>+G248+H248</f>
        <v>149879620</v>
      </c>
      <c r="J248" s="308">
        <f>+J249</f>
        <v>9738375</v>
      </c>
      <c r="K248" s="308">
        <f>+K249</f>
        <v>7350750</v>
      </c>
      <c r="L248" s="308">
        <f>+J248+K248</f>
        <v>17089125</v>
      </c>
      <c r="M248" s="308">
        <f>+I248+L248</f>
        <v>166968745</v>
      </c>
      <c r="N248" s="307">
        <f t="shared" si="151"/>
        <v>52445955</v>
      </c>
      <c r="P248" s="320"/>
      <c r="R248" s="321"/>
      <c r="S248" s="349"/>
      <c r="T248" s="349"/>
      <c r="U248" s="350"/>
    </row>
    <row r="249" spans="1:21" s="329" customFormat="1" ht="18" customHeight="1" x14ac:dyDescent="0.25">
      <c r="A249" s="323"/>
      <c r="B249" s="324"/>
      <c r="C249" s="379"/>
      <c r="D249" s="325" t="s">
        <v>207</v>
      </c>
      <c r="E249" s="326" t="s">
        <v>262</v>
      </c>
      <c r="F249" s="327">
        <f t="shared" ref="F249:H251" si="152">+F250</f>
        <v>219414700</v>
      </c>
      <c r="G249" s="328">
        <f>+G250</f>
        <v>149879620</v>
      </c>
      <c r="H249" s="328">
        <f t="shared" si="152"/>
        <v>0</v>
      </c>
      <c r="I249" s="328">
        <f t="shared" ref="I249:I253" si="153">+G249+H249</f>
        <v>149879620</v>
      </c>
      <c r="J249" s="328">
        <f t="shared" ref="J249:K251" si="154">+J250</f>
        <v>9738375</v>
      </c>
      <c r="K249" s="328">
        <f t="shared" si="154"/>
        <v>7350750</v>
      </c>
      <c r="L249" s="328">
        <f t="shared" ref="L249:L251" si="155">+J249+K249</f>
        <v>17089125</v>
      </c>
      <c r="M249" s="328">
        <f t="shared" ref="M249:M252" si="156">+I249+L249</f>
        <v>166968745</v>
      </c>
      <c r="N249" s="327">
        <f t="shared" si="151"/>
        <v>52445955</v>
      </c>
      <c r="P249" s="330"/>
      <c r="R249" s="331"/>
      <c r="S249" s="351"/>
      <c r="T249" s="351"/>
      <c r="U249" s="333"/>
    </row>
    <row r="250" spans="1:21" s="339" customFormat="1" ht="18" customHeight="1" x14ac:dyDescent="0.25">
      <c r="A250" s="334"/>
      <c r="B250" s="352"/>
      <c r="C250" s="334"/>
      <c r="D250" s="335" t="s">
        <v>63</v>
      </c>
      <c r="E250" s="335" t="s">
        <v>30</v>
      </c>
      <c r="F250" s="337">
        <f t="shared" si="152"/>
        <v>219414700</v>
      </c>
      <c r="G250" s="344">
        <f>+G251</f>
        <v>149879620</v>
      </c>
      <c r="H250" s="344">
        <f t="shared" si="152"/>
        <v>0</v>
      </c>
      <c r="I250" s="344">
        <f t="shared" si="153"/>
        <v>149879620</v>
      </c>
      <c r="J250" s="344">
        <f t="shared" si="154"/>
        <v>9738375</v>
      </c>
      <c r="K250" s="344">
        <f t="shared" si="154"/>
        <v>7350750</v>
      </c>
      <c r="L250" s="344">
        <f t="shared" si="155"/>
        <v>17089125</v>
      </c>
      <c r="M250" s="344">
        <f t="shared" si="156"/>
        <v>166968745</v>
      </c>
      <c r="N250" s="337">
        <f t="shared" si="151"/>
        <v>52445955</v>
      </c>
      <c r="P250" s="340"/>
      <c r="S250" s="347"/>
      <c r="T250" s="347"/>
      <c r="U250" s="342"/>
    </row>
    <row r="251" spans="1:21" s="339" customFormat="1" ht="18" customHeight="1" x14ac:dyDescent="0.25">
      <c r="A251" s="334"/>
      <c r="B251" s="335"/>
      <c r="C251" s="334"/>
      <c r="D251" s="365" t="s">
        <v>263</v>
      </c>
      <c r="E251" s="335" t="s">
        <v>264</v>
      </c>
      <c r="F251" s="337">
        <f t="shared" si="152"/>
        <v>219414700</v>
      </c>
      <c r="G251" s="344">
        <f>+G252</f>
        <v>149879620</v>
      </c>
      <c r="H251" s="344">
        <f t="shared" si="152"/>
        <v>0</v>
      </c>
      <c r="I251" s="344">
        <f t="shared" si="153"/>
        <v>149879620</v>
      </c>
      <c r="J251" s="344">
        <f t="shared" si="154"/>
        <v>9738375</v>
      </c>
      <c r="K251" s="344">
        <f t="shared" si="154"/>
        <v>7350750</v>
      </c>
      <c r="L251" s="344">
        <f t="shared" si="155"/>
        <v>17089125</v>
      </c>
      <c r="M251" s="344">
        <f t="shared" si="156"/>
        <v>166968745</v>
      </c>
      <c r="N251" s="337">
        <f t="shared" si="151"/>
        <v>52445955</v>
      </c>
      <c r="P251" s="340"/>
      <c r="S251" s="347"/>
      <c r="T251" s="347"/>
      <c r="U251" s="342"/>
    </row>
    <row r="252" spans="1:21" s="339" customFormat="1" ht="18" customHeight="1" x14ac:dyDescent="0.25">
      <c r="A252" s="334"/>
      <c r="B252" s="352"/>
      <c r="C252" s="334"/>
      <c r="D252" s="335" t="s">
        <v>64</v>
      </c>
      <c r="E252" s="335" t="s">
        <v>65</v>
      </c>
      <c r="F252" s="337">
        <f>SUM(F253:F255)</f>
        <v>219414700</v>
      </c>
      <c r="G252" s="344">
        <f>SUM(G253:G255)</f>
        <v>149879620</v>
      </c>
      <c r="H252" s="344">
        <f>SUM(H253:H255)</f>
        <v>0</v>
      </c>
      <c r="I252" s="344">
        <f t="shared" si="153"/>
        <v>149879620</v>
      </c>
      <c r="J252" s="344">
        <f>SUM(J253:J255)</f>
        <v>9738375</v>
      </c>
      <c r="K252" s="344">
        <f>SUM(K253:K255)</f>
        <v>7350750</v>
      </c>
      <c r="L252" s="344">
        <f>+J252+K252</f>
        <v>17089125</v>
      </c>
      <c r="M252" s="344">
        <f t="shared" si="156"/>
        <v>166968745</v>
      </c>
      <c r="N252" s="337">
        <f t="shared" si="151"/>
        <v>52445955</v>
      </c>
      <c r="P252" s="340"/>
      <c r="S252" s="347"/>
      <c r="T252" s="347"/>
      <c r="U252" s="342"/>
    </row>
    <row r="253" spans="1:21" s="339" customFormat="1" ht="18" customHeight="1" x14ac:dyDescent="0.25">
      <c r="A253" s="334"/>
      <c r="B253" s="352"/>
      <c r="C253" s="334"/>
      <c r="D253" s="335" t="s">
        <v>337</v>
      </c>
      <c r="E253" s="335" t="s">
        <v>338</v>
      </c>
      <c r="F253" s="337">
        <v>875000</v>
      </c>
      <c r="G253" s="344"/>
      <c r="H253" s="344"/>
      <c r="I253" s="344">
        <f t="shared" si="153"/>
        <v>0</v>
      </c>
      <c r="J253" s="344"/>
      <c r="K253" s="344"/>
      <c r="L253" s="344">
        <f>+J253+K253</f>
        <v>0</v>
      </c>
      <c r="M253" s="344">
        <f>+I253+L253</f>
        <v>0</v>
      </c>
      <c r="N253" s="337">
        <f t="shared" si="151"/>
        <v>875000</v>
      </c>
      <c r="P253" s="340"/>
      <c r="S253" s="347"/>
      <c r="T253" s="347"/>
      <c r="U253" s="342"/>
    </row>
    <row r="254" spans="1:21" s="339" customFormat="1" ht="18" customHeight="1" x14ac:dyDescent="0.25">
      <c r="A254" s="334"/>
      <c r="B254" s="352"/>
      <c r="C254" s="334"/>
      <c r="D254" s="335" t="s">
        <v>68</v>
      </c>
      <c r="E254" s="335" t="s">
        <v>69</v>
      </c>
      <c r="F254" s="337">
        <v>182539700</v>
      </c>
      <c r="G254" s="344">
        <v>149879620</v>
      </c>
      <c r="H254" s="344"/>
      <c r="I254" s="344">
        <f>+G254+H254</f>
        <v>149879620</v>
      </c>
      <c r="J254" s="344">
        <v>4938375</v>
      </c>
      <c r="K254" s="344">
        <f>996750+959250+999375+997125+998250</f>
        <v>4950750</v>
      </c>
      <c r="L254" s="344">
        <f>+J254+K254</f>
        <v>9889125</v>
      </c>
      <c r="M254" s="344">
        <f>+I254+L254</f>
        <v>159768745</v>
      </c>
      <c r="N254" s="337">
        <f t="shared" si="151"/>
        <v>22770955</v>
      </c>
      <c r="P254" s="340"/>
      <c r="S254" s="346">
        <f>996750+959250+999375+997125+998250</f>
        <v>4950750</v>
      </c>
      <c r="T254" s="347"/>
      <c r="U254" s="342"/>
    </row>
    <row r="255" spans="1:21" s="153" customFormat="1" ht="18" customHeight="1" x14ac:dyDescent="0.25">
      <c r="A255" s="353"/>
      <c r="B255" s="387"/>
      <c r="C255" s="353"/>
      <c r="D255" s="355" t="s">
        <v>126</v>
      </c>
      <c r="E255" s="355" t="s">
        <v>127</v>
      </c>
      <c r="F255" s="356">
        <v>36000000</v>
      </c>
      <c r="G255" s="357">
        <v>0</v>
      </c>
      <c r="H255" s="357"/>
      <c r="I255" s="357">
        <f>+G255+H255</f>
        <v>0</v>
      </c>
      <c r="J255" s="357">
        <v>4800000</v>
      </c>
      <c r="K255" s="357">
        <v>2400000</v>
      </c>
      <c r="L255" s="357">
        <f>+J255+K255</f>
        <v>7200000</v>
      </c>
      <c r="M255" s="357">
        <f>+I255+L255</f>
        <v>7200000</v>
      </c>
      <c r="N255" s="356">
        <f t="shared" si="151"/>
        <v>28800000</v>
      </c>
      <c r="P255" s="200"/>
      <c r="S255" s="358">
        <v>2400000</v>
      </c>
      <c r="T255" s="221"/>
      <c r="U255" s="254"/>
    </row>
    <row r="256" spans="1:21" s="319" customFormat="1" ht="18" customHeight="1" x14ac:dyDescent="0.25">
      <c r="A256" s="276">
        <v>13</v>
      </c>
      <c r="B256" s="305"/>
      <c r="C256" s="305" t="s">
        <v>128</v>
      </c>
      <c r="D256" s="363"/>
      <c r="E256" s="364" t="s">
        <v>46</v>
      </c>
      <c r="F256" s="307">
        <f>+F257</f>
        <v>38400620000</v>
      </c>
      <c r="G256" s="308">
        <f>+G257</f>
        <v>9165451928</v>
      </c>
      <c r="H256" s="308">
        <f>+H257</f>
        <v>3055188038</v>
      </c>
      <c r="I256" s="308">
        <f>+G256+H256</f>
        <v>12220639966</v>
      </c>
      <c r="J256" s="308">
        <f>+J257</f>
        <v>76062995</v>
      </c>
      <c r="K256" s="308">
        <f>+K257</f>
        <v>25033434</v>
      </c>
      <c r="L256" s="308">
        <f>+J256+K256</f>
        <v>101096429</v>
      </c>
      <c r="M256" s="308">
        <f>+I256+L256</f>
        <v>12321736395</v>
      </c>
      <c r="N256" s="307">
        <f>+F256-M256</f>
        <v>26078883605</v>
      </c>
      <c r="P256" s="320"/>
      <c r="R256" s="321"/>
      <c r="S256" s="349"/>
      <c r="T256" s="349"/>
      <c r="U256" s="350"/>
    </row>
    <row r="257" spans="1:21" s="329" customFormat="1" ht="18" customHeight="1" x14ac:dyDescent="0.25">
      <c r="A257" s="323"/>
      <c r="B257" s="324"/>
      <c r="C257" s="379"/>
      <c r="D257" s="325" t="s">
        <v>207</v>
      </c>
      <c r="E257" s="326" t="s">
        <v>262</v>
      </c>
      <c r="F257" s="327">
        <f>+F258</f>
        <v>38400620000</v>
      </c>
      <c r="G257" s="328">
        <f>+G258</f>
        <v>9165451928</v>
      </c>
      <c r="H257" s="328">
        <f t="shared" ref="F257:H259" si="157">+H258</f>
        <v>3055188038</v>
      </c>
      <c r="I257" s="328">
        <f t="shared" ref="I257:I262" si="158">+G257+H257</f>
        <v>12220639966</v>
      </c>
      <c r="J257" s="328">
        <f t="shared" ref="J257:K259" si="159">+J258</f>
        <v>76062995</v>
      </c>
      <c r="K257" s="328">
        <f t="shared" si="159"/>
        <v>25033434</v>
      </c>
      <c r="L257" s="328">
        <f t="shared" ref="L257:L260" si="160">+J257+K257</f>
        <v>101096429</v>
      </c>
      <c r="M257" s="328">
        <f t="shared" ref="M257:M260" si="161">+I257+L257</f>
        <v>12321736395</v>
      </c>
      <c r="N257" s="327">
        <f>+F257-M257</f>
        <v>26078883605</v>
      </c>
      <c r="P257" s="330"/>
      <c r="R257" s="331"/>
      <c r="S257" s="351"/>
      <c r="T257" s="351"/>
      <c r="U257" s="333"/>
    </row>
    <row r="258" spans="1:21" s="339" customFormat="1" ht="18" customHeight="1" x14ac:dyDescent="0.25">
      <c r="A258" s="334"/>
      <c r="B258" s="352"/>
      <c r="C258" s="334"/>
      <c r="D258" s="335" t="s">
        <v>63</v>
      </c>
      <c r="E258" s="335" t="s">
        <v>30</v>
      </c>
      <c r="F258" s="337">
        <f>+F259+F262</f>
        <v>38400620000</v>
      </c>
      <c r="G258" s="344">
        <f>+G259+G262</f>
        <v>9165451928</v>
      </c>
      <c r="H258" s="344">
        <f>+H259+H262</f>
        <v>3055188038</v>
      </c>
      <c r="I258" s="344">
        <f t="shared" si="158"/>
        <v>12220639966</v>
      </c>
      <c r="J258" s="344">
        <f>+J259+J262</f>
        <v>76062995</v>
      </c>
      <c r="K258" s="344">
        <f>+K259+K262</f>
        <v>25033434</v>
      </c>
      <c r="L258" s="344">
        <f t="shared" si="160"/>
        <v>101096429</v>
      </c>
      <c r="M258" s="344">
        <f t="shared" si="161"/>
        <v>12321736395</v>
      </c>
      <c r="N258" s="337">
        <f>+F258-M258</f>
        <v>26078883605</v>
      </c>
      <c r="P258" s="340"/>
      <c r="S258" s="347"/>
      <c r="T258" s="347"/>
      <c r="U258" s="342"/>
    </row>
    <row r="259" spans="1:21" s="339" customFormat="1" ht="18" customHeight="1" x14ac:dyDescent="0.25">
      <c r="A259" s="334"/>
      <c r="B259" s="335"/>
      <c r="C259" s="334"/>
      <c r="D259" s="365" t="s">
        <v>263</v>
      </c>
      <c r="E259" s="335" t="s">
        <v>264</v>
      </c>
      <c r="F259" s="337">
        <f t="shared" si="157"/>
        <v>35000000</v>
      </c>
      <c r="G259" s="344">
        <f>+G260</f>
        <v>0</v>
      </c>
      <c r="H259" s="344">
        <f t="shared" si="157"/>
        <v>0</v>
      </c>
      <c r="I259" s="344">
        <f t="shared" si="158"/>
        <v>0</v>
      </c>
      <c r="J259" s="344">
        <f t="shared" si="159"/>
        <v>7269779</v>
      </c>
      <c r="K259" s="344">
        <f t="shared" si="159"/>
        <v>2000000</v>
      </c>
      <c r="L259" s="344">
        <f t="shared" si="160"/>
        <v>9269779</v>
      </c>
      <c r="M259" s="344">
        <f t="shared" si="161"/>
        <v>9269779</v>
      </c>
      <c r="N259" s="337">
        <f>+F259-M259</f>
        <v>25730221</v>
      </c>
      <c r="P259" s="340"/>
      <c r="S259" s="347"/>
      <c r="T259" s="347"/>
      <c r="U259" s="342"/>
    </row>
    <row r="260" spans="1:21" s="339" customFormat="1" ht="18" customHeight="1" x14ac:dyDescent="0.25">
      <c r="A260" s="334"/>
      <c r="B260" s="352"/>
      <c r="C260" s="334"/>
      <c r="D260" s="335" t="s">
        <v>64</v>
      </c>
      <c r="E260" s="335" t="s">
        <v>65</v>
      </c>
      <c r="F260" s="337">
        <f>+F261</f>
        <v>35000000</v>
      </c>
      <c r="G260" s="344">
        <f>+G261</f>
        <v>0</v>
      </c>
      <c r="H260" s="344">
        <f>+H261+H265</f>
        <v>0</v>
      </c>
      <c r="I260" s="344">
        <f t="shared" si="158"/>
        <v>0</v>
      </c>
      <c r="J260" s="344">
        <f>J261</f>
        <v>7269779</v>
      </c>
      <c r="K260" s="344">
        <f>+K261</f>
        <v>2000000</v>
      </c>
      <c r="L260" s="344">
        <f t="shared" si="160"/>
        <v>9269779</v>
      </c>
      <c r="M260" s="344">
        <f t="shared" si="161"/>
        <v>9269779</v>
      </c>
      <c r="N260" s="337">
        <f>+F260-M260</f>
        <v>25730221</v>
      </c>
      <c r="P260" s="340"/>
      <c r="S260" s="347"/>
      <c r="T260" s="347"/>
      <c r="U260" s="342"/>
    </row>
    <row r="261" spans="1:21" s="339" customFormat="1" ht="18" customHeight="1" x14ac:dyDescent="0.25">
      <c r="A261" s="334"/>
      <c r="B261" s="352"/>
      <c r="C261" s="334"/>
      <c r="D261" s="335" t="s">
        <v>129</v>
      </c>
      <c r="E261" s="335" t="s">
        <v>130</v>
      </c>
      <c r="F261" s="337">
        <v>35000000</v>
      </c>
      <c r="G261" s="344"/>
      <c r="H261" s="344"/>
      <c r="I261" s="344">
        <f t="shared" si="158"/>
        <v>0</v>
      </c>
      <c r="J261" s="344">
        <v>7269779</v>
      </c>
      <c r="K261" s="344">
        <v>2000000</v>
      </c>
      <c r="L261" s="344">
        <f>+J261+K261</f>
        <v>9269779</v>
      </c>
      <c r="M261" s="344">
        <f>+I261+L261</f>
        <v>9269779</v>
      </c>
      <c r="N261" s="337">
        <f t="shared" ref="N261" si="162">+F261-M261</f>
        <v>25730221</v>
      </c>
      <c r="P261" s="340"/>
      <c r="S261" s="346">
        <v>2000000</v>
      </c>
      <c r="T261" s="347"/>
      <c r="U261" s="342"/>
    </row>
    <row r="262" spans="1:21" s="339" customFormat="1" ht="18" customHeight="1" x14ac:dyDescent="0.25">
      <c r="A262" s="334"/>
      <c r="B262" s="335"/>
      <c r="C262" s="334"/>
      <c r="D262" s="365" t="s">
        <v>271</v>
      </c>
      <c r="E262" s="335" t="s">
        <v>272</v>
      </c>
      <c r="F262" s="337">
        <f t="shared" ref="F262:H262" si="163">+F263</f>
        <v>38365620000</v>
      </c>
      <c r="G262" s="344">
        <f>+G263</f>
        <v>9165451928</v>
      </c>
      <c r="H262" s="344">
        <f t="shared" si="163"/>
        <v>3055188038</v>
      </c>
      <c r="I262" s="344">
        <f t="shared" si="158"/>
        <v>12220639966</v>
      </c>
      <c r="J262" s="344">
        <f>+J263</f>
        <v>68793216</v>
      </c>
      <c r="K262" s="344">
        <f t="shared" ref="K262" si="164">+K263</f>
        <v>23033434</v>
      </c>
      <c r="L262" s="344">
        <f t="shared" ref="L262" si="165">+J262+K262</f>
        <v>91826650</v>
      </c>
      <c r="M262" s="344">
        <f t="shared" ref="M262:M263" si="166">+I262+L262</f>
        <v>12312466616</v>
      </c>
      <c r="N262" s="337">
        <f>+F262-M262</f>
        <v>26053153384</v>
      </c>
      <c r="P262" s="340"/>
      <c r="S262" s="347"/>
      <c r="T262" s="347"/>
      <c r="U262" s="342"/>
    </row>
    <row r="263" spans="1:21" s="339" customFormat="1" ht="18" customHeight="1" x14ac:dyDescent="0.25">
      <c r="A263" s="334"/>
      <c r="B263" s="352"/>
      <c r="C263" s="334"/>
      <c r="D263" s="335" t="s">
        <v>81</v>
      </c>
      <c r="E263" s="335" t="s">
        <v>31</v>
      </c>
      <c r="F263" s="337">
        <f>SUM(F264:F268)</f>
        <v>38365620000</v>
      </c>
      <c r="G263" s="344">
        <f>SUM(G264:G268)</f>
        <v>9165451928</v>
      </c>
      <c r="H263" s="344">
        <f>SUM(H264:H268)</f>
        <v>3055188038</v>
      </c>
      <c r="I263" s="344">
        <f>+G263+H263</f>
        <v>12220639966</v>
      </c>
      <c r="J263" s="344">
        <f>SUM(J264:J268)</f>
        <v>68793216</v>
      </c>
      <c r="K263" s="344">
        <f>SUM(K264:K268)</f>
        <v>23033434</v>
      </c>
      <c r="L263" s="344">
        <f>+J263+K263</f>
        <v>91826650</v>
      </c>
      <c r="M263" s="344">
        <f t="shared" si="166"/>
        <v>12312466616</v>
      </c>
      <c r="N263" s="337">
        <f>+F263-M263</f>
        <v>26053153384</v>
      </c>
      <c r="P263" s="340"/>
      <c r="S263" s="347"/>
      <c r="T263" s="347"/>
      <c r="U263" s="342"/>
    </row>
    <row r="264" spans="1:21" s="339" customFormat="1" ht="18" customHeight="1" x14ac:dyDescent="0.25">
      <c r="A264" s="334"/>
      <c r="B264" s="352"/>
      <c r="C264" s="334"/>
      <c r="D264" s="335" t="s">
        <v>131</v>
      </c>
      <c r="E264" s="335" t="s">
        <v>132</v>
      </c>
      <c r="F264" s="337">
        <v>16800000</v>
      </c>
      <c r="G264" s="344"/>
      <c r="H264" s="344"/>
      <c r="I264" s="344">
        <f t="shared" ref="I264:I268" si="167">+G264+H264</f>
        <v>0</v>
      </c>
      <c r="J264" s="344">
        <v>514387</v>
      </c>
      <c r="K264" s="344">
        <f>34357+92720+34357</f>
        <v>161434</v>
      </c>
      <c r="L264" s="344">
        <f>+J264+K264</f>
        <v>675821</v>
      </c>
      <c r="M264" s="344">
        <f>+I264+L264</f>
        <v>675821</v>
      </c>
      <c r="N264" s="337">
        <f t="shared" ref="N264:N268" si="168">+F264-M264</f>
        <v>16124179</v>
      </c>
      <c r="P264" s="340"/>
      <c r="S264" s="346">
        <f>34357+92720+34357</f>
        <v>161434</v>
      </c>
      <c r="T264" s="347"/>
      <c r="U264" s="342"/>
    </row>
    <row r="265" spans="1:21" s="339" customFormat="1" ht="18" customHeight="1" x14ac:dyDescent="0.25">
      <c r="A265" s="334"/>
      <c r="B265" s="352"/>
      <c r="C265" s="334"/>
      <c r="D265" s="335" t="s">
        <v>133</v>
      </c>
      <c r="E265" s="335" t="s">
        <v>134</v>
      </c>
      <c r="F265" s="337">
        <v>42000000</v>
      </c>
      <c r="G265" s="344">
        <v>0</v>
      </c>
      <c r="H265" s="344"/>
      <c r="I265" s="344">
        <f t="shared" si="167"/>
        <v>0</v>
      </c>
      <c r="J265" s="344">
        <v>7204200</v>
      </c>
      <c r="K265" s="344">
        <v>2792000</v>
      </c>
      <c r="L265" s="344">
        <f>+J265+K265</f>
        <v>9996200</v>
      </c>
      <c r="M265" s="344">
        <f>+I265+L265</f>
        <v>9996200</v>
      </c>
      <c r="N265" s="337">
        <f t="shared" si="168"/>
        <v>32003800</v>
      </c>
      <c r="P265" s="340"/>
      <c r="S265" s="346">
        <v>2792000</v>
      </c>
      <c r="T265" s="347"/>
      <c r="U265" s="342"/>
    </row>
    <row r="266" spans="1:21" s="339" customFormat="1" ht="18" customHeight="1" x14ac:dyDescent="0.25">
      <c r="A266" s="334"/>
      <c r="B266" s="352"/>
      <c r="C266" s="334"/>
      <c r="D266" s="335" t="s">
        <v>135</v>
      </c>
      <c r="E266" s="335" t="s">
        <v>136</v>
      </c>
      <c r="F266" s="337">
        <v>37992800000</v>
      </c>
      <c r="G266" s="344">
        <v>9165451928</v>
      </c>
      <c r="H266" s="344">
        <f>31940770+3023247268</f>
        <v>3055188038</v>
      </c>
      <c r="I266" s="344">
        <f t="shared" si="167"/>
        <v>12220639966</v>
      </c>
      <c r="J266" s="344">
        <v>64183</v>
      </c>
      <c r="K266" s="344"/>
      <c r="L266" s="344">
        <f>+J266+K266</f>
        <v>64183</v>
      </c>
      <c r="M266" s="344">
        <f>+I266+L266</f>
        <v>12220704149</v>
      </c>
      <c r="N266" s="337">
        <f t="shared" si="168"/>
        <v>25772095851</v>
      </c>
      <c r="P266" s="340"/>
      <c r="S266" s="347"/>
      <c r="T266" s="346">
        <f>31940770+3023247268</f>
        <v>3055188038</v>
      </c>
      <c r="U266" s="342"/>
    </row>
    <row r="267" spans="1:21" s="339" customFormat="1" ht="18" customHeight="1" x14ac:dyDescent="0.25">
      <c r="A267" s="334"/>
      <c r="B267" s="352"/>
      <c r="C267" s="334"/>
      <c r="D267" s="335" t="s">
        <v>137</v>
      </c>
      <c r="E267" s="335" t="s">
        <v>138</v>
      </c>
      <c r="F267" s="337">
        <v>12820000</v>
      </c>
      <c r="G267" s="344"/>
      <c r="H267" s="344"/>
      <c r="I267" s="344">
        <f t="shared" si="167"/>
        <v>0</v>
      </c>
      <c r="J267" s="344">
        <v>1290000</v>
      </c>
      <c r="K267" s="344">
        <v>230000</v>
      </c>
      <c r="L267" s="344">
        <f t="shared" ref="L267:L272" si="169">+J267+K267</f>
        <v>1520000</v>
      </c>
      <c r="M267" s="344">
        <f t="shared" ref="M267:M268" si="170">+I267+L267</f>
        <v>1520000</v>
      </c>
      <c r="N267" s="337">
        <f t="shared" si="168"/>
        <v>11300000</v>
      </c>
      <c r="P267" s="340"/>
      <c r="S267" s="346">
        <v>230000</v>
      </c>
      <c r="T267" s="347"/>
      <c r="U267" s="342"/>
    </row>
    <row r="268" spans="1:21" s="339" customFormat="1" ht="18" customHeight="1" x14ac:dyDescent="0.25">
      <c r="A268" s="334"/>
      <c r="B268" s="352"/>
      <c r="C268" s="334"/>
      <c r="D268" s="335" t="s">
        <v>139</v>
      </c>
      <c r="E268" s="335" t="s">
        <v>140</v>
      </c>
      <c r="F268" s="337">
        <v>301200000</v>
      </c>
      <c r="G268" s="344"/>
      <c r="H268" s="344"/>
      <c r="I268" s="344">
        <f t="shared" si="167"/>
        <v>0</v>
      </c>
      <c r="J268" s="344">
        <v>59720446</v>
      </c>
      <c r="K268" s="344">
        <v>19850000</v>
      </c>
      <c r="L268" s="344">
        <f t="shared" si="169"/>
        <v>79570446</v>
      </c>
      <c r="M268" s="344">
        <f t="shared" si="170"/>
        <v>79570446</v>
      </c>
      <c r="N268" s="337">
        <f t="shared" si="168"/>
        <v>221629554</v>
      </c>
      <c r="P268" s="340"/>
      <c r="S268" s="346">
        <v>19850000</v>
      </c>
      <c r="T268" s="347"/>
      <c r="U268" s="342"/>
    </row>
    <row r="269" spans="1:21" s="319" customFormat="1" ht="18" customHeight="1" x14ac:dyDescent="0.25">
      <c r="A269" s="276">
        <v>14</v>
      </c>
      <c r="B269" s="305"/>
      <c r="C269" s="305" t="s">
        <v>141</v>
      </c>
      <c r="D269" s="363"/>
      <c r="E269" s="364" t="s">
        <v>142</v>
      </c>
      <c r="F269" s="307">
        <f>+F270</f>
        <v>100000000</v>
      </c>
      <c r="G269" s="308">
        <f>+G270</f>
        <v>99545055</v>
      </c>
      <c r="H269" s="308">
        <f>+H270</f>
        <v>0</v>
      </c>
      <c r="I269" s="308">
        <f>+G269+H269</f>
        <v>99545055</v>
      </c>
      <c r="J269" s="308">
        <f>+J270</f>
        <v>0</v>
      </c>
      <c r="K269" s="308">
        <f>+K270</f>
        <v>0</v>
      </c>
      <c r="L269" s="308">
        <f t="shared" si="169"/>
        <v>0</v>
      </c>
      <c r="M269" s="308">
        <f>+I269+L269</f>
        <v>99545055</v>
      </c>
      <c r="N269" s="307">
        <f>+F269-M269</f>
        <v>454945</v>
      </c>
      <c r="P269" s="320"/>
      <c r="R269" s="321"/>
      <c r="S269" s="349"/>
      <c r="T269" s="349"/>
      <c r="U269" s="350"/>
    </row>
    <row r="270" spans="1:21" s="329" customFormat="1" ht="16.5" customHeight="1" x14ac:dyDescent="0.25">
      <c r="A270" s="323"/>
      <c r="B270" s="324"/>
      <c r="C270" s="324"/>
      <c r="D270" s="325" t="s">
        <v>207</v>
      </c>
      <c r="E270" s="326" t="s">
        <v>262</v>
      </c>
      <c r="F270" s="327">
        <f>+F271</f>
        <v>100000000</v>
      </c>
      <c r="G270" s="328">
        <f>+G271</f>
        <v>99545055</v>
      </c>
      <c r="H270" s="328">
        <f t="shared" ref="F270:H272" si="171">+H271</f>
        <v>0</v>
      </c>
      <c r="I270" s="328">
        <f t="shared" ref="I270:I276" si="172">+G270+H270</f>
        <v>99545055</v>
      </c>
      <c r="J270" s="328">
        <f t="shared" ref="J270:J272" si="173">+J271</f>
        <v>0</v>
      </c>
      <c r="K270" s="328">
        <f>+K271</f>
        <v>0</v>
      </c>
      <c r="L270" s="328">
        <f t="shared" si="169"/>
        <v>0</v>
      </c>
      <c r="M270" s="328">
        <f t="shared" ref="M270:M273" si="174">+I270+L270</f>
        <v>99545055</v>
      </c>
      <c r="N270" s="327">
        <f>+F270-M270</f>
        <v>454945</v>
      </c>
      <c r="P270" s="330"/>
      <c r="R270" s="331"/>
      <c r="S270" s="351"/>
      <c r="T270" s="351"/>
      <c r="U270" s="333"/>
    </row>
    <row r="271" spans="1:21" s="339" customFormat="1" ht="16.5" customHeight="1" x14ac:dyDescent="0.25">
      <c r="A271" s="334"/>
      <c r="B271" s="352"/>
      <c r="C271" s="334"/>
      <c r="D271" s="335" t="s">
        <v>63</v>
      </c>
      <c r="E271" s="335" t="s">
        <v>30</v>
      </c>
      <c r="F271" s="337">
        <f>F272</f>
        <v>100000000</v>
      </c>
      <c r="G271" s="344">
        <f>+G272</f>
        <v>99545055</v>
      </c>
      <c r="H271" s="344">
        <f t="shared" si="171"/>
        <v>0</v>
      </c>
      <c r="I271" s="344">
        <f t="shared" si="172"/>
        <v>99545055</v>
      </c>
      <c r="J271" s="344">
        <f t="shared" si="173"/>
        <v>0</v>
      </c>
      <c r="K271" s="344">
        <f>+K272</f>
        <v>0</v>
      </c>
      <c r="L271" s="344">
        <f t="shared" si="169"/>
        <v>0</v>
      </c>
      <c r="M271" s="344">
        <f t="shared" si="174"/>
        <v>99545055</v>
      </c>
      <c r="N271" s="337">
        <f>+F271-M271</f>
        <v>454945</v>
      </c>
      <c r="P271" s="340"/>
      <c r="S271" s="347"/>
      <c r="T271" s="347"/>
      <c r="U271" s="342"/>
    </row>
    <row r="272" spans="1:21" s="339" customFormat="1" ht="16.5" customHeight="1" x14ac:dyDescent="0.25">
      <c r="A272" s="334"/>
      <c r="B272" s="335"/>
      <c r="C272" s="334"/>
      <c r="D272" s="365" t="s">
        <v>263</v>
      </c>
      <c r="E272" s="335" t="s">
        <v>264</v>
      </c>
      <c r="F272" s="337">
        <f t="shared" si="171"/>
        <v>100000000</v>
      </c>
      <c r="G272" s="344">
        <f>+G273</f>
        <v>99545055</v>
      </c>
      <c r="H272" s="344">
        <f t="shared" si="171"/>
        <v>0</v>
      </c>
      <c r="I272" s="344">
        <f t="shared" si="172"/>
        <v>99545055</v>
      </c>
      <c r="J272" s="344">
        <f t="shared" si="173"/>
        <v>0</v>
      </c>
      <c r="K272" s="344">
        <f>+K273</f>
        <v>0</v>
      </c>
      <c r="L272" s="344">
        <f t="shared" si="169"/>
        <v>0</v>
      </c>
      <c r="M272" s="344">
        <f t="shared" si="174"/>
        <v>99545055</v>
      </c>
      <c r="N272" s="337">
        <f>+F272-M272</f>
        <v>454945</v>
      </c>
      <c r="P272" s="340"/>
      <c r="S272" s="347"/>
      <c r="T272" s="347"/>
      <c r="U272" s="342"/>
    </row>
    <row r="273" spans="1:21" s="339" customFormat="1" ht="16.5" customHeight="1" x14ac:dyDescent="0.25">
      <c r="A273" s="334"/>
      <c r="B273" s="352"/>
      <c r="C273" s="334"/>
      <c r="D273" s="335" t="s">
        <v>64</v>
      </c>
      <c r="E273" s="335" t="s">
        <v>65</v>
      </c>
      <c r="F273" s="337">
        <f>SUM(F274:F277)</f>
        <v>100000000</v>
      </c>
      <c r="G273" s="344">
        <f>SUM(G274:G277)</f>
        <v>99545055</v>
      </c>
      <c r="H273" s="344">
        <f>SUM(H274:H277)</f>
        <v>0</v>
      </c>
      <c r="I273" s="344">
        <f>+G273+H273</f>
        <v>99545055</v>
      </c>
      <c r="J273" s="344">
        <f>SUM(J274:J277)</f>
        <v>0</v>
      </c>
      <c r="K273" s="344">
        <f>SUM(K274:K277)</f>
        <v>0</v>
      </c>
      <c r="L273" s="344">
        <f>+J273+K273</f>
        <v>0</v>
      </c>
      <c r="M273" s="344">
        <f t="shared" si="174"/>
        <v>99545055</v>
      </c>
      <c r="N273" s="337">
        <f>+F273-M273</f>
        <v>454945</v>
      </c>
      <c r="P273" s="340"/>
      <c r="S273" s="347"/>
      <c r="T273" s="347"/>
      <c r="U273" s="342"/>
    </row>
    <row r="274" spans="1:21" s="339" customFormat="1" ht="16.5" customHeight="1" x14ac:dyDescent="0.25">
      <c r="A274" s="334"/>
      <c r="B274" s="352"/>
      <c r="C274" s="334"/>
      <c r="D274" s="335" t="s">
        <v>66</v>
      </c>
      <c r="E274" s="335" t="s">
        <v>67</v>
      </c>
      <c r="F274" s="337">
        <v>57982150</v>
      </c>
      <c r="G274" s="344">
        <v>57659915</v>
      </c>
      <c r="H274" s="344"/>
      <c r="I274" s="344">
        <f t="shared" si="172"/>
        <v>57659915</v>
      </c>
      <c r="J274" s="344"/>
      <c r="K274" s="344"/>
      <c r="L274" s="344">
        <f>+J274+K274</f>
        <v>0</v>
      </c>
      <c r="M274" s="344">
        <f>+I274+L274</f>
        <v>57659915</v>
      </c>
      <c r="N274" s="337">
        <f t="shared" ref="N274:N277" si="175">+F274-M274</f>
        <v>322235</v>
      </c>
      <c r="P274" s="340"/>
      <c r="S274" s="347"/>
      <c r="T274" s="347"/>
      <c r="U274" s="342"/>
    </row>
    <row r="275" spans="1:21" s="339" customFormat="1" ht="18" customHeight="1" x14ac:dyDescent="0.25">
      <c r="A275" s="334"/>
      <c r="B275" s="352"/>
      <c r="C275" s="334"/>
      <c r="D275" s="335" t="s">
        <v>337</v>
      </c>
      <c r="E275" s="335" t="s">
        <v>338</v>
      </c>
      <c r="F275" s="337">
        <v>29743300</v>
      </c>
      <c r="G275" s="344">
        <v>29686975</v>
      </c>
      <c r="H275" s="344"/>
      <c r="I275" s="344">
        <f t="shared" si="172"/>
        <v>29686975</v>
      </c>
      <c r="J275" s="344"/>
      <c r="K275" s="344"/>
      <c r="L275" s="344"/>
      <c r="M275" s="344">
        <f t="shared" ref="M275:M276" si="176">+I275+L275</f>
        <v>29686975</v>
      </c>
      <c r="N275" s="337">
        <f t="shared" si="175"/>
        <v>56325</v>
      </c>
      <c r="P275" s="340"/>
      <c r="S275" s="347"/>
      <c r="T275" s="347"/>
      <c r="U275" s="342"/>
    </row>
    <row r="276" spans="1:21" s="339" customFormat="1" ht="18" customHeight="1" x14ac:dyDescent="0.25">
      <c r="A276" s="334"/>
      <c r="B276" s="352"/>
      <c r="C276" s="334"/>
      <c r="D276" s="335" t="s">
        <v>339</v>
      </c>
      <c r="E276" s="335" t="s">
        <v>340</v>
      </c>
      <c r="F276" s="337">
        <v>8842500</v>
      </c>
      <c r="G276" s="344">
        <v>8822700</v>
      </c>
      <c r="H276" s="344"/>
      <c r="I276" s="344">
        <f t="shared" si="172"/>
        <v>8822700</v>
      </c>
      <c r="J276" s="344"/>
      <c r="K276" s="344"/>
      <c r="L276" s="344"/>
      <c r="M276" s="344">
        <f t="shared" si="176"/>
        <v>8822700</v>
      </c>
      <c r="N276" s="337">
        <f t="shared" si="175"/>
        <v>19800</v>
      </c>
      <c r="P276" s="340"/>
      <c r="S276" s="347"/>
      <c r="T276" s="347"/>
      <c r="U276" s="342"/>
    </row>
    <row r="277" spans="1:21" s="153" customFormat="1" ht="18" customHeight="1" x14ac:dyDescent="0.25">
      <c r="A277" s="353"/>
      <c r="B277" s="387"/>
      <c r="C277" s="353"/>
      <c r="D277" s="355" t="s">
        <v>361</v>
      </c>
      <c r="E277" s="355" t="s">
        <v>362</v>
      </c>
      <c r="F277" s="356">
        <v>3432050</v>
      </c>
      <c r="G277" s="357">
        <v>3375465</v>
      </c>
      <c r="H277" s="357"/>
      <c r="I277" s="357">
        <f>+G277+H277</f>
        <v>3375465</v>
      </c>
      <c r="J277" s="357"/>
      <c r="K277" s="357"/>
      <c r="L277" s="357">
        <f>+J277+K277</f>
        <v>0</v>
      </c>
      <c r="M277" s="357">
        <f>+I277+L277</f>
        <v>3375465</v>
      </c>
      <c r="N277" s="356">
        <f t="shared" si="175"/>
        <v>56585</v>
      </c>
      <c r="P277" s="200"/>
      <c r="S277" s="221"/>
      <c r="T277" s="221"/>
      <c r="U277" s="254"/>
    </row>
    <row r="278" spans="1:21" s="319" customFormat="1" ht="18" customHeight="1" x14ac:dyDescent="0.25">
      <c r="A278" s="275">
        <v>15</v>
      </c>
      <c r="B278" s="305"/>
      <c r="C278" s="305" t="s">
        <v>363</v>
      </c>
      <c r="D278" s="363"/>
      <c r="E278" s="364" t="s">
        <v>364</v>
      </c>
      <c r="F278" s="307">
        <f t="shared" ref="F278:H279" si="177">+F279</f>
        <v>1060812675</v>
      </c>
      <c r="G278" s="308">
        <f t="shared" si="177"/>
        <v>55020675</v>
      </c>
      <c r="H278" s="308">
        <f t="shared" si="177"/>
        <v>0</v>
      </c>
      <c r="I278" s="308">
        <f>+G278+H278</f>
        <v>55020675</v>
      </c>
      <c r="J278" s="308">
        <f>+J279</f>
        <v>242920000</v>
      </c>
      <c r="K278" s="308">
        <f>+K279</f>
        <v>0</v>
      </c>
      <c r="L278" s="308">
        <f>+J278+K278</f>
        <v>242920000</v>
      </c>
      <c r="M278" s="308">
        <f>+I278+L278</f>
        <v>297940675</v>
      </c>
      <c r="N278" s="307">
        <f>+F278-M278</f>
        <v>762872000</v>
      </c>
      <c r="P278" s="320"/>
      <c r="R278" s="321"/>
      <c r="S278" s="349"/>
      <c r="T278" s="349"/>
      <c r="U278" s="350"/>
    </row>
    <row r="279" spans="1:21" s="329" customFormat="1" ht="18" customHeight="1" x14ac:dyDescent="0.25">
      <c r="A279" s="323"/>
      <c r="B279" s="324"/>
      <c r="C279" s="324"/>
      <c r="D279" s="325" t="s">
        <v>207</v>
      </c>
      <c r="E279" s="326" t="s">
        <v>262</v>
      </c>
      <c r="F279" s="327">
        <f t="shared" si="177"/>
        <v>1060812675</v>
      </c>
      <c r="G279" s="328">
        <f t="shared" si="177"/>
        <v>55020675</v>
      </c>
      <c r="H279" s="328">
        <f t="shared" si="177"/>
        <v>0</v>
      </c>
      <c r="I279" s="328">
        <f t="shared" ref="I279:I283" si="178">+G279+H279</f>
        <v>55020675</v>
      </c>
      <c r="J279" s="328">
        <f>+J280</f>
        <v>242920000</v>
      </c>
      <c r="K279" s="328">
        <f>+K280</f>
        <v>0</v>
      </c>
      <c r="L279" s="328">
        <f t="shared" ref="L279:L281" si="179">+J279+K279</f>
        <v>242920000</v>
      </c>
      <c r="M279" s="328">
        <f t="shared" ref="M279:M282" si="180">+I279+L279</f>
        <v>297940675</v>
      </c>
      <c r="N279" s="327">
        <f>+F279-M279</f>
        <v>762872000</v>
      </c>
      <c r="P279" s="330"/>
      <c r="R279" s="331"/>
      <c r="S279" s="351"/>
      <c r="T279" s="351"/>
      <c r="U279" s="333"/>
    </row>
    <row r="280" spans="1:21" s="339" customFormat="1" ht="18" customHeight="1" x14ac:dyDescent="0.25">
      <c r="A280" s="334"/>
      <c r="B280" s="352"/>
      <c r="C280" s="334"/>
      <c r="D280" s="335" t="s">
        <v>63</v>
      </c>
      <c r="E280" s="335" t="s">
        <v>30</v>
      </c>
      <c r="F280" s="337">
        <f>+F281+F291</f>
        <v>1060812675</v>
      </c>
      <c r="G280" s="344">
        <f>+G281+G291</f>
        <v>55020675</v>
      </c>
      <c r="H280" s="344">
        <f>+H281+H291</f>
        <v>0</v>
      </c>
      <c r="I280" s="344">
        <f t="shared" si="178"/>
        <v>55020675</v>
      </c>
      <c r="J280" s="344">
        <f>+J281+J291</f>
        <v>242920000</v>
      </c>
      <c r="K280" s="344">
        <f>+K281+K291</f>
        <v>0</v>
      </c>
      <c r="L280" s="344">
        <f t="shared" si="179"/>
        <v>242920000</v>
      </c>
      <c r="M280" s="344">
        <f t="shared" si="180"/>
        <v>297940675</v>
      </c>
      <c r="N280" s="337">
        <f>+F280-M280</f>
        <v>762872000</v>
      </c>
      <c r="P280" s="340"/>
      <c r="S280" s="347"/>
      <c r="T280" s="347"/>
      <c r="U280" s="342"/>
    </row>
    <row r="281" spans="1:21" s="339" customFormat="1" ht="18" customHeight="1" x14ac:dyDescent="0.25">
      <c r="A281" s="334"/>
      <c r="B281" s="335"/>
      <c r="C281" s="334"/>
      <c r="D281" s="365" t="s">
        <v>263</v>
      </c>
      <c r="E281" s="335" t="s">
        <v>264</v>
      </c>
      <c r="F281" s="337">
        <f>+F282</f>
        <v>105412675</v>
      </c>
      <c r="G281" s="344">
        <f t="shared" ref="G281:J281" si="181">+G282</f>
        <v>55020675</v>
      </c>
      <c r="H281" s="344">
        <f>+H282</f>
        <v>0</v>
      </c>
      <c r="I281" s="344">
        <f t="shared" si="178"/>
        <v>55020675</v>
      </c>
      <c r="J281" s="344">
        <f t="shared" si="181"/>
        <v>0</v>
      </c>
      <c r="K281" s="344">
        <f>+K282</f>
        <v>0</v>
      </c>
      <c r="L281" s="344">
        <f t="shared" si="179"/>
        <v>0</v>
      </c>
      <c r="M281" s="344">
        <f t="shared" si="180"/>
        <v>55020675</v>
      </c>
      <c r="N281" s="337">
        <f>+F281-M281</f>
        <v>50392000</v>
      </c>
      <c r="P281" s="340"/>
      <c r="S281" s="347"/>
      <c r="T281" s="347"/>
      <c r="U281" s="342"/>
    </row>
    <row r="282" spans="1:21" s="339" customFormat="1" ht="18" customHeight="1" x14ac:dyDescent="0.25">
      <c r="A282" s="334"/>
      <c r="B282" s="352"/>
      <c r="C282" s="334"/>
      <c r="D282" s="335" t="s">
        <v>64</v>
      </c>
      <c r="E282" s="335" t="s">
        <v>65</v>
      </c>
      <c r="F282" s="337">
        <f>SUM(F283:F290)</f>
        <v>105412675</v>
      </c>
      <c r="G282" s="344">
        <f>SUM(G283:G290)</f>
        <v>55020675</v>
      </c>
      <c r="H282" s="344">
        <f>SUM(H283:H290)</f>
        <v>0</v>
      </c>
      <c r="I282" s="344">
        <f>+G282+H282</f>
        <v>55020675</v>
      </c>
      <c r="J282" s="344">
        <f>SUM(J283:J290)</f>
        <v>0</v>
      </c>
      <c r="K282" s="344">
        <f>SUM(K283:K290)</f>
        <v>0</v>
      </c>
      <c r="L282" s="344">
        <f>+J282+K282</f>
        <v>0</v>
      </c>
      <c r="M282" s="344">
        <f t="shared" si="180"/>
        <v>55020675</v>
      </c>
      <c r="N282" s="337">
        <f>+F282-M282</f>
        <v>50392000</v>
      </c>
      <c r="P282" s="340"/>
      <c r="S282" s="347"/>
      <c r="T282" s="347"/>
      <c r="U282" s="342"/>
    </row>
    <row r="283" spans="1:21" s="339" customFormat="1" ht="18" customHeight="1" x14ac:dyDescent="0.25">
      <c r="A283" s="366"/>
      <c r="C283" s="366"/>
      <c r="D283" s="367" t="s">
        <v>365</v>
      </c>
      <c r="E283" s="367" t="s">
        <v>366</v>
      </c>
      <c r="F283" s="370">
        <v>9228650</v>
      </c>
      <c r="G283" s="371"/>
      <c r="H283" s="371"/>
      <c r="I283" s="371">
        <f t="shared" si="178"/>
        <v>0</v>
      </c>
      <c r="J283" s="371"/>
      <c r="K283" s="371"/>
      <c r="L283" s="371">
        <f>+J283+K283</f>
        <v>0</v>
      </c>
      <c r="M283" s="371">
        <f>+I283+L283</f>
        <v>0</v>
      </c>
      <c r="N283" s="370">
        <f t="shared" ref="N283:N290" si="182">+F283-M283</f>
        <v>9228650</v>
      </c>
      <c r="P283" s="340"/>
      <c r="S283" s="347"/>
      <c r="T283" s="347"/>
      <c r="U283" s="342"/>
    </row>
    <row r="284" spans="1:21" s="339" customFormat="1" ht="18" customHeight="1" x14ac:dyDescent="0.25">
      <c r="A284" s="366"/>
      <c r="C284" s="366"/>
      <c r="D284" s="367" t="s">
        <v>66</v>
      </c>
      <c r="E284" s="367" t="s">
        <v>67</v>
      </c>
      <c r="F284" s="370">
        <v>4831925</v>
      </c>
      <c r="G284" s="371"/>
      <c r="H284" s="371"/>
      <c r="I284" s="371"/>
      <c r="J284" s="371"/>
      <c r="K284" s="371"/>
      <c r="L284" s="371">
        <f t="shared" ref="L284:L296" si="183">+J284+K284</f>
        <v>0</v>
      </c>
      <c r="M284" s="371">
        <f t="shared" ref="M284:M292" si="184">+I284+L284</f>
        <v>0</v>
      </c>
      <c r="N284" s="370">
        <f t="shared" si="182"/>
        <v>4831925</v>
      </c>
      <c r="P284" s="340"/>
      <c r="S284" s="347"/>
      <c r="T284" s="347"/>
      <c r="U284" s="342"/>
    </row>
    <row r="285" spans="1:21" s="339" customFormat="1" ht="18" customHeight="1" x14ac:dyDescent="0.25">
      <c r="A285" s="366"/>
      <c r="C285" s="366"/>
      <c r="D285" s="367" t="s">
        <v>337</v>
      </c>
      <c r="E285" s="367" t="s">
        <v>338</v>
      </c>
      <c r="F285" s="370">
        <v>18985000</v>
      </c>
      <c r="G285" s="371"/>
      <c r="H285" s="371"/>
      <c r="I285" s="371"/>
      <c r="J285" s="371"/>
      <c r="K285" s="371"/>
      <c r="L285" s="371">
        <f t="shared" si="183"/>
        <v>0</v>
      </c>
      <c r="M285" s="371">
        <f t="shared" si="184"/>
        <v>0</v>
      </c>
      <c r="N285" s="370">
        <f t="shared" si="182"/>
        <v>18985000</v>
      </c>
      <c r="P285" s="340"/>
      <c r="S285" s="347"/>
      <c r="T285" s="347"/>
      <c r="U285" s="342"/>
    </row>
    <row r="286" spans="1:21" s="339" customFormat="1" ht="18" customHeight="1" x14ac:dyDescent="0.25">
      <c r="A286" s="366"/>
      <c r="C286" s="366"/>
      <c r="D286" s="367" t="s">
        <v>339</v>
      </c>
      <c r="E286" s="367" t="s">
        <v>340</v>
      </c>
      <c r="F286" s="370">
        <v>2175000</v>
      </c>
      <c r="G286" s="371"/>
      <c r="H286" s="371"/>
      <c r="I286" s="371"/>
      <c r="J286" s="371"/>
      <c r="K286" s="371"/>
      <c r="L286" s="371">
        <f t="shared" si="183"/>
        <v>0</v>
      </c>
      <c r="M286" s="371">
        <f t="shared" si="184"/>
        <v>0</v>
      </c>
      <c r="N286" s="370">
        <f t="shared" si="182"/>
        <v>2175000</v>
      </c>
      <c r="P286" s="340"/>
      <c r="S286" s="347"/>
      <c r="T286" s="347"/>
      <c r="U286" s="342"/>
    </row>
    <row r="287" spans="1:21" s="339" customFormat="1" ht="18" customHeight="1" x14ac:dyDescent="0.25">
      <c r="A287" s="366"/>
      <c r="C287" s="366"/>
      <c r="D287" s="367" t="s">
        <v>367</v>
      </c>
      <c r="E287" s="367" t="s">
        <v>368</v>
      </c>
      <c r="F287" s="370">
        <v>55592100</v>
      </c>
      <c r="G287" s="371">
        <v>55020675</v>
      </c>
      <c r="H287" s="371"/>
      <c r="I287" s="371">
        <f>+G287+H287</f>
        <v>55020675</v>
      </c>
      <c r="J287" s="371"/>
      <c r="K287" s="371"/>
      <c r="L287" s="371">
        <f t="shared" si="183"/>
        <v>0</v>
      </c>
      <c r="M287" s="371">
        <f t="shared" si="184"/>
        <v>55020675</v>
      </c>
      <c r="N287" s="370">
        <f t="shared" si="182"/>
        <v>571425</v>
      </c>
      <c r="P287" s="340"/>
      <c r="S287" s="347"/>
      <c r="T287" s="347"/>
      <c r="U287" s="342"/>
    </row>
    <row r="288" spans="1:21" s="339" customFormat="1" ht="22.5" customHeight="1" x14ac:dyDescent="0.25">
      <c r="A288" s="366"/>
      <c r="C288" s="366"/>
      <c r="D288" s="367" t="s">
        <v>369</v>
      </c>
      <c r="E288" s="367" t="s">
        <v>370</v>
      </c>
      <c r="F288" s="370">
        <v>7200000</v>
      </c>
      <c r="G288" s="371"/>
      <c r="H288" s="371"/>
      <c r="I288" s="371"/>
      <c r="J288" s="371"/>
      <c r="K288" s="371"/>
      <c r="L288" s="371">
        <f t="shared" si="183"/>
        <v>0</v>
      </c>
      <c r="M288" s="371">
        <f t="shared" si="184"/>
        <v>0</v>
      </c>
      <c r="N288" s="370">
        <f t="shared" si="182"/>
        <v>7200000</v>
      </c>
      <c r="P288" s="340"/>
      <c r="S288" s="347"/>
      <c r="T288" s="347"/>
      <c r="U288" s="342"/>
    </row>
    <row r="289" spans="1:21" s="339" customFormat="1" ht="18" customHeight="1" x14ac:dyDescent="0.25">
      <c r="A289" s="366"/>
      <c r="C289" s="366"/>
      <c r="D289" s="367" t="s">
        <v>70</v>
      </c>
      <c r="E289" s="367" t="s">
        <v>33</v>
      </c>
      <c r="F289" s="370">
        <v>5000000</v>
      </c>
      <c r="G289" s="371"/>
      <c r="H289" s="371"/>
      <c r="I289" s="371"/>
      <c r="J289" s="371"/>
      <c r="K289" s="371"/>
      <c r="L289" s="371">
        <f t="shared" si="183"/>
        <v>0</v>
      </c>
      <c r="M289" s="371">
        <f t="shared" si="184"/>
        <v>0</v>
      </c>
      <c r="N289" s="370">
        <f t="shared" si="182"/>
        <v>5000000</v>
      </c>
      <c r="P289" s="340"/>
      <c r="S289" s="347"/>
      <c r="T289" s="347"/>
      <c r="U289" s="342"/>
    </row>
    <row r="290" spans="1:21" s="339" customFormat="1" ht="18" customHeight="1" x14ac:dyDescent="0.25">
      <c r="A290" s="366"/>
      <c r="C290" s="366"/>
      <c r="D290" s="367" t="s">
        <v>374</v>
      </c>
      <c r="E290" s="367" t="s">
        <v>375</v>
      </c>
      <c r="F290" s="370">
        <v>2400000</v>
      </c>
      <c r="G290" s="371"/>
      <c r="H290" s="371"/>
      <c r="I290" s="371"/>
      <c r="J290" s="371"/>
      <c r="K290" s="371"/>
      <c r="L290" s="371">
        <f t="shared" si="183"/>
        <v>0</v>
      </c>
      <c r="M290" s="371">
        <f t="shared" si="184"/>
        <v>0</v>
      </c>
      <c r="N290" s="370">
        <f t="shared" si="182"/>
        <v>2400000</v>
      </c>
      <c r="P290" s="340"/>
      <c r="S290" s="347"/>
      <c r="T290" s="347"/>
      <c r="U290" s="342"/>
    </row>
    <row r="291" spans="1:21" s="339" customFormat="1" ht="18" customHeight="1" x14ac:dyDescent="0.25">
      <c r="A291" s="334"/>
      <c r="B291" s="335"/>
      <c r="C291" s="334"/>
      <c r="D291" s="365" t="s">
        <v>271</v>
      </c>
      <c r="E291" s="335" t="s">
        <v>272</v>
      </c>
      <c r="F291" s="337">
        <f t="shared" ref="F291:J291" si="185">+F292</f>
        <v>955400000</v>
      </c>
      <c r="G291" s="344">
        <f t="shared" si="185"/>
        <v>0</v>
      </c>
      <c r="H291" s="344">
        <f>+H292</f>
        <v>0</v>
      </c>
      <c r="I291" s="344">
        <f>+G291+H291</f>
        <v>0</v>
      </c>
      <c r="J291" s="344">
        <f t="shared" si="185"/>
        <v>242920000</v>
      </c>
      <c r="K291" s="344">
        <f>+K292</f>
        <v>0</v>
      </c>
      <c r="L291" s="344">
        <f t="shared" si="183"/>
        <v>242920000</v>
      </c>
      <c r="M291" s="344">
        <f t="shared" si="184"/>
        <v>242920000</v>
      </c>
      <c r="N291" s="337">
        <f>+F291-M291</f>
        <v>712480000</v>
      </c>
      <c r="P291" s="340"/>
      <c r="S291" s="347"/>
      <c r="T291" s="347"/>
      <c r="U291" s="342"/>
    </row>
    <row r="292" spans="1:21" s="339" customFormat="1" ht="18" customHeight="1" x14ac:dyDescent="0.25">
      <c r="A292" s="334"/>
      <c r="B292" s="352"/>
      <c r="C292" s="334"/>
      <c r="D292" s="335" t="s">
        <v>81</v>
      </c>
      <c r="E292" s="335" t="s">
        <v>31</v>
      </c>
      <c r="F292" s="337">
        <f>SUM(F293:F296)</f>
        <v>955400000</v>
      </c>
      <c r="G292" s="344">
        <f>SUM(G293:G296)</f>
        <v>0</v>
      </c>
      <c r="H292" s="344">
        <f>SUM(H293:H296)</f>
        <v>0</v>
      </c>
      <c r="I292" s="344">
        <f>+G292+H292</f>
        <v>0</v>
      </c>
      <c r="J292" s="344">
        <f>SUM(J293:J296)</f>
        <v>242920000</v>
      </c>
      <c r="K292" s="344">
        <f>SUM(K293:K296)</f>
        <v>0</v>
      </c>
      <c r="L292" s="344">
        <f t="shared" si="183"/>
        <v>242920000</v>
      </c>
      <c r="M292" s="344">
        <f t="shared" si="184"/>
        <v>242920000</v>
      </c>
      <c r="N292" s="337">
        <f>+F292-M292</f>
        <v>712480000</v>
      </c>
      <c r="P292" s="340"/>
      <c r="S292" s="347"/>
      <c r="T292" s="347"/>
      <c r="U292" s="342"/>
    </row>
    <row r="293" spans="1:21" s="339" customFormat="1" ht="18" customHeight="1" x14ac:dyDescent="0.25">
      <c r="A293" s="334"/>
      <c r="B293" s="352"/>
      <c r="C293" s="334"/>
      <c r="D293" s="335" t="s">
        <v>100</v>
      </c>
      <c r="E293" s="335" t="s">
        <v>101</v>
      </c>
      <c r="F293" s="337">
        <v>336000000</v>
      </c>
      <c r="G293" s="344"/>
      <c r="H293" s="344"/>
      <c r="I293" s="344">
        <f t="shared" ref="I293:I294" si="186">+G293+H293</f>
        <v>0</v>
      </c>
      <c r="J293" s="344"/>
      <c r="K293" s="344"/>
      <c r="L293" s="344">
        <f t="shared" si="183"/>
        <v>0</v>
      </c>
      <c r="M293" s="344">
        <f>+I293+L293</f>
        <v>0</v>
      </c>
      <c r="N293" s="337">
        <f t="shared" ref="N293:N296" si="187">+F293-M293</f>
        <v>336000000</v>
      </c>
      <c r="P293" s="340"/>
      <c r="S293" s="347"/>
      <c r="T293" s="347"/>
      <c r="U293" s="342"/>
    </row>
    <row r="294" spans="1:21" s="339" customFormat="1" ht="18" customHeight="1" x14ac:dyDescent="0.25">
      <c r="A294" s="334"/>
      <c r="B294" s="352"/>
      <c r="C294" s="334"/>
      <c r="D294" s="335" t="s">
        <v>474</v>
      </c>
      <c r="E294" s="335" t="s">
        <v>475</v>
      </c>
      <c r="F294" s="337">
        <v>350000000</v>
      </c>
      <c r="G294" s="344"/>
      <c r="H294" s="344"/>
      <c r="I294" s="344">
        <f t="shared" si="186"/>
        <v>0</v>
      </c>
      <c r="J294" s="344"/>
      <c r="K294" s="344"/>
      <c r="L294" s="344">
        <f t="shared" si="183"/>
        <v>0</v>
      </c>
      <c r="M294" s="344">
        <f>+I294+L294</f>
        <v>0</v>
      </c>
      <c r="N294" s="337">
        <f t="shared" si="187"/>
        <v>350000000</v>
      </c>
      <c r="P294" s="340"/>
      <c r="S294" s="347"/>
      <c r="T294" s="347"/>
      <c r="U294" s="342"/>
    </row>
    <row r="295" spans="1:21" s="339" customFormat="1" ht="18" customHeight="1" x14ac:dyDescent="0.25">
      <c r="A295" s="334"/>
      <c r="B295" s="352"/>
      <c r="C295" s="334"/>
      <c r="D295" s="335" t="s">
        <v>376</v>
      </c>
      <c r="E295" s="335" t="s">
        <v>377</v>
      </c>
      <c r="F295" s="337">
        <v>268800000</v>
      </c>
      <c r="G295" s="344">
        <v>0</v>
      </c>
      <c r="H295" s="344"/>
      <c r="I295" s="344">
        <f>+G295+H295</f>
        <v>0</v>
      </c>
      <c r="J295" s="344">
        <v>242920000</v>
      </c>
      <c r="K295" s="344"/>
      <c r="L295" s="344">
        <f t="shared" si="183"/>
        <v>242920000</v>
      </c>
      <c r="M295" s="344">
        <f>+I295+L295</f>
        <v>242920000</v>
      </c>
      <c r="N295" s="337">
        <f t="shared" si="187"/>
        <v>25880000</v>
      </c>
      <c r="P295" s="340"/>
      <c r="S295" s="347"/>
      <c r="T295" s="347"/>
      <c r="U295" s="342"/>
    </row>
    <row r="296" spans="1:21" s="339" customFormat="1" ht="18" customHeight="1" x14ac:dyDescent="0.25">
      <c r="A296" s="334"/>
      <c r="B296" s="352"/>
      <c r="C296" s="334"/>
      <c r="D296" s="335" t="s">
        <v>378</v>
      </c>
      <c r="E296" s="335" t="s">
        <v>379</v>
      </c>
      <c r="F296" s="337">
        <v>600000</v>
      </c>
      <c r="G296" s="344"/>
      <c r="H296" s="344"/>
      <c r="I296" s="344"/>
      <c r="J296" s="344"/>
      <c r="K296" s="344"/>
      <c r="L296" s="344">
        <f t="shared" si="183"/>
        <v>0</v>
      </c>
      <c r="M296" s="344">
        <f>+I296+L296</f>
        <v>0</v>
      </c>
      <c r="N296" s="337">
        <f t="shared" si="187"/>
        <v>600000</v>
      </c>
      <c r="P296" s="340"/>
      <c r="S296" s="347"/>
      <c r="T296" s="347"/>
      <c r="U296" s="342"/>
    </row>
    <row r="297" spans="1:21" s="388" customFormat="1" ht="18" customHeight="1" x14ac:dyDescent="0.25">
      <c r="A297" s="393"/>
      <c r="B297" s="393"/>
      <c r="C297" s="393"/>
      <c r="D297" s="393"/>
      <c r="E297" s="393"/>
      <c r="F297" s="394"/>
      <c r="G297" s="395"/>
      <c r="H297" s="395"/>
      <c r="I297" s="395"/>
      <c r="J297" s="395"/>
      <c r="K297" s="395"/>
      <c r="L297" s="395"/>
      <c r="M297" s="395"/>
      <c r="N297" s="394"/>
      <c r="P297" s="200"/>
      <c r="S297" s="221"/>
      <c r="T297" s="221"/>
      <c r="U297" s="389"/>
    </row>
    <row r="298" spans="1:21" s="319" customFormat="1" ht="21" customHeight="1" x14ac:dyDescent="0.25">
      <c r="A298" s="276"/>
      <c r="B298" s="305" t="s">
        <v>342</v>
      </c>
      <c r="C298" s="305"/>
      <c r="D298" s="305"/>
      <c r="E298" s="396" t="s">
        <v>341</v>
      </c>
      <c r="F298" s="359">
        <f>+F299+F312+F331+F337+F343</f>
        <v>2394721000</v>
      </c>
      <c r="G298" s="360">
        <f>+G299+G312+G331+G337+G343</f>
        <v>0</v>
      </c>
      <c r="H298" s="360">
        <f>+H299+H312+H331+H337+H343</f>
        <v>0</v>
      </c>
      <c r="I298" s="360">
        <f t="shared" ref="I298:I303" si="188">+G298+H298</f>
        <v>0</v>
      </c>
      <c r="J298" s="360">
        <f>+J299+J312+J331+J337+J343</f>
        <v>195836254</v>
      </c>
      <c r="K298" s="360">
        <f>+K299+K312+K331+K337+K343</f>
        <v>64760354</v>
      </c>
      <c r="L298" s="360">
        <f>+J298+K298</f>
        <v>260596608</v>
      </c>
      <c r="M298" s="360">
        <f t="shared" ref="M298" si="189">+I298+L298</f>
        <v>260596608</v>
      </c>
      <c r="N298" s="359">
        <f t="shared" ref="N298" si="190">+F298-M298</f>
        <v>2134124392</v>
      </c>
      <c r="P298" s="361"/>
      <c r="S298" s="362"/>
      <c r="T298" s="362"/>
      <c r="U298" s="350"/>
    </row>
    <row r="299" spans="1:21" s="319" customFormat="1" ht="35.25" customHeight="1" x14ac:dyDescent="0.25">
      <c r="A299" s="275">
        <v>16</v>
      </c>
      <c r="B299" s="314"/>
      <c r="C299" s="314" t="s">
        <v>476</v>
      </c>
      <c r="D299" s="315"/>
      <c r="E299" s="348" t="s">
        <v>477</v>
      </c>
      <c r="F299" s="317">
        <f t="shared" ref="F299:H300" si="191">+F300</f>
        <v>690000000</v>
      </c>
      <c r="G299" s="318">
        <f t="shared" si="191"/>
        <v>0</v>
      </c>
      <c r="H299" s="318">
        <f t="shared" si="191"/>
        <v>0</v>
      </c>
      <c r="I299" s="318">
        <f t="shared" si="188"/>
        <v>0</v>
      </c>
      <c r="J299" s="318">
        <f>+J300</f>
        <v>72934254</v>
      </c>
      <c r="K299" s="318">
        <f>+K300</f>
        <v>36410354</v>
      </c>
      <c r="L299" s="318">
        <f>+J299+K299</f>
        <v>109344608</v>
      </c>
      <c r="M299" s="318">
        <f>+I299+L299</f>
        <v>109344608</v>
      </c>
      <c r="N299" s="317">
        <f>+F299-M299</f>
        <v>580655392</v>
      </c>
      <c r="P299" s="320"/>
      <c r="R299" s="321"/>
      <c r="S299" s="349"/>
      <c r="T299" s="349"/>
      <c r="U299" s="350"/>
    </row>
    <row r="300" spans="1:21" s="329" customFormat="1" ht="18" customHeight="1" x14ac:dyDescent="0.25">
      <c r="A300" s="323"/>
      <c r="B300" s="324"/>
      <c r="C300" s="324"/>
      <c r="D300" s="325" t="s">
        <v>207</v>
      </c>
      <c r="E300" s="326" t="s">
        <v>262</v>
      </c>
      <c r="F300" s="327">
        <f t="shared" si="191"/>
        <v>690000000</v>
      </c>
      <c r="G300" s="328">
        <f t="shared" si="191"/>
        <v>0</v>
      </c>
      <c r="H300" s="328">
        <f t="shared" si="191"/>
        <v>0</v>
      </c>
      <c r="I300" s="328">
        <f t="shared" si="188"/>
        <v>0</v>
      </c>
      <c r="J300" s="328">
        <f>+J301</f>
        <v>72934254</v>
      </c>
      <c r="K300" s="328">
        <f>+K301</f>
        <v>36410354</v>
      </c>
      <c r="L300" s="328">
        <f t="shared" ref="L300:L304" si="192">+J300+K300</f>
        <v>109344608</v>
      </c>
      <c r="M300" s="328">
        <f t="shared" ref="M300:M311" si="193">+I300+L300</f>
        <v>109344608</v>
      </c>
      <c r="N300" s="327">
        <f t="shared" ref="N300:N311" si="194">+F300-M300</f>
        <v>580655392</v>
      </c>
      <c r="P300" s="330"/>
      <c r="R300" s="331"/>
      <c r="S300" s="351"/>
      <c r="T300" s="351"/>
      <c r="U300" s="333"/>
    </row>
    <row r="301" spans="1:21" s="381" customFormat="1" ht="18" customHeight="1" x14ac:dyDescent="0.25">
      <c r="A301" s="384"/>
      <c r="B301" s="397"/>
      <c r="C301" s="384"/>
      <c r="D301" s="335" t="s">
        <v>63</v>
      </c>
      <c r="E301" s="335" t="s">
        <v>30</v>
      </c>
      <c r="F301" s="337">
        <f>+F302+F305+F309</f>
        <v>690000000</v>
      </c>
      <c r="G301" s="344">
        <f>+G302+G305+G309</f>
        <v>0</v>
      </c>
      <c r="H301" s="344">
        <f>+H302+H305+H309</f>
        <v>0</v>
      </c>
      <c r="I301" s="344">
        <f t="shared" si="188"/>
        <v>0</v>
      </c>
      <c r="J301" s="344">
        <f>+J302+J305+J309</f>
        <v>72934254</v>
      </c>
      <c r="K301" s="344">
        <f>+K302+K305+K309</f>
        <v>36410354</v>
      </c>
      <c r="L301" s="344">
        <f t="shared" si="192"/>
        <v>109344608</v>
      </c>
      <c r="M301" s="344">
        <f t="shared" si="193"/>
        <v>109344608</v>
      </c>
      <c r="N301" s="337">
        <f t="shared" si="194"/>
        <v>580655392</v>
      </c>
      <c r="P301" s="340"/>
      <c r="S301" s="347"/>
      <c r="T301" s="347"/>
      <c r="U301" s="382"/>
    </row>
    <row r="302" spans="1:21" s="339" customFormat="1" ht="18" customHeight="1" x14ac:dyDescent="0.25">
      <c r="A302" s="334"/>
      <c r="B302" s="335"/>
      <c r="C302" s="335"/>
      <c r="D302" s="365" t="s">
        <v>263</v>
      </c>
      <c r="E302" s="335" t="s">
        <v>264</v>
      </c>
      <c r="F302" s="337">
        <f>+F303</f>
        <v>435000000</v>
      </c>
      <c r="G302" s="344">
        <f>+G303</f>
        <v>0</v>
      </c>
      <c r="H302" s="344">
        <f>+H303</f>
        <v>0</v>
      </c>
      <c r="I302" s="344">
        <f t="shared" si="188"/>
        <v>0</v>
      </c>
      <c r="J302" s="344">
        <f>+J303</f>
        <v>31531426</v>
      </c>
      <c r="K302" s="344">
        <f>+K303</f>
        <v>13091854</v>
      </c>
      <c r="L302" s="344">
        <f t="shared" si="192"/>
        <v>44623280</v>
      </c>
      <c r="M302" s="344">
        <f t="shared" si="193"/>
        <v>44623280</v>
      </c>
      <c r="N302" s="337">
        <f t="shared" si="194"/>
        <v>390376720</v>
      </c>
      <c r="P302" s="340"/>
      <c r="S302" s="347"/>
      <c r="T302" s="347"/>
      <c r="U302" s="342"/>
    </row>
    <row r="303" spans="1:21" s="381" customFormat="1" ht="18" customHeight="1" x14ac:dyDescent="0.25">
      <c r="A303" s="384"/>
      <c r="B303" s="397"/>
      <c r="C303" s="384"/>
      <c r="D303" s="335" t="s">
        <v>64</v>
      </c>
      <c r="E303" s="335" t="s">
        <v>65</v>
      </c>
      <c r="F303" s="337">
        <f>F304</f>
        <v>435000000</v>
      </c>
      <c r="G303" s="344">
        <f>+G304</f>
        <v>0</v>
      </c>
      <c r="H303" s="344">
        <f>+H304</f>
        <v>0</v>
      </c>
      <c r="I303" s="344">
        <f t="shared" si="188"/>
        <v>0</v>
      </c>
      <c r="J303" s="344">
        <f>+J304</f>
        <v>31531426</v>
      </c>
      <c r="K303" s="344">
        <f>+K304</f>
        <v>13091854</v>
      </c>
      <c r="L303" s="344">
        <f t="shared" si="192"/>
        <v>44623280</v>
      </c>
      <c r="M303" s="344">
        <f t="shared" si="193"/>
        <v>44623280</v>
      </c>
      <c r="N303" s="337">
        <f t="shared" si="194"/>
        <v>390376720</v>
      </c>
      <c r="P303" s="340"/>
      <c r="S303" s="347"/>
      <c r="T303" s="347"/>
      <c r="U303" s="382"/>
    </row>
    <row r="304" spans="1:21" s="339" customFormat="1" ht="18" customHeight="1" x14ac:dyDescent="0.25">
      <c r="A304" s="384"/>
      <c r="B304" s="397"/>
      <c r="C304" s="334"/>
      <c r="D304" s="335" t="s">
        <v>129</v>
      </c>
      <c r="E304" s="335" t="s">
        <v>130</v>
      </c>
      <c r="F304" s="337">
        <v>435000000</v>
      </c>
      <c r="G304" s="398"/>
      <c r="H304" s="398"/>
      <c r="I304" s="398"/>
      <c r="J304" s="344">
        <v>31531426</v>
      </c>
      <c r="K304" s="344">
        <v>13091854</v>
      </c>
      <c r="L304" s="344">
        <f t="shared" si="192"/>
        <v>44623280</v>
      </c>
      <c r="M304" s="344">
        <f t="shared" si="193"/>
        <v>44623280</v>
      </c>
      <c r="N304" s="337">
        <f t="shared" si="194"/>
        <v>390376720</v>
      </c>
      <c r="P304" s="340"/>
      <c r="S304" s="346">
        <f>768000+192000+664760+278400+400000+800814+343880+279300+904400+904400+704900+279300+279300+826300+828300+831300+835300+837900+833300+450000+850000</f>
        <v>13091854</v>
      </c>
      <c r="T304" s="347"/>
      <c r="U304" s="342"/>
    </row>
    <row r="305" spans="1:21" s="339" customFormat="1" ht="20.25" x14ac:dyDescent="0.25">
      <c r="A305" s="334"/>
      <c r="B305" s="335"/>
      <c r="C305" s="335"/>
      <c r="D305" s="365" t="s">
        <v>271</v>
      </c>
      <c r="E305" s="335" t="s">
        <v>272</v>
      </c>
      <c r="F305" s="337">
        <f>+F306</f>
        <v>79500000</v>
      </c>
      <c r="G305" s="344">
        <f>+G306</f>
        <v>0</v>
      </c>
      <c r="H305" s="344">
        <f>+H306</f>
        <v>0</v>
      </c>
      <c r="I305" s="344">
        <f t="shared" ref="I305:I316" si="195">+G305+H305</f>
        <v>0</v>
      </c>
      <c r="J305" s="344">
        <f>+J306</f>
        <v>9778700</v>
      </c>
      <c r="K305" s="344">
        <f>+K306</f>
        <v>1988500</v>
      </c>
      <c r="L305" s="344">
        <f>+J305+K305</f>
        <v>11767200</v>
      </c>
      <c r="M305" s="344">
        <f t="shared" si="193"/>
        <v>11767200</v>
      </c>
      <c r="N305" s="337">
        <f t="shared" si="194"/>
        <v>67732800</v>
      </c>
      <c r="P305" s="340"/>
      <c r="S305" s="346"/>
      <c r="T305" s="347"/>
      <c r="U305" s="342"/>
    </row>
    <row r="306" spans="1:21" s="381" customFormat="1" ht="18" customHeight="1" x14ac:dyDescent="0.25">
      <c r="A306" s="334"/>
      <c r="B306" s="352"/>
      <c r="C306" s="334"/>
      <c r="D306" s="335" t="s">
        <v>81</v>
      </c>
      <c r="E306" s="335" t="s">
        <v>31</v>
      </c>
      <c r="F306" s="337">
        <f>F308+F307</f>
        <v>79500000</v>
      </c>
      <c r="G306" s="344">
        <f>SUM(G307:G308)</f>
        <v>0</v>
      </c>
      <c r="H306" s="344">
        <f>SUM(H307:H308)</f>
        <v>0</v>
      </c>
      <c r="I306" s="344">
        <f t="shared" si="195"/>
        <v>0</v>
      </c>
      <c r="J306" s="344">
        <f>SUM(J307:J308)</f>
        <v>9778700</v>
      </c>
      <c r="K306" s="344">
        <f>SUM(K307:K308)</f>
        <v>1988500</v>
      </c>
      <c r="L306" s="344">
        <f>+J306+K306</f>
        <v>11767200</v>
      </c>
      <c r="M306" s="344">
        <f t="shared" si="193"/>
        <v>11767200</v>
      </c>
      <c r="N306" s="337">
        <f t="shared" si="194"/>
        <v>67732800</v>
      </c>
      <c r="P306" s="340"/>
      <c r="R306" s="385"/>
      <c r="S306" s="346"/>
      <c r="T306" s="347"/>
      <c r="U306" s="382"/>
    </row>
    <row r="307" spans="1:21" s="381" customFormat="1" ht="18" customHeight="1" x14ac:dyDescent="0.25">
      <c r="A307" s="334"/>
      <c r="B307" s="352"/>
      <c r="C307" s="334"/>
      <c r="D307" s="335" t="s">
        <v>82</v>
      </c>
      <c r="E307" s="335" t="s">
        <v>83</v>
      </c>
      <c r="F307" s="337">
        <v>18000000</v>
      </c>
      <c r="G307" s="344"/>
      <c r="H307" s="344"/>
      <c r="I307" s="344">
        <f t="shared" si="195"/>
        <v>0</v>
      </c>
      <c r="J307" s="344">
        <v>4200000</v>
      </c>
      <c r="K307" s="344"/>
      <c r="L307" s="344">
        <f>J307+K307</f>
        <v>4200000</v>
      </c>
      <c r="M307" s="344">
        <f t="shared" si="193"/>
        <v>4200000</v>
      </c>
      <c r="N307" s="337">
        <f t="shared" si="194"/>
        <v>13800000</v>
      </c>
      <c r="P307" s="340"/>
      <c r="S307" s="346"/>
      <c r="T307" s="347"/>
      <c r="U307" s="382"/>
    </row>
    <row r="308" spans="1:21" s="381" customFormat="1" ht="18" customHeight="1" x14ac:dyDescent="0.25">
      <c r="A308" s="334"/>
      <c r="B308" s="352"/>
      <c r="C308" s="334"/>
      <c r="D308" s="335" t="s">
        <v>343</v>
      </c>
      <c r="E308" s="335" t="s">
        <v>344</v>
      </c>
      <c r="F308" s="337">
        <v>61500000</v>
      </c>
      <c r="G308" s="344"/>
      <c r="H308" s="344"/>
      <c r="I308" s="344">
        <f t="shared" si="195"/>
        <v>0</v>
      </c>
      <c r="J308" s="344">
        <v>5578700</v>
      </c>
      <c r="K308" s="344">
        <v>1988500</v>
      </c>
      <c r="L308" s="344">
        <f>J308+K308</f>
        <v>7567200</v>
      </c>
      <c r="M308" s="344">
        <f t="shared" si="193"/>
        <v>7567200</v>
      </c>
      <c r="N308" s="337">
        <f t="shared" si="194"/>
        <v>53932800</v>
      </c>
      <c r="P308" s="340"/>
      <c r="S308" s="346">
        <v>1988500</v>
      </c>
      <c r="T308" s="347"/>
      <c r="U308" s="382"/>
    </row>
    <row r="309" spans="1:21" s="339" customFormat="1" ht="20.25" x14ac:dyDescent="0.25">
      <c r="A309" s="334"/>
      <c r="B309" s="335"/>
      <c r="C309" s="334"/>
      <c r="D309" s="365" t="s">
        <v>275</v>
      </c>
      <c r="E309" s="335" t="s">
        <v>276</v>
      </c>
      <c r="F309" s="337">
        <f>+F310</f>
        <v>175500000</v>
      </c>
      <c r="G309" s="344">
        <f>+G310</f>
        <v>0</v>
      </c>
      <c r="H309" s="344">
        <f>+H310</f>
        <v>0</v>
      </c>
      <c r="I309" s="344">
        <f t="shared" si="195"/>
        <v>0</v>
      </c>
      <c r="J309" s="344">
        <f>+J310</f>
        <v>31624128</v>
      </c>
      <c r="K309" s="344">
        <f>+K310</f>
        <v>21330000</v>
      </c>
      <c r="L309" s="344">
        <f>+J309+K309</f>
        <v>52954128</v>
      </c>
      <c r="M309" s="344">
        <f t="shared" si="193"/>
        <v>52954128</v>
      </c>
      <c r="N309" s="337">
        <f t="shared" si="194"/>
        <v>122545872</v>
      </c>
      <c r="P309" s="340"/>
      <c r="S309" s="346"/>
      <c r="T309" s="347"/>
      <c r="U309" s="342"/>
    </row>
    <row r="310" spans="1:21" s="381" customFormat="1" ht="18" customHeight="1" x14ac:dyDescent="0.25">
      <c r="A310" s="334"/>
      <c r="B310" s="352"/>
      <c r="C310" s="334"/>
      <c r="D310" s="335" t="s">
        <v>114</v>
      </c>
      <c r="E310" s="335" t="s">
        <v>43</v>
      </c>
      <c r="F310" s="337">
        <f>+F311</f>
        <v>175500000</v>
      </c>
      <c r="G310" s="344">
        <f>SUM(G311)</f>
        <v>0</v>
      </c>
      <c r="H310" s="344">
        <f>SUM(H311)</f>
        <v>0</v>
      </c>
      <c r="I310" s="344">
        <f t="shared" si="195"/>
        <v>0</v>
      </c>
      <c r="J310" s="344">
        <f>SUM(J311)</f>
        <v>31624128</v>
      </c>
      <c r="K310" s="344">
        <f>SUM(K311)</f>
        <v>21330000</v>
      </c>
      <c r="L310" s="344">
        <f>+J310+K310</f>
        <v>52954128</v>
      </c>
      <c r="M310" s="344">
        <f t="shared" si="193"/>
        <v>52954128</v>
      </c>
      <c r="N310" s="337">
        <f t="shared" si="194"/>
        <v>122545872</v>
      </c>
      <c r="P310" s="340"/>
      <c r="R310" s="385"/>
      <c r="S310" s="346"/>
      <c r="T310" s="347"/>
      <c r="U310" s="382"/>
    </row>
    <row r="311" spans="1:21" s="388" customFormat="1" ht="33.75" customHeight="1" x14ac:dyDescent="0.25">
      <c r="A311" s="372"/>
      <c r="B311" s="153"/>
      <c r="C311" s="372"/>
      <c r="D311" s="373" t="s">
        <v>345</v>
      </c>
      <c r="E311" s="375" t="s">
        <v>346</v>
      </c>
      <c r="F311" s="376">
        <v>175500000</v>
      </c>
      <c r="G311" s="377"/>
      <c r="H311" s="377"/>
      <c r="I311" s="371">
        <f t="shared" si="195"/>
        <v>0</v>
      </c>
      <c r="J311" s="377">
        <v>31624128</v>
      </c>
      <c r="K311" s="377">
        <f>14680000+1600000+1600000+1600000+900000+950000</f>
        <v>21330000</v>
      </c>
      <c r="L311" s="377">
        <f>J311+K311</f>
        <v>52954128</v>
      </c>
      <c r="M311" s="377">
        <f t="shared" si="193"/>
        <v>52954128</v>
      </c>
      <c r="N311" s="376">
        <f t="shared" si="194"/>
        <v>122545872</v>
      </c>
      <c r="P311" s="200"/>
      <c r="S311" s="358">
        <f>1600000+1600000+1600000+1850000+14680000</f>
        <v>21330000</v>
      </c>
      <c r="T311" s="221"/>
      <c r="U311" s="389"/>
    </row>
    <row r="312" spans="1:21" s="319" customFormat="1" ht="22.5" customHeight="1" x14ac:dyDescent="0.25">
      <c r="A312" s="275">
        <v>17</v>
      </c>
      <c r="B312" s="314"/>
      <c r="C312" s="314" t="s">
        <v>143</v>
      </c>
      <c r="D312" s="315"/>
      <c r="E312" s="348" t="s">
        <v>144</v>
      </c>
      <c r="F312" s="317">
        <f t="shared" ref="F312:H313" si="196">+F313</f>
        <v>1024733000</v>
      </c>
      <c r="G312" s="318">
        <f t="shared" si="196"/>
        <v>0</v>
      </c>
      <c r="H312" s="318">
        <f t="shared" si="196"/>
        <v>0</v>
      </c>
      <c r="I312" s="318">
        <f t="shared" si="195"/>
        <v>0</v>
      </c>
      <c r="J312" s="318">
        <f>+J313</f>
        <v>102902000</v>
      </c>
      <c r="K312" s="318">
        <f>+K313</f>
        <v>28350000</v>
      </c>
      <c r="L312" s="318">
        <f>+J312+K312</f>
        <v>131252000</v>
      </c>
      <c r="M312" s="318">
        <f>+I312+L312</f>
        <v>131252000</v>
      </c>
      <c r="N312" s="317">
        <f>+F312-M312</f>
        <v>893481000</v>
      </c>
      <c r="P312" s="320"/>
      <c r="R312" s="321"/>
      <c r="S312" s="349"/>
      <c r="T312" s="349"/>
      <c r="U312" s="350"/>
    </row>
    <row r="313" spans="1:21" s="329" customFormat="1" ht="18" customHeight="1" x14ac:dyDescent="0.25">
      <c r="A313" s="323"/>
      <c r="B313" s="324"/>
      <c r="C313" s="324"/>
      <c r="D313" s="325" t="s">
        <v>207</v>
      </c>
      <c r="E313" s="326" t="s">
        <v>262</v>
      </c>
      <c r="F313" s="327">
        <f t="shared" si="196"/>
        <v>1024733000</v>
      </c>
      <c r="G313" s="328">
        <f t="shared" si="196"/>
        <v>0</v>
      </c>
      <c r="H313" s="328">
        <f t="shared" si="196"/>
        <v>0</v>
      </c>
      <c r="I313" s="328">
        <f t="shared" si="195"/>
        <v>0</v>
      </c>
      <c r="J313" s="328">
        <f>+J314</f>
        <v>102902000</v>
      </c>
      <c r="K313" s="328">
        <f>+K314</f>
        <v>28350000</v>
      </c>
      <c r="L313" s="328">
        <f>+J313+K313</f>
        <v>131252000</v>
      </c>
      <c r="M313" s="328">
        <f t="shared" ref="M313:M330" si="197">+I313+L313</f>
        <v>131252000</v>
      </c>
      <c r="N313" s="327">
        <f t="shared" ref="N313:N330" si="198">+F313-M313</f>
        <v>893481000</v>
      </c>
      <c r="P313" s="330"/>
      <c r="R313" s="331"/>
      <c r="S313" s="351"/>
      <c r="T313" s="351"/>
      <c r="U313" s="333"/>
    </row>
    <row r="314" spans="1:21" s="381" customFormat="1" ht="18" customHeight="1" x14ac:dyDescent="0.25">
      <c r="A314" s="384"/>
      <c r="B314" s="397"/>
      <c r="C314" s="384"/>
      <c r="D314" s="335" t="s">
        <v>63</v>
      </c>
      <c r="E314" s="335" t="s">
        <v>30</v>
      </c>
      <c r="F314" s="337">
        <f>+F315+F319+F322</f>
        <v>1024733000</v>
      </c>
      <c r="G314" s="344">
        <f>+G315+G319+G322</f>
        <v>0</v>
      </c>
      <c r="H314" s="344">
        <f>+H315+H319+H322</f>
        <v>0</v>
      </c>
      <c r="I314" s="344">
        <f t="shared" si="195"/>
        <v>0</v>
      </c>
      <c r="J314" s="344">
        <f>+J315+J319+J322</f>
        <v>102902000</v>
      </c>
      <c r="K314" s="344">
        <f>+K315+K319+K322</f>
        <v>28350000</v>
      </c>
      <c r="L314" s="344">
        <f>+J314+K314</f>
        <v>131252000</v>
      </c>
      <c r="M314" s="344">
        <f t="shared" si="197"/>
        <v>131252000</v>
      </c>
      <c r="N314" s="337">
        <f t="shared" si="198"/>
        <v>893481000</v>
      </c>
      <c r="P314" s="340"/>
      <c r="S314" s="347"/>
      <c r="T314" s="347"/>
      <c r="U314" s="382"/>
    </row>
    <row r="315" spans="1:21" s="339" customFormat="1" ht="18" customHeight="1" x14ac:dyDescent="0.25">
      <c r="A315" s="334"/>
      <c r="B315" s="335"/>
      <c r="C315" s="335"/>
      <c r="D315" s="365" t="s">
        <v>263</v>
      </c>
      <c r="E315" s="335" t="s">
        <v>264</v>
      </c>
      <c r="F315" s="337">
        <f>+F316</f>
        <v>160643000</v>
      </c>
      <c r="G315" s="344">
        <f>+G316</f>
        <v>0</v>
      </c>
      <c r="H315" s="344">
        <f>+H316</f>
        <v>0</v>
      </c>
      <c r="I315" s="344">
        <f t="shared" si="195"/>
        <v>0</v>
      </c>
      <c r="J315" s="344">
        <f>+J316</f>
        <v>30483000</v>
      </c>
      <c r="K315" s="344">
        <f>+K316</f>
        <v>10130000</v>
      </c>
      <c r="L315" s="344">
        <f>+J315+K315</f>
        <v>40613000</v>
      </c>
      <c r="M315" s="344">
        <f t="shared" si="197"/>
        <v>40613000</v>
      </c>
      <c r="N315" s="337">
        <f t="shared" si="198"/>
        <v>120030000</v>
      </c>
      <c r="P315" s="340"/>
      <c r="S315" s="347"/>
      <c r="T315" s="347"/>
      <c r="U315" s="342"/>
    </row>
    <row r="316" spans="1:21" s="381" customFormat="1" ht="18" customHeight="1" x14ac:dyDescent="0.25">
      <c r="A316" s="384"/>
      <c r="B316" s="397"/>
      <c r="C316" s="384"/>
      <c r="D316" s="335" t="s">
        <v>64</v>
      </c>
      <c r="E316" s="335" t="s">
        <v>65</v>
      </c>
      <c r="F316" s="337">
        <f>F317+F318</f>
        <v>160643000</v>
      </c>
      <c r="G316" s="344">
        <f>+G317</f>
        <v>0</v>
      </c>
      <c r="H316" s="344">
        <f>+H317</f>
        <v>0</v>
      </c>
      <c r="I316" s="344">
        <f t="shared" si="195"/>
        <v>0</v>
      </c>
      <c r="J316" s="344">
        <f>+J317</f>
        <v>30483000</v>
      </c>
      <c r="K316" s="344">
        <f>+K317</f>
        <v>10130000</v>
      </c>
      <c r="L316" s="344">
        <f>+J316+K316</f>
        <v>40613000</v>
      </c>
      <c r="M316" s="344">
        <f t="shared" si="197"/>
        <v>40613000</v>
      </c>
      <c r="N316" s="337">
        <f t="shared" si="198"/>
        <v>120030000</v>
      </c>
      <c r="P316" s="340"/>
      <c r="S316" s="347"/>
      <c r="T316" s="347"/>
      <c r="U316" s="382"/>
    </row>
    <row r="317" spans="1:21" s="339" customFormat="1" ht="18" customHeight="1" x14ac:dyDescent="0.25">
      <c r="A317" s="384"/>
      <c r="B317" s="397"/>
      <c r="C317" s="334"/>
      <c r="D317" s="335" t="s">
        <v>339</v>
      </c>
      <c r="E317" s="335" t="s">
        <v>340</v>
      </c>
      <c r="F317" s="337">
        <v>99000000</v>
      </c>
      <c r="G317" s="398"/>
      <c r="H317" s="398"/>
      <c r="I317" s="398"/>
      <c r="J317" s="344">
        <v>30483000</v>
      </c>
      <c r="K317" s="344">
        <v>10130000</v>
      </c>
      <c r="L317" s="344">
        <f t="shared" ref="L317:L330" si="199">+J317+K317</f>
        <v>40613000</v>
      </c>
      <c r="M317" s="344">
        <f t="shared" si="197"/>
        <v>40613000</v>
      </c>
      <c r="N317" s="337">
        <f t="shared" si="198"/>
        <v>58387000</v>
      </c>
      <c r="P317" s="343"/>
      <c r="S317" s="346">
        <f>940000+1960000+1910000+930000+970000+940000+1830000+650000</f>
        <v>10130000</v>
      </c>
      <c r="T317" s="347"/>
      <c r="U317" s="342"/>
    </row>
    <row r="318" spans="1:21" s="339" customFormat="1" ht="18" customHeight="1" x14ac:dyDescent="0.25">
      <c r="A318" s="384"/>
      <c r="B318" s="397"/>
      <c r="C318" s="334"/>
      <c r="D318" s="335" t="s">
        <v>361</v>
      </c>
      <c r="E318" s="335" t="s">
        <v>362</v>
      </c>
      <c r="F318" s="337">
        <v>61643000</v>
      </c>
      <c r="G318" s="398"/>
      <c r="H318" s="398"/>
      <c r="I318" s="398"/>
      <c r="J318" s="344"/>
      <c r="K318" s="344"/>
      <c r="L318" s="344">
        <f t="shared" si="199"/>
        <v>0</v>
      </c>
      <c r="M318" s="344">
        <f t="shared" si="197"/>
        <v>0</v>
      </c>
      <c r="N318" s="337">
        <f t="shared" si="198"/>
        <v>61643000</v>
      </c>
      <c r="P318" s="343"/>
      <c r="S318" s="347"/>
      <c r="T318" s="347"/>
      <c r="U318" s="342"/>
    </row>
    <row r="319" spans="1:21" s="339" customFormat="1" ht="18" customHeight="1" x14ac:dyDescent="0.25">
      <c r="A319" s="334"/>
      <c r="B319" s="335"/>
      <c r="C319" s="335"/>
      <c r="D319" s="365" t="s">
        <v>271</v>
      </c>
      <c r="E319" s="335" t="s">
        <v>272</v>
      </c>
      <c r="F319" s="337">
        <f>+F320</f>
        <v>36480000</v>
      </c>
      <c r="G319" s="344">
        <f>+G320</f>
        <v>0</v>
      </c>
      <c r="H319" s="344">
        <f>+H320</f>
        <v>0</v>
      </c>
      <c r="I319" s="344">
        <f>+G319+H319</f>
        <v>0</v>
      </c>
      <c r="J319" s="344">
        <f>+J320</f>
        <v>4800000</v>
      </c>
      <c r="K319" s="344">
        <f>+K320</f>
        <v>0</v>
      </c>
      <c r="L319" s="344">
        <f t="shared" si="199"/>
        <v>4800000</v>
      </c>
      <c r="M319" s="344">
        <f t="shared" si="197"/>
        <v>4800000</v>
      </c>
      <c r="N319" s="337">
        <f t="shared" si="198"/>
        <v>31680000</v>
      </c>
      <c r="P319" s="343"/>
      <c r="S319" s="347"/>
      <c r="T319" s="347"/>
      <c r="U319" s="342"/>
    </row>
    <row r="320" spans="1:21" s="381" customFormat="1" ht="18" customHeight="1" x14ac:dyDescent="0.25">
      <c r="A320" s="384"/>
      <c r="B320" s="397"/>
      <c r="C320" s="384"/>
      <c r="D320" s="335" t="s">
        <v>81</v>
      </c>
      <c r="E320" s="335" t="s">
        <v>31</v>
      </c>
      <c r="F320" s="337">
        <f>F321</f>
        <v>36480000</v>
      </c>
      <c r="G320" s="344">
        <f>+G321</f>
        <v>0</v>
      </c>
      <c r="H320" s="344">
        <f>+H321</f>
        <v>0</v>
      </c>
      <c r="I320" s="344">
        <f>+G320+H320</f>
        <v>0</v>
      </c>
      <c r="J320" s="344">
        <f>+J321</f>
        <v>4800000</v>
      </c>
      <c r="K320" s="344">
        <f>+K321</f>
        <v>0</v>
      </c>
      <c r="L320" s="344">
        <f t="shared" si="199"/>
        <v>4800000</v>
      </c>
      <c r="M320" s="344">
        <f t="shared" si="197"/>
        <v>4800000</v>
      </c>
      <c r="N320" s="337">
        <f t="shared" si="198"/>
        <v>31680000</v>
      </c>
      <c r="P320" s="343"/>
      <c r="S320" s="347"/>
      <c r="T320" s="347"/>
      <c r="U320" s="382"/>
    </row>
    <row r="321" spans="1:21" s="339" customFormat="1" ht="18" customHeight="1" x14ac:dyDescent="0.25">
      <c r="A321" s="384"/>
      <c r="B321" s="397"/>
      <c r="C321" s="334"/>
      <c r="D321" s="335" t="s">
        <v>82</v>
      </c>
      <c r="E321" s="335" t="s">
        <v>83</v>
      </c>
      <c r="F321" s="337">
        <v>36480000</v>
      </c>
      <c r="G321" s="398"/>
      <c r="H321" s="344"/>
      <c r="I321" s="398"/>
      <c r="J321" s="344">
        <v>4800000</v>
      </c>
      <c r="K321" s="344"/>
      <c r="L321" s="344">
        <f t="shared" si="199"/>
        <v>4800000</v>
      </c>
      <c r="M321" s="344">
        <f t="shared" si="197"/>
        <v>4800000</v>
      </c>
      <c r="N321" s="337">
        <f t="shared" si="198"/>
        <v>31680000</v>
      </c>
      <c r="P321" s="343"/>
      <c r="S321" s="347"/>
      <c r="T321" s="347"/>
      <c r="U321" s="342"/>
    </row>
    <row r="322" spans="1:21" s="339" customFormat="1" ht="18" customHeight="1" x14ac:dyDescent="0.25">
      <c r="A322" s="334"/>
      <c r="B322" s="335"/>
      <c r="C322" s="335"/>
      <c r="D322" s="365" t="s">
        <v>275</v>
      </c>
      <c r="E322" s="335" t="s">
        <v>276</v>
      </c>
      <c r="F322" s="337">
        <f>+F323</f>
        <v>827610000</v>
      </c>
      <c r="G322" s="344">
        <f>+G323</f>
        <v>0</v>
      </c>
      <c r="H322" s="344">
        <f>+H323</f>
        <v>0</v>
      </c>
      <c r="I322" s="344">
        <f>+G322+H322</f>
        <v>0</v>
      </c>
      <c r="J322" s="344">
        <f>+J323</f>
        <v>67619000</v>
      </c>
      <c r="K322" s="344">
        <f>+K323</f>
        <v>18220000</v>
      </c>
      <c r="L322" s="344">
        <f>+J322+K322</f>
        <v>85839000</v>
      </c>
      <c r="M322" s="344">
        <f t="shared" si="197"/>
        <v>85839000</v>
      </c>
      <c r="N322" s="337">
        <f t="shared" si="198"/>
        <v>741771000</v>
      </c>
      <c r="P322" s="343"/>
      <c r="S322" s="347"/>
      <c r="T322" s="347"/>
      <c r="U322" s="342"/>
    </row>
    <row r="323" spans="1:21" s="381" customFormat="1" ht="18" customHeight="1" x14ac:dyDescent="0.25">
      <c r="A323" s="384"/>
      <c r="B323" s="397"/>
      <c r="C323" s="384"/>
      <c r="D323" s="335" t="s">
        <v>114</v>
      </c>
      <c r="E323" s="335" t="s">
        <v>43</v>
      </c>
      <c r="F323" s="337">
        <f>SUM(F324:F330)</f>
        <v>827610000</v>
      </c>
      <c r="G323" s="344">
        <f>SUM(G325:G330)</f>
        <v>0</v>
      </c>
      <c r="H323" s="344">
        <f>SUM(H325:H330)</f>
        <v>0</v>
      </c>
      <c r="I323" s="344">
        <f>+G323+H323</f>
        <v>0</v>
      </c>
      <c r="J323" s="344">
        <f>SUM(J324:J330)</f>
        <v>67619000</v>
      </c>
      <c r="K323" s="344">
        <f>SUM(K324:K330)</f>
        <v>18220000</v>
      </c>
      <c r="L323" s="344">
        <f>+J323+K323</f>
        <v>85839000</v>
      </c>
      <c r="M323" s="344">
        <f t="shared" si="197"/>
        <v>85839000</v>
      </c>
      <c r="N323" s="337">
        <f t="shared" si="198"/>
        <v>741771000</v>
      </c>
      <c r="P323" s="343"/>
      <c r="S323" s="347"/>
      <c r="T323" s="347"/>
      <c r="U323" s="382"/>
    </row>
    <row r="324" spans="1:21" s="339" customFormat="1" ht="27" customHeight="1" x14ac:dyDescent="0.25">
      <c r="A324" s="399"/>
      <c r="B324" s="381"/>
      <c r="C324" s="366"/>
      <c r="D324" s="367" t="s">
        <v>478</v>
      </c>
      <c r="E324" s="369" t="s">
        <v>479</v>
      </c>
      <c r="F324" s="370">
        <v>31700000</v>
      </c>
      <c r="G324" s="400"/>
      <c r="H324" s="400"/>
      <c r="I324" s="400"/>
      <c r="J324" s="371">
        <v>5794000</v>
      </c>
      <c r="K324" s="371"/>
      <c r="L324" s="371">
        <f t="shared" ref="L324" si="200">+J324+K324</f>
        <v>5794000</v>
      </c>
      <c r="M324" s="371">
        <f t="shared" si="197"/>
        <v>5794000</v>
      </c>
      <c r="N324" s="370">
        <f t="shared" si="198"/>
        <v>25906000</v>
      </c>
      <c r="P324" s="343"/>
      <c r="S324" s="347"/>
      <c r="T324" s="347"/>
      <c r="U324" s="342"/>
    </row>
    <row r="325" spans="1:21" s="339" customFormat="1" ht="35.25" customHeight="1" x14ac:dyDescent="0.25">
      <c r="A325" s="399"/>
      <c r="B325" s="381"/>
      <c r="C325" s="366"/>
      <c r="D325" s="367" t="s">
        <v>347</v>
      </c>
      <c r="E325" s="369" t="s">
        <v>348</v>
      </c>
      <c r="F325" s="370">
        <v>8500000</v>
      </c>
      <c r="G325" s="400"/>
      <c r="H325" s="400"/>
      <c r="I325" s="400"/>
      <c r="J325" s="371">
        <v>0</v>
      </c>
      <c r="K325" s="371"/>
      <c r="L325" s="371">
        <f t="shared" si="199"/>
        <v>0</v>
      </c>
      <c r="M325" s="371">
        <f t="shared" si="197"/>
        <v>0</v>
      </c>
      <c r="N325" s="370">
        <f t="shared" si="198"/>
        <v>8500000</v>
      </c>
      <c r="P325" s="343"/>
      <c r="S325" s="347"/>
      <c r="T325" s="347"/>
      <c r="U325" s="342"/>
    </row>
    <row r="326" spans="1:21" s="339" customFormat="1" ht="29.25" customHeight="1" x14ac:dyDescent="0.25">
      <c r="A326" s="399"/>
      <c r="B326" s="381"/>
      <c r="C326" s="367"/>
      <c r="D326" s="367" t="s">
        <v>349</v>
      </c>
      <c r="E326" s="369" t="s">
        <v>350</v>
      </c>
      <c r="F326" s="370">
        <v>99960000</v>
      </c>
      <c r="G326" s="400"/>
      <c r="H326" s="400"/>
      <c r="I326" s="400"/>
      <c r="J326" s="371">
        <v>31245000</v>
      </c>
      <c r="K326" s="371">
        <v>1510000</v>
      </c>
      <c r="L326" s="371">
        <f t="shared" si="199"/>
        <v>32755000</v>
      </c>
      <c r="M326" s="371">
        <f t="shared" si="197"/>
        <v>32755000</v>
      </c>
      <c r="N326" s="370">
        <f>+F326-M326</f>
        <v>67205000</v>
      </c>
      <c r="P326" s="343"/>
      <c r="S326" s="346">
        <v>1510000</v>
      </c>
      <c r="T326" s="347"/>
      <c r="U326" s="342"/>
    </row>
    <row r="327" spans="1:21" s="339" customFormat="1" ht="35.25" customHeight="1" x14ac:dyDescent="0.25">
      <c r="A327" s="399"/>
      <c r="B327" s="381"/>
      <c r="C327" s="367"/>
      <c r="D327" s="367" t="s">
        <v>145</v>
      </c>
      <c r="E327" s="369" t="s">
        <v>351</v>
      </c>
      <c r="F327" s="370">
        <v>73200000</v>
      </c>
      <c r="G327" s="400"/>
      <c r="H327" s="400"/>
      <c r="I327" s="400"/>
      <c r="J327" s="371">
        <v>14650000</v>
      </c>
      <c r="K327" s="371">
        <v>5790000</v>
      </c>
      <c r="L327" s="371">
        <f t="shared" si="199"/>
        <v>20440000</v>
      </c>
      <c r="M327" s="371">
        <f t="shared" si="197"/>
        <v>20440000</v>
      </c>
      <c r="N327" s="370">
        <f>+F327-M327</f>
        <v>52760000</v>
      </c>
      <c r="P327" s="343"/>
      <c r="S327" s="346">
        <f>575000+1250000+2600000+1365000</f>
        <v>5790000</v>
      </c>
      <c r="T327" s="347"/>
      <c r="U327" s="342"/>
    </row>
    <row r="328" spans="1:21" s="339" customFormat="1" ht="18.75" customHeight="1" x14ac:dyDescent="0.25">
      <c r="A328" s="399"/>
      <c r="B328" s="381"/>
      <c r="C328" s="367"/>
      <c r="D328" s="367" t="s">
        <v>115</v>
      </c>
      <c r="E328" s="369" t="s">
        <v>116</v>
      </c>
      <c r="F328" s="370">
        <v>109500000</v>
      </c>
      <c r="G328" s="400"/>
      <c r="H328" s="400"/>
      <c r="I328" s="400"/>
      <c r="J328" s="371">
        <v>10740000</v>
      </c>
      <c r="K328" s="371">
        <v>9705000</v>
      </c>
      <c r="L328" s="371">
        <f t="shared" si="199"/>
        <v>20445000</v>
      </c>
      <c r="M328" s="371">
        <f t="shared" si="197"/>
        <v>20445000</v>
      </c>
      <c r="N328" s="370">
        <f>+F328-M328</f>
        <v>89055000</v>
      </c>
      <c r="P328" s="340"/>
      <c r="S328" s="346">
        <f>995000+170000+395000+75000+650000+65000+480000+850000+225000+350000+750000+440000+570000+1050000+1190000+250000+370000+830000</f>
        <v>9705000</v>
      </c>
      <c r="T328" s="347"/>
      <c r="U328" s="342"/>
    </row>
    <row r="329" spans="1:21" s="339" customFormat="1" ht="21" customHeight="1" x14ac:dyDescent="0.25">
      <c r="A329" s="399"/>
      <c r="B329" s="381"/>
      <c r="C329" s="367"/>
      <c r="D329" s="367" t="s">
        <v>352</v>
      </c>
      <c r="E329" s="369" t="s">
        <v>353</v>
      </c>
      <c r="F329" s="370">
        <v>108500000</v>
      </c>
      <c r="G329" s="400"/>
      <c r="H329" s="400"/>
      <c r="I329" s="400"/>
      <c r="J329" s="371">
        <v>5190000</v>
      </c>
      <c r="K329" s="371">
        <v>1215000</v>
      </c>
      <c r="L329" s="371">
        <f t="shared" si="199"/>
        <v>6405000</v>
      </c>
      <c r="M329" s="371">
        <f t="shared" si="197"/>
        <v>6405000</v>
      </c>
      <c r="N329" s="370">
        <f t="shared" si="198"/>
        <v>102095000</v>
      </c>
      <c r="P329" s="340"/>
      <c r="S329" s="346">
        <f>450000+110000+555000+100000</f>
        <v>1215000</v>
      </c>
      <c r="T329" s="347"/>
      <c r="U329" s="342"/>
    </row>
    <row r="330" spans="1:21" s="153" customFormat="1" ht="18" customHeight="1" x14ac:dyDescent="0.25">
      <c r="A330" s="393"/>
      <c r="B330" s="401"/>
      <c r="C330" s="355"/>
      <c r="D330" s="355" t="s">
        <v>354</v>
      </c>
      <c r="E330" s="402" t="s">
        <v>355</v>
      </c>
      <c r="F330" s="356">
        <v>396250000</v>
      </c>
      <c r="G330" s="357"/>
      <c r="H330" s="357"/>
      <c r="I330" s="357">
        <f t="shared" ref="I330:I347" si="201">+G330+H330</f>
        <v>0</v>
      </c>
      <c r="J330" s="357"/>
      <c r="K330" s="357"/>
      <c r="L330" s="357">
        <f t="shared" si="199"/>
        <v>0</v>
      </c>
      <c r="M330" s="357">
        <f t="shared" si="197"/>
        <v>0</v>
      </c>
      <c r="N330" s="356">
        <f t="shared" si="198"/>
        <v>396250000</v>
      </c>
      <c r="P330" s="200"/>
      <c r="S330" s="221"/>
      <c r="T330" s="221"/>
      <c r="U330" s="254"/>
    </row>
    <row r="331" spans="1:21" s="319" customFormat="1" ht="22.5" customHeight="1" x14ac:dyDescent="0.25">
      <c r="A331" s="275">
        <v>18</v>
      </c>
      <c r="B331" s="314"/>
      <c r="C331" s="314" t="s">
        <v>146</v>
      </c>
      <c r="D331" s="315"/>
      <c r="E331" s="348" t="s">
        <v>356</v>
      </c>
      <c r="F331" s="317">
        <f t="shared" ref="F331:H334" si="202">+F332</f>
        <v>399988000</v>
      </c>
      <c r="G331" s="318">
        <f t="shared" si="202"/>
        <v>0</v>
      </c>
      <c r="H331" s="318">
        <f t="shared" si="202"/>
        <v>0</v>
      </c>
      <c r="I331" s="318">
        <f t="shared" si="201"/>
        <v>0</v>
      </c>
      <c r="J331" s="318">
        <f t="shared" ref="J331:K335" si="203">+J332</f>
        <v>0</v>
      </c>
      <c r="K331" s="318">
        <f t="shared" si="203"/>
        <v>0</v>
      </c>
      <c r="L331" s="318">
        <f>+J331+K331</f>
        <v>0</v>
      </c>
      <c r="M331" s="318">
        <f>+I331+L331</f>
        <v>0</v>
      </c>
      <c r="N331" s="317">
        <f>+F331-M331</f>
        <v>399988000</v>
      </c>
      <c r="P331" s="320"/>
      <c r="R331" s="321"/>
      <c r="S331" s="349"/>
      <c r="T331" s="349"/>
      <c r="U331" s="350"/>
    </row>
    <row r="332" spans="1:21" s="329" customFormat="1" ht="18" customHeight="1" x14ac:dyDescent="0.25">
      <c r="A332" s="323"/>
      <c r="B332" s="324"/>
      <c r="C332" s="324"/>
      <c r="D332" s="325" t="s">
        <v>207</v>
      </c>
      <c r="E332" s="326" t="s">
        <v>262</v>
      </c>
      <c r="F332" s="327">
        <f t="shared" si="202"/>
        <v>399988000</v>
      </c>
      <c r="G332" s="328">
        <f t="shared" si="202"/>
        <v>0</v>
      </c>
      <c r="H332" s="328">
        <f t="shared" si="202"/>
        <v>0</v>
      </c>
      <c r="I332" s="328">
        <f t="shared" si="201"/>
        <v>0</v>
      </c>
      <c r="J332" s="328">
        <f t="shared" si="203"/>
        <v>0</v>
      </c>
      <c r="K332" s="328">
        <f t="shared" si="203"/>
        <v>0</v>
      </c>
      <c r="L332" s="328">
        <f>+J332+K332</f>
        <v>0</v>
      </c>
      <c r="M332" s="328">
        <f t="shared" ref="M332:M336" si="204">+I332+L332</f>
        <v>0</v>
      </c>
      <c r="N332" s="327">
        <f>+F332-M332</f>
        <v>399988000</v>
      </c>
      <c r="P332" s="330"/>
      <c r="R332" s="331"/>
      <c r="S332" s="351"/>
      <c r="T332" s="351"/>
      <c r="U332" s="333"/>
    </row>
    <row r="333" spans="1:21" s="381" customFormat="1" ht="18" customHeight="1" x14ac:dyDescent="0.25">
      <c r="A333" s="384"/>
      <c r="B333" s="397"/>
      <c r="C333" s="384"/>
      <c r="D333" s="335" t="s">
        <v>63</v>
      </c>
      <c r="E333" s="335" t="s">
        <v>30</v>
      </c>
      <c r="F333" s="337">
        <f t="shared" si="202"/>
        <v>399988000</v>
      </c>
      <c r="G333" s="344">
        <f t="shared" si="202"/>
        <v>0</v>
      </c>
      <c r="H333" s="344">
        <f t="shared" si="202"/>
        <v>0</v>
      </c>
      <c r="I333" s="344">
        <f t="shared" si="201"/>
        <v>0</v>
      </c>
      <c r="J333" s="344">
        <f t="shared" si="203"/>
        <v>0</v>
      </c>
      <c r="K333" s="344">
        <f t="shared" si="203"/>
        <v>0</v>
      </c>
      <c r="L333" s="344">
        <f>+J333+K333</f>
        <v>0</v>
      </c>
      <c r="M333" s="344">
        <f t="shared" si="204"/>
        <v>0</v>
      </c>
      <c r="N333" s="337">
        <f t="shared" ref="N333:N336" si="205">+F333-M333</f>
        <v>399988000</v>
      </c>
      <c r="P333" s="340"/>
      <c r="S333" s="347"/>
      <c r="T333" s="347"/>
      <c r="U333" s="382"/>
    </row>
    <row r="334" spans="1:21" s="339" customFormat="1" ht="18" customHeight="1" x14ac:dyDescent="0.25">
      <c r="A334" s="334"/>
      <c r="B334" s="335"/>
      <c r="C334" s="335"/>
      <c r="D334" s="365" t="s">
        <v>275</v>
      </c>
      <c r="E334" s="335" t="s">
        <v>276</v>
      </c>
      <c r="F334" s="337">
        <f t="shared" si="202"/>
        <v>399988000</v>
      </c>
      <c r="G334" s="344">
        <f t="shared" si="202"/>
        <v>0</v>
      </c>
      <c r="H334" s="344">
        <f t="shared" si="202"/>
        <v>0</v>
      </c>
      <c r="I334" s="344">
        <f t="shared" si="201"/>
        <v>0</v>
      </c>
      <c r="J334" s="344">
        <f t="shared" si="203"/>
        <v>0</v>
      </c>
      <c r="K334" s="344">
        <f t="shared" si="203"/>
        <v>0</v>
      </c>
      <c r="L334" s="344">
        <f>+J334+K334</f>
        <v>0</v>
      </c>
      <c r="M334" s="344">
        <f t="shared" si="204"/>
        <v>0</v>
      </c>
      <c r="N334" s="337">
        <f t="shared" si="205"/>
        <v>399988000</v>
      </c>
      <c r="P334" s="340"/>
      <c r="S334" s="347"/>
      <c r="T334" s="347"/>
      <c r="U334" s="342"/>
    </row>
    <row r="335" spans="1:21" s="381" customFormat="1" ht="18" customHeight="1" x14ac:dyDescent="0.25">
      <c r="A335" s="384"/>
      <c r="B335" s="397"/>
      <c r="C335" s="384"/>
      <c r="D335" s="335" t="s">
        <v>147</v>
      </c>
      <c r="E335" s="335" t="s">
        <v>35</v>
      </c>
      <c r="F335" s="337">
        <f>F336</f>
        <v>399988000</v>
      </c>
      <c r="G335" s="344">
        <f>+G336</f>
        <v>0</v>
      </c>
      <c r="H335" s="344">
        <f>+H336</f>
        <v>0</v>
      </c>
      <c r="I335" s="344">
        <f t="shared" si="201"/>
        <v>0</v>
      </c>
      <c r="J335" s="344">
        <f t="shared" si="203"/>
        <v>0</v>
      </c>
      <c r="K335" s="344">
        <f t="shared" si="203"/>
        <v>0</v>
      </c>
      <c r="L335" s="344">
        <f>+J335+K335</f>
        <v>0</v>
      </c>
      <c r="M335" s="344">
        <f t="shared" si="204"/>
        <v>0</v>
      </c>
      <c r="N335" s="337">
        <f t="shared" si="205"/>
        <v>399988000</v>
      </c>
      <c r="P335" s="340"/>
      <c r="S335" s="347"/>
      <c r="T335" s="347"/>
      <c r="U335" s="382"/>
    </row>
    <row r="336" spans="1:21" s="153" customFormat="1" ht="33.75" customHeight="1" x14ac:dyDescent="0.25">
      <c r="A336" s="403"/>
      <c r="B336" s="388"/>
      <c r="C336" s="372"/>
      <c r="D336" s="373" t="s">
        <v>148</v>
      </c>
      <c r="E336" s="375" t="s">
        <v>149</v>
      </c>
      <c r="F336" s="376">
        <v>399988000</v>
      </c>
      <c r="G336" s="404"/>
      <c r="H336" s="377"/>
      <c r="I336" s="377">
        <f t="shared" si="201"/>
        <v>0</v>
      </c>
      <c r="J336" s="377"/>
      <c r="K336" s="377"/>
      <c r="L336" s="377">
        <f t="shared" ref="L336" si="206">+J336+K336</f>
        <v>0</v>
      </c>
      <c r="M336" s="377">
        <f t="shared" si="204"/>
        <v>0</v>
      </c>
      <c r="N336" s="376">
        <f t="shared" si="205"/>
        <v>399988000</v>
      </c>
      <c r="P336" s="200"/>
      <c r="S336" s="221"/>
      <c r="T336" s="221"/>
      <c r="U336" s="254"/>
    </row>
    <row r="337" spans="1:21" s="319" customFormat="1" ht="34.5" customHeight="1" x14ac:dyDescent="0.25">
      <c r="A337" s="275">
        <v>19</v>
      </c>
      <c r="B337" s="314"/>
      <c r="C337" s="314" t="s">
        <v>151</v>
      </c>
      <c r="D337" s="315"/>
      <c r="E337" s="348" t="s">
        <v>152</v>
      </c>
      <c r="F337" s="317">
        <f t="shared" ref="F337:H340" si="207">+F338</f>
        <v>200000000</v>
      </c>
      <c r="G337" s="318">
        <f t="shared" si="207"/>
        <v>0</v>
      </c>
      <c r="H337" s="318">
        <f t="shared" si="207"/>
        <v>0</v>
      </c>
      <c r="I337" s="318">
        <f t="shared" si="201"/>
        <v>0</v>
      </c>
      <c r="J337" s="318">
        <f t="shared" ref="J337:K341" si="208">+J338</f>
        <v>0</v>
      </c>
      <c r="K337" s="318">
        <f t="shared" si="208"/>
        <v>0</v>
      </c>
      <c r="L337" s="318">
        <f>+J337+K337</f>
        <v>0</v>
      </c>
      <c r="M337" s="318">
        <f>+I337+L337</f>
        <v>0</v>
      </c>
      <c r="N337" s="317">
        <f>+F337-M337</f>
        <v>200000000</v>
      </c>
      <c r="P337" s="320"/>
      <c r="R337" s="321"/>
      <c r="S337" s="349"/>
      <c r="T337" s="349"/>
      <c r="U337" s="350"/>
    </row>
    <row r="338" spans="1:21" s="329" customFormat="1" ht="18" customHeight="1" x14ac:dyDescent="0.25">
      <c r="A338" s="323"/>
      <c r="B338" s="324"/>
      <c r="C338" s="324"/>
      <c r="D338" s="325" t="s">
        <v>207</v>
      </c>
      <c r="E338" s="326" t="s">
        <v>262</v>
      </c>
      <c r="F338" s="327">
        <f t="shared" si="207"/>
        <v>200000000</v>
      </c>
      <c r="G338" s="328">
        <f t="shared" si="207"/>
        <v>0</v>
      </c>
      <c r="H338" s="328">
        <f t="shared" si="207"/>
        <v>0</v>
      </c>
      <c r="I338" s="328">
        <f t="shared" si="201"/>
        <v>0</v>
      </c>
      <c r="J338" s="328">
        <f t="shared" si="208"/>
        <v>0</v>
      </c>
      <c r="K338" s="328">
        <f t="shared" si="208"/>
        <v>0</v>
      </c>
      <c r="L338" s="328">
        <f>+J338+K338</f>
        <v>0</v>
      </c>
      <c r="M338" s="328">
        <f t="shared" ref="M338:M342" si="209">+I338+L338</f>
        <v>0</v>
      </c>
      <c r="N338" s="327">
        <f t="shared" ref="N338:N342" si="210">+F338-M338</f>
        <v>200000000</v>
      </c>
      <c r="P338" s="330"/>
      <c r="R338" s="331"/>
      <c r="S338" s="351"/>
      <c r="T338" s="351"/>
      <c r="U338" s="333"/>
    </row>
    <row r="339" spans="1:21" s="381" customFormat="1" ht="18" customHeight="1" x14ac:dyDescent="0.25">
      <c r="A339" s="384"/>
      <c r="B339" s="397"/>
      <c r="C339" s="384"/>
      <c r="D339" s="335" t="s">
        <v>63</v>
      </c>
      <c r="E339" s="335" t="s">
        <v>30</v>
      </c>
      <c r="F339" s="337">
        <f t="shared" si="207"/>
        <v>200000000</v>
      </c>
      <c r="G339" s="344">
        <f t="shared" si="207"/>
        <v>0</v>
      </c>
      <c r="H339" s="344">
        <f t="shared" si="207"/>
        <v>0</v>
      </c>
      <c r="I339" s="344">
        <f t="shared" si="201"/>
        <v>0</v>
      </c>
      <c r="J339" s="344">
        <f t="shared" si="208"/>
        <v>0</v>
      </c>
      <c r="K339" s="344">
        <f t="shared" si="208"/>
        <v>0</v>
      </c>
      <c r="L339" s="344">
        <f>+J339+K339</f>
        <v>0</v>
      </c>
      <c r="M339" s="344">
        <f t="shared" si="209"/>
        <v>0</v>
      </c>
      <c r="N339" s="337">
        <f t="shared" si="210"/>
        <v>200000000</v>
      </c>
      <c r="P339" s="340"/>
      <c r="S339" s="347"/>
      <c r="T339" s="347"/>
      <c r="U339" s="382"/>
    </row>
    <row r="340" spans="1:21" s="339" customFormat="1" ht="18" customHeight="1" x14ac:dyDescent="0.25">
      <c r="A340" s="334"/>
      <c r="B340" s="335"/>
      <c r="C340" s="335"/>
      <c r="D340" s="365" t="s">
        <v>275</v>
      </c>
      <c r="E340" s="335" t="s">
        <v>276</v>
      </c>
      <c r="F340" s="337">
        <f t="shared" si="207"/>
        <v>200000000</v>
      </c>
      <c r="G340" s="344">
        <f t="shared" si="207"/>
        <v>0</v>
      </c>
      <c r="H340" s="344">
        <f t="shared" si="207"/>
        <v>0</v>
      </c>
      <c r="I340" s="344">
        <f t="shared" si="201"/>
        <v>0</v>
      </c>
      <c r="J340" s="344">
        <f t="shared" si="208"/>
        <v>0</v>
      </c>
      <c r="K340" s="344">
        <f t="shared" si="208"/>
        <v>0</v>
      </c>
      <c r="L340" s="344">
        <f>+J340+K340</f>
        <v>0</v>
      </c>
      <c r="M340" s="344">
        <f t="shared" si="209"/>
        <v>0</v>
      </c>
      <c r="N340" s="337">
        <f t="shared" si="210"/>
        <v>200000000</v>
      </c>
      <c r="P340" s="340"/>
      <c r="S340" s="347"/>
      <c r="T340" s="347"/>
      <c r="U340" s="342"/>
    </row>
    <row r="341" spans="1:21" s="381" customFormat="1" ht="18" customHeight="1" x14ac:dyDescent="0.25">
      <c r="A341" s="384"/>
      <c r="B341" s="397"/>
      <c r="C341" s="384"/>
      <c r="D341" s="335" t="s">
        <v>147</v>
      </c>
      <c r="E341" s="335" t="s">
        <v>35</v>
      </c>
      <c r="F341" s="337">
        <f>F342</f>
        <v>200000000</v>
      </c>
      <c r="G341" s="344">
        <f>+G342</f>
        <v>0</v>
      </c>
      <c r="H341" s="344">
        <f>+H342</f>
        <v>0</v>
      </c>
      <c r="I341" s="344">
        <f t="shared" si="201"/>
        <v>0</v>
      </c>
      <c r="J341" s="344">
        <f t="shared" si="208"/>
        <v>0</v>
      </c>
      <c r="K341" s="344">
        <f t="shared" si="208"/>
        <v>0</v>
      </c>
      <c r="L341" s="344">
        <f>+J341+K341</f>
        <v>0</v>
      </c>
      <c r="M341" s="344">
        <f t="shared" si="209"/>
        <v>0</v>
      </c>
      <c r="N341" s="337">
        <f t="shared" si="210"/>
        <v>200000000</v>
      </c>
      <c r="P341" s="340"/>
      <c r="S341" s="347"/>
      <c r="T341" s="347"/>
      <c r="U341" s="382"/>
    </row>
    <row r="342" spans="1:21" s="153" customFormat="1" ht="33.75" customHeight="1" x14ac:dyDescent="0.25">
      <c r="A342" s="403"/>
      <c r="B342" s="388"/>
      <c r="C342" s="372"/>
      <c r="D342" s="373" t="s">
        <v>148</v>
      </c>
      <c r="E342" s="375" t="s">
        <v>149</v>
      </c>
      <c r="F342" s="376">
        <v>200000000</v>
      </c>
      <c r="G342" s="404"/>
      <c r="H342" s="377"/>
      <c r="I342" s="377">
        <f t="shared" si="201"/>
        <v>0</v>
      </c>
      <c r="J342" s="377"/>
      <c r="K342" s="377"/>
      <c r="L342" s="377">
        <f t="shared" ref="L342" si="211">+J342+K342</f>
        <v>0</v>
      </c>
      <c r="M342" s="377">
        <f t="shared" si="209"/>
        <v>0</v>
      </c>
      <c r="N342" s="376">
        <f t="shared" si="210"/>
        <v>200000000</v>
      </c>
      <c r="P342" s="200"/>
      <c r="S342" s="221"/>
      <c r="T342" s="221"/>
      <c r="U342" s="254"/>
    </row>
    <row r="343" spans="1:21" s="319" customFormat="1" ht="34.5" customHeight="1" x14ac:dyDescent="0.25">
      <c r="A343" s="275">
        <v>20</v>
      </c>
      <c r="B343" s="314"/>
      <c r="C343" s="314" t="s">
        <v>153</v>
      </c>
      <c r="D343" s="315"/>
      <c r="E343" s="348" t="s">
        <v>154</v>
      </c>
      <c r="F343" s="317">
        <f t="shared" ref="F343:H346" si="212">+F344</f>
        <v>80000000</v>
      </c>
      <c r="G343" s="318">
        <f t="shared" si="212"/>
        <v>0</v>
      </c>
      <c r="H343" s="318">
        <f t="shared" si="212"/>
        <v>0</v>
      </c>
      <c r="I343" s="318">
        <f t="shared" si="201"/>
        <v>0</v>
      </c>
      <c r="J343" s="318">
        <f t="shared" ref="J343:K347" si="213">+J344</f>
        <v>20000000</v>
      </c>
      <c r="K343" s="318">
        <f t="shared" si="213"/>
        <v>0</v>
      </c>
      <c r="L343" s="318">
        <f>+J343+K343</f>
        <v>20000000</v>
      </c>
      <c r="M343" s="318">
        <f>+I343+L343</f>
        <v>20000000</v>
      </c>
      <c r="N343" s="317">
        <f>+F343-M343</f>
        <v>60000000</v>
      </c>
      <c r="P343" s="320"/>
      <c r="R343" s="321"/>
      <c r="S343" s="349"/>
      <c r="T343" s="349"/>
      <c r="U343" s="350"/>
    </row>
    <row r="344" spans="1:21" s="329" customFormat="1" ht="18" customHeight="1" x14ac:dyDescent="0.25">
      <c r="A344" s="323"/>
      <c r="B344" s="324"/>
      <c r="C344" s="324"/>
      <c r="D344" s="325" t="s">
        <v>207</v>
      </c>
      <c r="E344" s="326" t="s">
        <v>262</v>
      </c>
      <c r="F344" s="327">
        <f t="shared" si="212"/>
        <v>80000000</v>
      </c>
      <c r="G344" s="328">
        <f t="shared" si="212"/>
        <v>0</v>
      </c>
      <c r="H344" s="328">
        <f t="shared" si="212"/>
        <v>0</v>
      </c>
      <c r="I344" s="328">
        <f t="shared" si="201"/>
        <v>0</v>
      </c>
      <c r="J344" s="328">
        <f t="shared" si="213"/>
        <v>20000000</v>
      </c>
      <c r="K344" s="328">
        <f t="shared" si="213"/>
        <v>0</v>
      </c>
      <c r="L344" s="328">
        <f>+J344+K344</f>
        <v>20000000</v>
      </c>
      <c r="M344" s="328">
        <f t="shared" ref="M344:M348" si="214">+I344+L344</f>
        <v>20000000</v>
      </c>
      <c r="N344" s="327">
        <f t="shared" ref="N344:N348" si="215">+F344-M344</f>
        <v>60000000</v>
      </c>
      <c r="P344" s="330"/>
      <c r="R344" s="331"/>
      <c r="S344" s="351"/>
      <c r="T344" s="351"/>
      <c r="U344" s="333"/>
    </row>
    <row r="345" spans="1:21" s="381" customFormat="1" ht="18" customHeight="1" x14ac:dyDescent="0.25">
      <c r="A345" s="384"/>
      <c r="B345" s="397"/>
      <c r="C345" s="384"/>
      <c r="D345" s="335" t="s">
        <v>63</v>
      </c>
      <c r="E345" s="335" t="s">
        <v>30</v>
      </c>
      <c r="F345" s="337">
        <f t="shared" si="212"/>
        <v>80000000</v>
      </c>
      <c r="G345" s="344">
        <f t="shared" si="212"/>
        <v>0</v>
      </c>
      <c r="H345" s="344">
        <f t="shared" si="212"/>
        <v>0</v>
      </c>
      <c r="I345" s="344">
        <f t="shared" si="201"/>
        <v>0</v>
      </c>
      <c r="J345" s="344">
        <f t="shared" si="213"/>
        <v>20000000</v>
      </c>
      <c r="K345" s="344">
        <f t="shared" si="213"/>
        <v>0</v>
      </c>
      <c r="L345" s="344">
        <f>+J345+K345</f>
        <v>20000000</v>
      </c>
      <c r="M345" s="344">
        <f t="shared" si="214"/>
        <v>20000000</v>
      </c>
      <c r="N345" s="337">
        <f t="shared" si="215"/>
        <v>60000000</v>
      </c>
      <c r="P345" s="340"/>
      <c r="S345" s="347"/>
      <c r="T345" s="347"/>
      <c r="U345" s="382"/>
    </row>
    <row r="346" spans="1:21" s="339" customFormat="1" ht="18" customHeight="1" x14ac:dyDescent="0.25">
      <c r="A346" s="334"/>
      <c r="B346" s="335"/>
      <c r="C346" s="335"/>
      <c r="D346" s="365" t="s">
        <v>275</v>
      </c>
      <c r="E346" s="335" t="s">
        <v>276</v>
      </c>
      <c r="F346" s="337">
        <f t="shared" si="212"/>
        <v>80000000</v>
      </c>
      <c r="G346" s="344">
        <f t="shared" si="212"/>
        <v>0</v>
      </c>
      <c r="H346" s="344">
        <f t="shared" si="212"/>
        <v>0</v>
      </c>
      <c r="I346" s="344">
        <f t="shared" si="201"/>
        <v>0</v>
      </c>
      <c r="J346" s="344">
        <f t="shared" si="213"/>
        <v>20000000</v>
      </c>
      <c r="K346" s="344">
        <f t="shared" si="213"/>
        <v>0</v>
      </c>
      <c r="L346" s="344">
        <f>+J346+K346</f>
        <v>20000000</v>
      </c>
      <c r="M346" s="344">
        <f t="shared" si="214"/>
        <v>20000000</v>
      </c>
      <c r="N346" s="337">
        <f t="shared" si="215"/>
        <v>60000000</v>
      </c>
      <c r="P346" s="340"/>
      <c r="S346" s="347"/>
      <c r="T346" s="347"/>
      <c r="U346" s="342"/>
    </row>
    <row r="347" spans="1:21" s="381" customFormat="1" ht="18" customHeight="1" x14ac:dyDescent="0.25">
      <c r="A347" s="384"/>
      <c r="B347" s="397"/>
      <c r="C347" s="384"/>
      <c r="D347" s="335" t="s">
        <v>114</v>
      </c>
      <c r="E347" s="335" t="s">
        <v>43</v>
      </c>
      <c r="F347" s="337">
        <f>F348</f>
        <v>80000000</v>
      </c>
      <c r="G347" s="344">
        <f>+G348</f>
        <v>0</v>
      </c>
      <c r="H347" s="344">
        <f>+H348</f>
        <v>0</v>
      </c>
      <c r="I347" s="344">
        <f t="shared" si="201"/>
        <v>0</v>
      </c>
      <c r="J347" s="344">
        <f t="shared" si="213"/>
        <v>20000000</v>
      </c>
      <c r="K347" s="344">
        <f t="shared" si="213"/>
        <v>0</v>
      </c>
      <c r="L347" s="344">
        <f>+J347+K347</f>
        <v>20000000</v>
      </c>
      <c r="M347" s="344">
        <f t="shared" si="214"/>
        <v>20000000</v>
      </c>
      <c r="N347" s="337">
        <f t="shared" si="215"/>
        <v>60000000</v>
      </c>
      <c r="P347" s="340"/>
      <c r="S347" s="347"/>
      <c r="T347" s="347"/>
      <c r="U347" s="382"/>
    </row>
    <row r="348" spans="1:21" s="339" customFormat="1" ht="20.25" customHeight="1" x14ac:dyDescent="0.25">
      <c r="A348" s="399"/>
      <c r="B348" s="381"/>
      <c r="C348" s="366"/>
      <c r="D348" s="367" t="s">
        <v>349</v>
      </c>
      <c r="E348" s="369" t="s">
        <v>350</v>
      </c>
      <c r="F348" s="370">
        <v>80000000</v>
      </c>
      <c r="G348" s="400"/>
      <c r="H348" s="400"/>
      <c r="I348" s="400"/>
      <c r="J348" s="371">
        <v>20000000</v>
      </c>
      <c r="K348" s="371"/>
      <c r="L348" s="371">
        <f t="shared" ref="L348" si="216">+J348+K348</f>
        <v>20000000</v>
      </c>
      <c r="M348" s="371">
        <f t="shared" si="214"/>
        <v>20000000</v>
      </c>
      <c r="N348" s="370">
        <f t="shared" si="215"/>
        <v>60000000</v>
      </c>
      <c r="P348" s="340"/>
      <c r="S348" s="347"/>
      <c r="T348" s="347"/>
      <c r="U348" s="342"/>
    </row>
    <row r="349" spans="1:21" s="153" customFormat="1" ht="18" customHeight="1" x14ac:dyDescent="0.25">
      <c r="A349" s="353"/>
      <c r="B349" s="355"/>
      <c r="C349" s="355"/>
      <c r="D349" s="355"/>
      <c r="E349" s="355"/>
      <c r="F349" s="356"/>
      <c r="G349" s="357"/>
      <c r="H349" s="357"/>
      <c r="I349" s="357"/>
      <c r="J349" s="357"/>
      <c r="K349" s="357"/>
      <c r="L349" s="357"/>
      <c r="M349" s="357"/>
      <c r="N349" s="356"/>
      <c r="P349" s="200"/>
      <c r="S349" s="221"/>
      <c r="T349" s="221"/>
      <c r="U349" s="254"/>
    </row>
    <row r="350" spans="1:21" s="319" customFormat="1" ht="18.75" customHeight="1" x14ac:dyDescent="0.25">
      <c r="A350" s="276"/>
      <c r="B350" s="305" t="s">
        <v>410</v>
      </c>
      <c r="C350" s="305"/>
      <c r="D350" s="305"/>
      <c r="E350" s="396" t="s">
        <v>411</v>
      </c>
      <c r="F350" s="359">
        <f>+F351+F357+F369+F375</f>
        <v>352609205400</v>
      </c>
      <c r="G350" s="308">
        <f>G351+G357+G369+G375</f>
        <v>37562351000</v>
      </c>
      <c r="H350" s="308">
        <f>+H351+H357+H369+H375</f>
        <v>6206617000</v>
      </c>
      <c r="I350" s="360">
        <f>+G350+H350</f>
        <v>43768968000</v>
      </c>
      <c r="J350" s="308">
        <f>J351+J357+J369+J375</f>
        <v>0</v>
      </c>
      <c r="K350" s="308">
        <f>+K352</f>
        <v>0</v>
      </c>
      <c r="L350" s="360">
        <f t="shared" ref="L350:L364" si="217">+J350+K350</f>
        <v>0</v>
      </c>
      <c r="M350" s="360">
        <f t="shared" ref="M350:M364" si="218">+I350+L350</f>
        <v>43768968000</v>
      </c>
      <c r="N350" s="359">
        <f t="shared" ref="N350:N355" si="219">+F350-M350</f>
        <v>308840237400</v>
      </c>
      <c r="P350" s="361"/>
      <c r="R350" s="321"/>
      <c r="S350" s="362"/>
      <c r="T350" s="362"/>
      <c r="U350" s="350"/>
    </row>
    <row r="351" spans="1:21" s="319" customFormat="1" ht="32.25" hidden="1" customHeight="1" x14ac:dyDescent="0.25">
      <c r="A351" s="275">
        <v>21</v>
      </c>
      <c r="B351" s="314"/>
      <c r="C351" s="314" t="s">
        <v>280</v>
      </c>
      <c r="D351" s="315"/>
      <c r="E351" s="348" t="s">
        <v>279</v>
      </c>
      <c r="F351" s="317">
        <f t="shared" ref="F351:H355" si="220">+F352</f>
        <v>0</v>
      </c>
      <c r="G351" s="318">
        <f t="shared" si="220"/>
        <v>0</v>
      </c>
      <c r="H351" s="318">
        <f>+H352</f>
        <v>0</v>
      </c>
      <c r="I351" s="318">
        <f>+G351+H351</f>
        <v>0</v>
      </c>
      <c r="J351" s="318">
        <f>+J352</f>
        <v>0</v>
      </c>
      <c r="K351" s="318">
        <f>+K352</f>
        <v>0</v>
      </c>
      <c r="L351" s="318">
        <f t="shared" si="217"/>
        <v>0</v>
      </c>
      <c r="M351" s="318">
        <f>+I351+L351</f>
        <v>0</v>
      </c>
      <c r="N351" s="317">
        <f>+F351-M351</f>
        <v>0</v>
      </c>
      <c r="P351" s="320"/>
      <c r="R351" s="321"/>
      <c r="S351" s="349"/>
      <c r="T351" s="349"/>
      <c r="U351" s="350"/>
    </row>
    <row r="352" spans="1:21" s="329" customFormat="1" ht="18" hidden="1" customHeight="1" x14ac:dyDescent="0.25">
      <c r="A352" s="323"/>
      <c r="B352" s="324"/>
      <c r="C352" s="324"/>
      <c r="D352" s="325" t="s">
        <v>207</v>
      </c>
      <c r="E352" s="326" t="s">
        <v>262</v>
      </c>
      <c r="F352" s="327">
        <f t="shared" si="220"/>
        <v>0</v>
      </c>
      <c r="G352" s="328">
        <f t="shared" si="220"/>
        <v>0</v>
      </c>
      <c r="H352" s="328">
        <f t="shared" si="220"/>
        <v>0</v>
      </c>
      <c r="I352" s="328">
        <f t="shared" ref="I352:I368" si="221">+G352+H352</f>
        <v>0</v>
      </c>
      <c r="J352" s="328">
        <f>+J353</f>
        <v>0</v>
      </c>
      <c r="K352" s="328">
        <f>+K353</f>
        <v>0</v>
      </c>
      <c r="L352" s="328">
        <f t="shared" si="217"/>
        <v>0</v>
      </c>
      <c r="M352" s="328">
        <f t="shared" si="218"/>
        <v>0</v>
      </c>
      <c r="N352" s="327">
        <f t="shared" si="219"/>
        <v>0</v>
      </c>
      <c r="P352" s="330"/>
      <c r="R352" s="331"/>
      <c r="S352" s="351"/>
      <c r="T352" s="351"/>
      <c r="U352" s="333"/>
    </row>
    <row r="353" spans="1:21" s="381" customFormat="1" ht="18" hidden="1" customHeight="1" x14ac:dyDescent="0.25">
      <c r="A353" s="384"/>
      <c r="B353" s="335"/>
      <c r="C353" s="335"/>
      <c r="D353" s="335" t="s">
        <v>281</v>
      </c>
      <c r="E353" s="335" t="s">
        <v>282</v>
      </c>
      <c r="F353" s="337">
        <f t="shared" si="220"/>
        <v>0</v>
      </c>
      <c r="G353" s="338">
        <f t="shared" si="220"/>
        <v>0</v>
      </c>
      <c r="H353" s="338">
        <f t="shared" si="220"/>
        <v>0</v>
      </c>
      <c r="I353" s="338">
        <f>+G353+H353</f>
        <v>0</v>
      </c>
      <c r="J353" s="338">
        <f>+J354+J363</f>
        <v>0</v>
      </c>
      <c r="K353" s="338">
        <f>+K354+K363</f>
        <v>0</v>
      </c>
      <c r="L353" s="338">
        <f t="shared" si="217"/>
        <v>0</v>
      </c>
      <c r="M353" s="338">
        <f>+I353+L353</f>
        <v>0</v>
      </c>
      <c r="N353" s="405">
        <f t="shared" si="219"/>
        <v>0</v>
      </c>
      <c r="P353" s="340"/>
      <c r="S353" s="347"/>
      <c r="T353" s="347"/>
      <c r="U353" s="382"/>
    </row>
    <row r="354" spans="1:21" s="339" customFormat="1" ht="18" hidden="1" customHeight="1" x14ac:dyDescent="0.25">
      <c r="A354" s="334"/>
      <c r="B354" s="335"/>
      <c r="C354" s="335"/>
      <c r="D354" s="335" t="s">
        <v>283</v>
      </c>
      <c r="E354" s="336" t="s">
        <v>284</v>
      </c>
      <c r="F354" s="337">
        <f t="shared" si="220"/>
        <v>0</v>
      </c>
      <c r="G354" s="338">
        <f t="shared" si="220"/>
        <v>0</v>
      </c>
      <c r="H354" s="338">
        <f t="shared" si="220"/>
        <v>0</v>
      </c>
      <c r="I354" s="338">
        <f t="shared" si="221"/>
        <v>0</v>
      </c>
      <c r="J354" s="338">
        <f>+J355</f>
        <v>0</v>
      </c>
      <c r="K354" s="338">
        <f>+K355</f>
        <v>0</v>
      </c>
      <c r="L354" s="338">
        <f t="shared" si="217"/>
        <v>0</v>
      </c>
      <c r="M354" s="338">
        <f t="shared" si="218"/>
        <v>0</v>
      </c>
      <c r="N354" s="337">
        <f t="shared" si="219"/>
        <v>0</v>
      </c>
      <c r="P354" s="340"/>
      <c r="S354" s="347"/>
      <c r="T354" s="347"/>
      <c r="U354" s="342"/>
    </row>
    <row r="355" spans="1:21" s="339" customFormat="1" ht="31.5" hidden="1" customHeight="1" x14ac:dyDescent="0.25">
      <c r="A355" s="334"/>
      <c r="B355" s="335"/>
      <c r="C355" s="335"/>
      <c r="D355" s="335" t="s">
        <v>412</v>
      </c>
      <c r="E355" s="391" t="s">
        <v>413</v>
      </c>
      <c r="F355" s="337">
        <f t="shared" si="220"/>
        <v>0</v>
      </c>
      <c r="G355" s="344">
        <f t="shared" si="220"/>
        <v>0</v>
      </c>
      <c r="H355" s="344">
        <f t="shared" si="220"/>
        <v>0</v>
      </c>
      <c r="I355" s="344">
        <f t="shared" si="221"/>
        <v>0</v>
      </c>
      <c r="J355" s="344">
        <f>+J356</f>
        <v>0</v>
      </c>
      <c r="K355" s="344">
        <f>+K356</f>
        <v>0</v>
      </c>
      <c r="L355" s="344">
        <f t="shared" si="217"/>
        <v>0</v>
      </c>
      <c r="M355" s="344">
        <f t="shared" si="218"/>
        <v>0</v>
      </c>
      <c r="N355" s="337">
        <f t="shared" si="219"/>
        <v>0</v>
      </c>
      <c r="P355" s="340"/>
      <c r="S355" s="347"/>
      <c r="T355" s="347"/>
      <c r="U355" s="342"/>
    </row>
    <row r="356" spans="1:21" s="153" customFormat="1" ht="33.75" hidden="1" customHeight="1" x14ac:dyDescent="0.25">
      <c r="A356" s="353"/>
      <c r="B356" s="355"/>
      <c r="C356" s="355"/>
      <c r="D356" s="355" t="s">
        <v>414</v>
      </c>
      <c r="E356" s="402" t="s">
        <v>413</v>
      </c>
      <c r="F356" s="356"/>
      <c r="G356" s="406"/>
      <c r="H356" s="406"/>
      <c r="I356" s="406">
        <f t="shared" si="221"/>
        <v>0</v>
      </c>
      <c r="J356" s="357"/>
      <c r="K356" s="406"/>
      <c r="L356" s="406">
        <f t="shared" si="217"/>
        <v>0</v>
      </c>
      <c r="M356" s="406">
        <f t="shared" si="218"/>
        <v>0</v>
      </c>
      <c r="N356" s="356">
        <f>+F356-M356</f>
        <v>0</v>
      </c>
      <c r="P356" s="200"/>
      <c r="S356" s="221"/>
      <c r="T356" s="221"/>
      <c r="U356" s="254"/>
    </row>
    <row r="357" spans="1:21" s="319" customFormat="1" ht="18" customHeight="1" x14ac:dyDescent="0.25">
      <c r="A357" s="276">
        <v>21</v>
      </c>
      <c r="B357" s="305"/>
      <c r="C357" s="305" t="s">
        <v>285</v>
      </c>
      <c r="D357" s="363"/>
      <c r="E357" s="364" t="s">
        <v>286</v>
      </c>
      <c r="F357" s="307">
        <f>+F358</f>
        <v>325031788200</v>
      </c>
      <c r="G357" s="308">
        <f t="shared" ref="G357:H358" si="222">+G358</f>
        <v>37562351000</v>
      </c>
      <c r="H357" s="308">
        <f>+H358</f>
        <v>6206617000</v>
      </c>
      <c r="I357" s="308">
        <f t="shared" si="221"/>
        <v>43768968000</v>
      </c>
      <c r="J357" s="308">
        <f t="shared" ref="J357:K358" si="223">+J358</f>
        <v>0</v>
      </c>
      <c r="K357" s="308">
        <f t="shared" si="223"/>
        <v>0</v>
      </c>
      <c r="L357" s="308">
        <f t="shared" si="217"/>
        <v>0</v>
      </c>
      <c r="M357" s="308">
        <f>+I357+L357</f>
        <v>43768968000</v>
      </c>
      <c r="N357" s="307">
        <f>+F357-M357</f>
        <v>281262820200</v>
      </c>
      <c r="P357" s="320"/>
      <c r="R357" s="321"/>
      <c r="S357" s="349"/>
      <c r="T357" s="349"/>
      <c r="U357" s="350"/>
    </row>
    <row r="358" spans="1:21" s="329" customFormat="1" ht="18" customHeight="1" x14ac:dyDescent="0.25">
      <c r="A358" s="323"/>
      <c r="B358" s="324"/>
      <c r="C358" s="324"/>
      <c r="D358" s="325" t="s">
        <v>287</v>
      </c>
      <c r="E358" s="326" t="s">
        <v>288</v>
      </c>
      <c r="F358" s="327">
        <f>+F359</f>
        <v>325031788200</v>
      </c>
      <c r="G358" s="328">
        <f t="shared" si="222"/>
        <v>37562351000</v>
      </c>
      <c r="H358" s="328">
        <f t="shared" si="222"/>
        <v>6206617000</v>
      </c>
      <c r="I358" s="328">
        <f t="shared" si="221"/>
        <v>43768968000</v>
      </c>
      <c r="J358" s="328">
        <f t="shared" si="223"/>
        <v>0</v>
      </c>
      <c r="K358" s="328">
        <f t="shared" si="223"/>
        <v>0</v>
      </c>
      <c r="L358" s="328">
        <f t="shared" si="217"/>
        <v>0</v>
      </c>
      <c r="M358" s="328">
        <f t="shared" ref="M358" si="224">+I358+L358</f>
        <v>43768968000</v>
      </c>
      <c r="N358" s="327">
        <f t="shared" ref="N358:N366" si="225">+F358-M358</f>
        <v>281262820200</v>
      </c>
      <c r="P358" s="330"/>
      <c r="R358" s="331"/>
      <c r="S358" s="351"/>
      <c r="T358" s="351"/>
      <c r="U358" s="333"/>
    </row>
    <row r="359" spans="1:21" s="381" customFormat="1" ht="18" customHeight="1" x14ac:dyDescent="0.25">
      <c r="A359" s="384"/>
      <c r="B359" s="335"/>
      <c r="C359" s="335"/>
      <c r="D359" s="335" t="s">
        <v>289</v>
      </c>
      <c r="E359" s="335" t="s">
        <v>290</v>
      </c>
      <c r="F359" s="337">
        <f>+F363+F360</f>
        <v>325031788200</v>
      </c>
      <c r="G359" s="338">
        <f>+G363+G360</f>
        <v>37562351000</v>
      </c>
      <c r="H359" s="338">
        <f>+H363+H360</f>
        <v>6206617000</v>
      </c>
      <c r="I359" s="338">
        <f t="shared" si="221"/>
        <v>43768968000</v>
      </c>
      <c r="J359" s="338">
        <f>+J363+J360</f>
        <v>0</v>
      </c>
      <c r="K359" s="338">
        <f>+K363+K360</f>
        <v>0</v>
      </c>
      <c r="L359" s="338">
        <f>+J359+K359</f>
        <v>0</v>
      </c>
      <c r="M359" s="338">
        <f>+I359+L359</f>
        <v>43768968000</v>
      </c>
      <c r="N359" s="405">
        <f t="shared" si="225"/>
        <v>281262820200</v>
      </c>
      <c r="P359" s="340"/>
      <c r="S359" s="347"/>
      <c r="T359" s="347"/>
      <c r="U359" s="382"/>
    </row>
    <row r="360" spans="1:21" s="339" customFormat="1" ht="18" customHeight="1" x14ac:dyDescent="0.25">
      <c r="A360" s="366"/>
      <c r="B360" s="367"/>
      <c r="C360" s="367"/>
      <c r="D360" s="367" t="s">
        <v>291</v>
      </c>
      <c r="E360" s="407" t="s">
        <v>292</v>
      </c>
      <c r="F360" s="370">
        <f t="shared" ref="F360:H361" si="226">+F361</f>
        <v>540000000</v>
      </c>
      <c r="G360" s="408">
        <f t="shared" si="226"/>
        <v>0</v>
      </c>
      <c r="H360" s="408">
        <f t="shared" si="226"/>
        <v>0</v>
      </c>
      <c r="I360" s="408">
        <f t="shared" si="221"/>
        <v>0</v>
      </c>
      <c r="J360" s="408">
        <f>+J361</f>
        <v>0</v>
      </c>
      <c r="K360" s="408">
        <f>+K361</f>
        <v>0</v>
      </c>
      <c r="L360" s="408">
        <f>+J360+K360</f>
        <v>0</v>
      </c>
      <c r="M360" s="408">
        <f>+I360+L360</f>
        <v>0</v>
      </c>
      <c r="N360" s="370">
        <f t="shared" si="225"/>
        <v>540000000</v>
      </c>
      <c r="P360" s="340"/>
      <c r="S360" s="347"/>
      <c r="T360" s="347"/>
      <c r="U360" s="342"/>
    </row>
    <row r="361" spans="1:21" s="339" customFormat="1" ht="32.25" customHeight="1" x14ac:dyDescent="0.25">
      <c r="A361" s="366"/>
      <c r="B361" s="367"/>
      <c r="C361" s="367"/>
      <c r="D361" s="367" t="s">
        <v>293</v>
      </c>
      <c r="E361" s="369" t="s">
        <v>295</v>
      </c>
      <c r="F361" s="370">
        <f t="shared" si="226"/>
        <v>540000000</v>
      </c>
      <c r="G361" s="371">
        <f t="shared" si="226"/>
        <v>0</v>
      </c>
      <c r="H361" s="371">
        <f t="shared" si="226"/>
        <v>0</v>
      </c>
      <c r="I361" s="371">
        <f t="shared" si="221"/>
        <v>0</v>
      </c>
      <c r="J361" s="371">
        <f>+J362</f>
        <v>0</v>
      </c>
      <c r="K361" s="371">
        <f>+K362</f>
        <v>0</v>
      </c>
      <c r="L361" s="371">
        <f>+J361+K361</f>
        <v>0</v>
      </c>
      <c r="M361" s="371">
        <f>+I361+L361</f>
        <v>0</v>
      </c>
      <c r="N361" s="370">
        <f t="shared" si="225"/>
        <v>540000000</v>
      </c>
      <c r="P361" s="340"/>
      <c r="S361" s="347"/>
      <c r="T361" s="347"/>
      <c r="U361" s="342"/>
    </row>
    <row r="362" spans="1:21" s="339" customFormat="1" ht="21.75" customHeight="1" x14ac:dyDescent="0.25">
      <c r="A362" s="366"/>
      <c r="B362" s="367"/>
      <c r="C362" s="367"/>
      <c r="D362" s="367" t="s">
        <v>294</v>
      </c>
      <c r="E362" s="369" t="s">
        <v>295</v>
      </c>
      <c r="F362" s="370">
        <v>540000000</v>
      </c>
      <c r="G362" s="408"/>
      <c r="H362" s="408"/>
      <c r="I362" s="408">
        <f t="shared" si="221"/>
        <v>0</v>
      </c>
      <c r="J362" s="371"/>
      <c r="K362" s="408"/>
      <c r="L362" s="408">
        <f>+J362+K362</f>
        <v>0</v>
      </c>
      <c r="M362" s="408">
        <f>+I362+L362</f>
        <v>0</v>
      </c>
      <c r="N362" s="409">
        <f t="shared" si="225"/>
        <v>540000000</v>
      </c>
      <c r="P362" s="340"/>
      <c r="S362" s="347"/>
      <c r="T362" s="347"/>
      <c r="U362" s="342"/>
    </row>
    <row r="363" spans="1:21" s="339" customFormat="1" ht="18" customHeight="1" x14ac:dyDescent="0.25">
      <c r="A363" s="334"/>
      <c r="B363" s="335"/>
      <c r="C363" s="335"/>
      <c r="D363" s="335" t="s">
        <v>296</v>
      </c>
      <c r="E363" s="336" t="s">
        <v>298</v>
      </c>
      <c r="F363" s="337">
        <f>+F364+F366</f>
        <v>324491788200</v>
      </c>
      <c r="G363" s="338">
        <f>+G364+G366</f>
        <v>37562351000</v>
      </c>
      <c r="H363" s="338">
        <f>+H364+H366</f>
        <v>6206617000</v>
      </c>
      <c r="I363" s="338">
        <f t="shared" si="221"/>
        <v>43768968000</v>
      </c>
      <c r="J363" s="338">
        <f>+J364+J366</f>
        <v>0</v>
      </c>
      <c r="K363" s="338">
        <f>+K364+K366</f>
        <v>0</v>
      </c>
      <c r="L363" s="338">
        <f t="shared" si="217"/>
        <v>0</v>
      </c>
      <c r="M363" s="338">
        <f t="shared" si="218"/>
        <v>43768968000</v>
      </c>
      <c r="N363" s="337">
        <f t="shared" si="225"/>
        <v>280722820200</v>
      </c>
      <c r="P363" s="340"/>
      <c r="S363" s="347"/>
      <c r="T363" s="347"/>
      <c r="U363" s="342"/>
    </row>
    <row r="364" spans="1:21" s="339" customFormat="1" ht="32.25" customHeight="1" x14ac:dyDescent="0.25">
      <c r="A364" s="334"/>
      <c r="B364" s="335"/>
      <c r="C364" s="335"/>
      <c r="D364" s="335" t="s">
        <v>297</v>
      </c>
      <c r="E364" s="391" t="s">
        <v>300</v>
      </c>
      <c r="F364" s="337">
        <f>F365</f>
        <v>268985638200</v>
      </c>
      <c r="G364" s="344">
        <f>+G365</f>
        <v>37562351000</v>
      </c>
      <c r="H364" s="344">
        <f>+H365</f>
        <v>6206617000</v>
      </c>
      <c r="I364" s="338">
        <f t="shared" si="221"/>
        <v>43768968000</v>
      </c>
      <c r="J364" s="344">
        <f>+J365</f>
        <v>0</v>
      </c>
      <c r="K364" s="344">
        <f>+K365</f>
        <v>0</v>
      </c>
      <c r="L364" s="338">
        <f t="shared" si="217"/>
        <v>0</v>
      </c>
      <c r="M364" s="344">
        <f t="shared" si="218"/>
        <v>43768968000</v>
      </c>
      <c r="N364" s="337">
        <f t="shared" si="225"/>
        <v>225216670200</v>
      </c>
      <c r="P364" s="340"/>
      <c r="S364" s="347"/>
      <c r="T364" s="347"/>
      <c r="U364" s="342"/>
    </row>
    <row r="365" spans="1:21" s="339" customFormat="1" ht="20.25" customHeight="1" x14ac:dyDescent="0.25">
      <c r="A365" s="366"/>
      <c r="B365" s="367"/>
      <c r="C365" s="367"/>
      <c r="D365" s="367" t="s">
        <v>299</v>
      </c>
      <c r="E365" s="369" t="s">
        <v>300</v>
      </c>
      <c r="F365" s="370">
        <v>268985638200</v>
      </c>
      <c r="G365" s="408">
        <v>37562351000</v>
      </c>
      <c r="H365" s="408">
        <v>6206617000</v>
      </c>
      <c r="I365" s="408">
        <f t="shared" si="221"/>
        <v>43768968000</v>
      </c>
      <c r="J365" s="371"/>
      <c r="K365" s="408"/>
      <c r="L365" s="408">
        <f>J365+K365</f>
        <v>0</v>
      </c>
      <c r="M365" s="408">
        <f>+I365+L365</f>
        <v>43768968000</v>
      </c>
      <c r="N365" s="409">
        <f t="shared" si="225"/>
        <v>225216670200</v>
      </c>
      <c r="P365" s="340"/>
      <c r="S365" s="345"/>
      <c r="T365" s="455">
        <v>6206617000</v>
      </c>
      <c r="U365" s="342"/>
    </row>
    <row r="366" spans="1:21" s="339" customFormat="1" ht="32.25" customHeight="1" x14ac:dyDescent="0.25">
      <c r="A366" s="334"/>
      <c r="B366" s="335"/>
      <c r="C366" s="335"/>
      <c r="D366" s="335" t="s">
        <v>301</v>
      </c>
      <c r="E366" s="391" t="s">
        <v>303</v>
      </c>
      <c r="F366" s="337">
        <f>F367+F368</f>
        <v>55506150000</v>
      </c>
      <c r="G366" s="344">
        <f>+G367</f>
        <v>0</v>
      </c>
      <c r="H366" s="338">
        <f>+H367</f>
        <v>0</v>
      </c>
      <c r="I366" s="338">
        <f>+G366+H366</f>
        <v>0</v>
      </c>
      <c r="J366" s="344">
        <f>+J367</f>
        <v>0</v>
      </c>
      <c r="K366" s="344">
        <f>+K367</f>
        <v>0</v>
      </c>
      <c r="L366" s="344">
        <f>+J366+K366</f>
        <v>0</v>
      </c>
      <c r="M366" s="344">
        <f t="shared" ref="M366" si="227">+I366+L366</f>
        <v>0</v>
      </c>
      <c r="N366" s="337">
        <f t="shared" si="225"/>
        <v>55506150000</v>
      </c>
      <c r="P366" s="340"/>
      <c r="S366" s="345"/>
      <c r="T366" s="345"/>
      <c r="U366" s="342"/>
    </row>
    <row r="367" spans="1:21" s="153" customFormat="1" ht="21.75" customHeight="1" x14ac:dyDescent="0.25">
      <c r="A367" s="372"/>
      <c r="B367" s="373"/>
      <c r="C367" s="373"/>
      <c r="D367" s="373" t="s">
        <v>480</v>
      </c>
      <c r="E367" s="375" t="s">
        <v>481</v>
      </c>
      <c r="F367" s="376">
        <v>70000000</v>
      </c>
      <c r="G367" s="477"/>
      <c r="H367" s="477"/>
      <c r="I367" s="477">
        <f t="shared" si="221"/>
        <v>0</v>
      </c>
      <c r="J367" s="377"/>
      <c r="K367" s="477"/>
      <c r="L367" s="477">
        <f>J367+K367</f>
        <v>0</v>
      </c>
      <c r="M367" s="477">
        <f>+I367+L367</f>
        <v>0</v>
      </c>
      <c r="N367" s="409">
        <f>+F367-M367</f>
        <v>70000000</v>
      </c>
      <c r="P367" s="200"/>
      <c r="S367" s="410"/>
      <c r="T367" s="410"/>
      <c r="U367" s="254"/>
    </row>
    <row r="368" spans="1:21" s="153" customFormat="1" ht="21.75" customHeight="1" x14ac:dyDescent="0.25">
      <c r="A368" s="372"/>
      <c r="B368" s="373"/>
      <c r="C368" s="373"/>
      <c r="D368" s="373" t="s">
        <v>482</v>
      </c>
      <c r="E368" s="375" t="s">
        <v>483</v>
      </c>
      <c r="F368" s="376">
        <v>55436150000</v>
      </c>
      <c r="G368" s="477"/>
      <c r="H368" s="477"/>
      <c r="I368" s="477">
        <f t="shared" si="221"/>
        <v>0</v>
      </c>
      <c r="J368" s="377"/>
      <c r="K368" s="477"/>
      <c r="L368" s="477">
        <f>J368+K368</f>
        <v>0</v>
      </c>
      <c r="M368" s="477">
        <f>+I368+L368</f>
        <v>0</v>
      </c>
      <c r="N368" s="409">
        <f>+F368-M368</f>
        <v>55436150000</v>
      </c>
      <c r="P368" s="200"/>
      <c r="S368" s="410"/>
      <c r="T368" s="410"/>
      <c r="U368" s="254"/>
    </row>
    <row r="369" spans="1:21" s="319" customFormat="1" ht="18" customHeight="1" x14ac:dyDescent="0.25">
      <c r="A369" s="276">
        <v>22</v>
      </c>
      <c r="B369" s="305"/>
      <c r="C369" s="305" t="s">
        <v>304</v>
      </c>
      <c r="D369" s="363"/>
      <c r="E369" s="364" t="s">
        <v>305</v>
      </c>
      <c r="F369" s="307">
        <f t="shared" ref="F369:H372" si="228">+F370</f>
        <v>8000000000</v>
      </c>
      <c r="G369" s="308">
        <f t="shared" si="228"/>
        <v>0</v>
      </c>
      <c r="H369" s="308">
        <f t="shared" si="228"/>
        <v>0</v>
      </c>
      <c r="I369" s="308">
        <f>+G369+H369</f>
        <v>0</v>
      </c>
      <c r="J369" s="308">
        <f t="shared" ref="J369:K373" si="229">+J370</f>
        <v>0</v>
      </c>
      <c r="K369" s="308">
        <f t="shared" si="229"/>
        <v>0</v>
      </c>
      <c r="L369" s="308">
        <f>+J369+K369</f>
        <v>0</v>
      </c>
      <c r="M369" s="308">
        <f>+I369+L369</f>
        <v>0</v>
      </c>
      <c r="N369" s="307">
        <f>+F369-M369</f>
        <v>8000000000</v>
      </c>
      <c r="P369" s="320"/>
      <c r="R369" s="321"/>
      <c r="S369" s="411"/>
      <c r="T369" s="411"/>
      <c r="U369" s="350"/>
    </row>
    <row r="370" spans="1:21" s="329" customFormat="1" ht="18" customHeight="1" x14ac:dyDescent="0.25">
      <c r="A370" s="323"/>
      <c r="B370" s="324"/>
      <c r="C370" s="324"/>
      <c r="D370" s="325" t="s">
        <v>306</v>
      </c>
      <c r="E370" s="326" t="s">
        <v>307</v>
      </c>
      <c r="F370" s="327">
        <f t="shared" si="228"/>
        <v>8000000000</v>
      </c>
      <c r="G370" s="328">
        <f t="shared" si="228"/>
        <v>0</v>
      </c>
      <c r="H370" s="328">
        <f t="shared" si="228"/>
        <v>0</v>
      </c>
      <c r="I370" s="328">
        <f>+G370+H370</f>
        <v>0</v>
      </c>
      <c r="J370" s="328">
        <f t="shared" si="229"/>
        <v>0</v>
      </c>
      <c r="K370" s="328">
        <f t="shared" si="229"/>
        <v>0</v>
      </c>
      <c r="L370" s="328">
        <f>+J370+K370</f>
        <v>0</v>
      </c>
      <c r="M370" s="328">
        <f t="shared" ref="M370:M373" si="230">+I370+L370</f>
        <v>0</v>
      </c>
      <c r="N370" s="327">
        <f t="shared" ref="N370:N373" si="231">+F370-M370</f>
        <v>8000000000</v>
      </c>
      <c r="P370" s="330"/>
      <c r="R370" s="331"/>
      <c r="S370" s="332"/>
      <c r="T370" s="332"/>
      <c r="U370" s="333"/>
    </row>
    <row r="371" spans="1:21" s="381" customFormat="1" ht="18" customHeight="1" x14ac:dyDescent="0.25">
      <c r="A371" s="384"/>
      <c r="B371" s="335"/>
      <c r="C371" s="335"/>
      <c r="D371" s="335" t="s">
        <v>308</v>
      </c>
      <c r="E371" s="335" t="s">
        <v>307</v>
      </c>
      <c r="F371" s="337">
        <f t="shared" si="228"/>
        <v>8000000000</v>
      </c>
      <c r="G371" s="338">
        <f t="shared" si="228"/>
        <v>0</v>
      </c>
      <c r="H371" s="338">
        <f t="shared" si="228"/>
        <v>0</v>
      </c>
      <c r="I371" s="338">
        <f>+G371+H371</f>
        <v>0</v>
      </c>
      <c r="J371" s="338">
        <f t="shared" si="229"/>
        <v>0</v>
      </c>
      <c r="K371" s="338">
        <f t="shared" si="229"/>
        <v>0</v>
      </c>
      <c r="L371" s="338">
        <f>+J371+K371</f>
        <v>0</v>
      </c>
      <c r="M371" s="338">
        <f t="shared" si="230"/>
        <v>0</v>
      </c>
      <c r="N371" s="405">
        <f t="shared" si="231"/>
        <v>8000000000</v>
      </c>
      <c r="P371" s="340"/>
      <c r="S371" s="412"/>
      <c r="T371" s="412"/>
      <c r="U371" s="382"/>
    </row>
    <row r="372" spans="1:21" s="339" customFormat="1" ht="18" customHeight="1" x14ac:dyDescent="0.25">
      <c r="A372" s="334"/>
      <c r="B372" s="335"/>
      <c r="C372" s="335"/>
      <c r="D372" s="335" t="s">
        <v>309</v>
      </c>
      <c r="E372" s="336" t="s">
        <v>307</v>
      </c>
      <c r="F372" s="337">
        <f t="shared" si="228"/>
        <v>8000000000</v>
      </c>
      <c r="G372" s="338">
        <f t="shared" si="228"/>
        <v>0</v>
      </c>
      <c r="H372" s="338">
        <f t="shared" si="228"/>
        <v>0</v>
      </c>
      <c r="I372" s="338">
        <f>+G372+H372</f>
        <v>0</v>
      </c>
      <c r="J372" s="338">
        <f t="shared" si="229"/>
        <v>0</v>
      </c>
      <c r="K372" s="338">
        <f t="shared" si="229"/>
        <v>0</v>
      </c>
      <c r="L372" s="338">
        <f>+J372+K372</f>
        <v>0</v>
      </c>
      <c r="M372" s="338">
        <f t="shared" si="230"/>
        <v>0</v>
      </c>
      <c r="N372" s="337">
        <f t="shared" si="231"/>
        <v>8000000000</v>
      </c>
      <c r="P372" s="340"/>
      <c r="S372" s="341"/>
      <c r="T372" s="341"/>
      <c r="U372" s="342"/>
    </row>
    <row r="373" spans="1:21" s="339" customFormat="1" ht="17.25" customHeight="1" x14ac:dyDescent="0.25">
      <c r="A373" s="334"/>
      <c r="B373" s="335"/>
      <c r="C373" s="335"/>
      <c r="D373" s="335" t="s">
        <v>310</v>
      </c>
      <c r="E373" s="391" t="s">
        <v>307</v>
      </c>
      <c r="F373" s="337">
        <f>F374</f>
        <v>8000000000</v>
      </c>
      <c r="G373" s="344">
        <f>+G374</f>
        <v>0</v>
      </c>
      <c r="H373" s="344">
        <f>+H374</f>
        <v>0</v>
      </c>
      <c r="I373" s="338">
        <f>+G373+H373</f>
        <v>0</v>
      </c>
      <c r="J373" s="344">
        <f t="shared" si="229"/>
        <v>0</v>
      </c>
      <c r="K373" s="344">
        <f t="shared" si="229"/>
        <v>0</v>
      </c>
      <c r="L373" s="338">
        <f>+J373+K373</f>
        <v>0</v>
      </c>
      <c r="M373" s="344">
        <f t="shared" si="230"/>
        <v>0</v>
      </c>
      <c r="N373" s="337">
        <f t="shared" si="231"/>
        <v>8000000000</v>
      </c>
      <c r="P373" s="340"/>
      <c r="S373" s="345"/>
      <c r="T373" s="345"/>
      <c r="U373" s="342"/>
    </row>
    <row r="374" spans="1:21" s="153" customFormat="1" ht="20.25" customHeight="1" x14ac:dyDescent="0.25">
      <c r="A374" s="353"/>
      <c r="B374" s="355"/>
      <c r="C374" s="355"/>
      <c r="D374" s="355" t="s">
        <v>311</v>
      </c>
      <c r="E374" s="402" t="s">
        <v>307</v>
      </c>
      <c r="F374" s="356">
        <v>8000000000</v>
      </c>
      <c r="G374" s="406"/>
      <c r="H374" s="406"/>
      <c r="I374" s="406">
        <f t="shared" ref="I374:I383" si="232">+G374+H374</f>
        <v>0</v>
      </c>
      <c r="J374" s="357"/>
      <c r="K374" s="406"/>
      <c r="L374" s="406">
        <f>J374+K374</f>
        <v>0</v>
      </c>
      <c r="M374" s="406">
        <f>+I374+L374</f>
        <v>0</v>
      </c>
      <c r="N374" s="405">
        <f>+F374-M374</f>
        <v>8000000000</v>
      </c>
      <c r="P374" s="200"/>
      <c r="S374" s="410"/>
      <c r="T374" s="410"/>
      <c r="U374" s="254"/>
    </row>
    <row r="375" spans="1:21" s="319" customFormat="1" ht="18" customHeight="1" x14ac:dyDescent="0.25">
      <c r="A375" s="276">
        <v>23</v>
      </c>
      <c r="B375" s="305"/>
      <c r="C375" s="305" t="s">
        <v>320</v>
      </c>
      <c r="D375" s="363"/>
      <c r="E375" s="364" t="s">
        <v>312</v>
      </c>
      <c r="F375" s="307">
        <f t="shared" ref="F375:H376" si="233">+F376</f>
        <v>19577417200</v>
      </c>
      <c r="G375" s="308">
        <f t="shared" si="233"/>
        <v>0</v>
      </c>
      <c r="H375" s="308">
        <f t="shared" si="233"/>
        <v>0</v>
      </c>
      <c r="I375" s="308">
        <f t="shared" si="232"/>
        <v>0</v>
      </c>
      <c r="J375" s="308">
        <f>+J376</f>
        <v>0</v>
      </c>
      <c r="K375" s="308">
        <f>+K376</f>
        <v>0</v>
      </c>
      <c r="L375" s="308">
        <f>+J375+K375</f>
        <v>0</v>
      </c>
      <c r="M375" s="308">
        <f>+I375+L375</f>
        <v>0</v>
      </c>
      <c r="N375" s="307">
        <f>+F375-M375</f>
        <v>19577417200</v>
      </c>
      <c r="P375" s="320"/>
      <c r="R375" s="321"/>
      <c r="S375" s="411"/>
      <c r="T375" s="411"/>
      <c r="U375" s="350"/>
    </row>
    <row r="376" spans="1:21" s="329" customFormat="1" ht="18" customHeight="1" x14ac:dyDescent="0.25">
      <c r="A376" s="323"/>
      <c r="B376" s="324"/>
      <c r="C376" s="324"/>
      <c r="D376" s="325" t="s">
        <v>287</v>
      </c>
      <c r="E376" s="326" t="s">
        <v>288</v>
      </c>
      <c r="F376" s="327">
        <f t="shared" si="233"/>
        <v>19577417200</v>
      </c>
      <c r="G376" s="328">
        <f t="shared" si="233"/>
        <v>0</v>
      </c>
      <c r="H376" s="328">
        <f t="shared" si="233"/>
        <v>0</v>
      </c>
      <c r="I376" s="328">
        <f t="shared" si="232"/>
        <v>0</v>
      </c>
      <c r="J376" s="328">
        <f>+J377</f>
        <v>0</v>
      </c>
      <c r="K376" s="328">
        <f>+K377</f>
        <v>0</v>
      </c>
      <c r="L376" s="328">
        <f>+J376+K376</f>
        <v>0</v>
      </c>
      <c r="M376" s="328">
        <f t="shared" ref="M376:M379" si="234">+I376+L376</f>
        <v>0</v>
      </c>
      <c r="N376" s="327">
        <f t="shared" ref="N376:N379" si="235">+F376-M376</f>
        <v>19577417200</v>
      </c>
      <c r="P376" s="330"/>
      <c r="R376" s="331"/>
      <c r="S376" s="332"/>
      <c r="T376" s="332"/>
      <c r="U376" s="333"/>
    </row>
    <row r="377" spans="1:21" s="381" customFormat="1" ht="18" customHeight="1" x14ac:dyDescent="0.25">
      <c r="A377" s="384"/>
      <c r="B377" s="335"/>
      <c r="C377" s="335"/>
      <c r="D377" s="335" t="s">
        <v>313</v>
      </c>
      <c r="E377" s="335" t="s">
        <v>415</v>
      </c>
      <c r="F377" s="337">
        <f>+F378+F381</f>
        <v>19577417200</v>
      </c>
      <c r="G377" s="338">
        <f>+G378+G381</f>
        <v>0</v>
      </c>
      <c r="H377" s="338">
        <f>+H378+H381</f>
        <v>0</v>
      </c>
      <c r="I377" s="338">
        <f t="shared" si="232"/>
        <v>0</v>
      </c>
      <c r="J377" s="338">
        <f>+J378+J381</f>
        <v>0</v>
      </c>
      <c r="K377" s="338">
        <f>+K378+K381</f>
        <v>0</v>
      </c>
      <c r="L377" s="338">
        <f>+J377+K377</f>
        <v>0</v>
      </c>
      <c r="M377" s="338">
        <f t="shared" si="234"/>
        <v>0</v>
      </c>
      <c r="N377" s="405">
        <f t="shared" si="235"/>
        <v>19577417200</v>
      </c>
      <c r="P377" s="340"/>
      <c r="S377" s="412"/>
      <c r="T377" s="412"/>
      <c r="U377" s="382"/>
    </row>
    <row r="378" spans="1:21" s="339" customFormat="1" ht="31.5" customHeight="1" x14ac:dyDescent="0.25">
      <c r="A378" s="334"/>
      <c r="B378" s="335"/>
      <c r="C378" s="335"/>
      <c r="D378" s="335" t="s">
        <v>314</v>
      </c>
      <c r="E378" s="413" t="s">
        <v>416</v>
      </c>
      <c r="F378" s="337">
        <f>+F379</f>
        <v>18835000000</v>
      </c>
      <c r="G378" s="338">
        <f>+G379</f>
        <v>0</v>
      </c>
      <c r="H378" s="338">
        <f>+H379</f>
        <v>0</v>
      </c>
      <c r="I378" s="338">
        <f t="shared" si="232"/>
        <v>0</v>
      </c>
      <c r="J378" s="338">
        <f>+J379</f>
        <v>0</v>
      </c>
      <c r="K378" s="338">
        <f>+K379</f>
        <v>0</v>
      </c>
      <c r="L378" s="338">
        <f>+J378+K378</f>
        <v>0</v>
      </c>
      <c r="M378" s="338">
        <f t="shared" si="234"/>
        <v>0</v>
      </c>
      <c r="N378" s="337">
        <f t="shared" si="235"/>
        <v>18835000000</v>
      </c>
      <c r="P378" s="340"/>
      <c r="S378" s="341"/>
      <c r="T378" s="341"/>
      <c r="U378" s="342"/>
    </row>
    <row r="379" spans="1:21" s="339" customFormat="1" ht="17.25" customHeight="1" x14ac:dyDescent="0.25">
      <c r="A379" s="334"/>
      <c r="B379" s="335"/>
      <c r="C379" s="335"/>
      <c r="D379" s="335" t="s">
        <v>315</v>
      </c>
      <c r="E379" s="391" t="s">
        <v>417</v>
      </c>
      <c r="F379" s="337">
        <f>F380</f>
        <v>18835000000</v>
      </c>
      <c r="G379" s="344">
        <f>+G380</f>
        <v>0</v>
      </c>
      <c r="H379" s="344">
        <f>+H380</f>
        <v>0</v>
      </c>
      <c r="I379" s="338">
        <f t="shared" si="232"/>
        <v>0</v>
      </c>
      <c r="J379" s="344">
        <f>+J380</f>
        <v>0</v>
      </c>
      <c r="K379" s="344">
        <f>+K380</f>
        <v>0</v>
      </c>
      <c r="L379" s="338">
        <f>+J379+K379</f>
        <v>0</v>
      </c>
      <c r="M379" s="344">
        <f t="shared" si="234"/>
        <v>0</v>
      </c>
      <c r="N379" s="337">
        <f t="shared" si="235"/>
        <v>18835000000</v>
      </c>
      <c r="P379" s="340"/>
      <c r="S379" s="345"/>
      <c r="T379" s="345"/>
      <c r="U379" s="342"/>
    </row>
    <row r="380" spans="1:21" s="339" customFormat="1" ht="20.25" customHeight="1" x14ac:dyDescent="0.25">
      <c r="A380" s="334"/>
      <c r="B380" s="335"/>
      <c r="C380" s="335"/>
      <c r="D380" s="335" t="s">
        <v>316</v>
      </c>
      <c r="E380" s="391" t="s">
        <v>417</v>
      </c>
      <c r="F380" s="337">
        <v>18835000000</v>
      </c>
      <c r="G380" s="338"/>
      <c r="H380" s="338"/>
      <c r="I380" s="338">
        <f t="shared" si="232"/>
        <v>0</v>
      </c>
      <c r="J380" s="344"/>
      <c r="K380" s="338"/>
      <c r="L380" s="338">
        <f>J380+K380</f>
        <v>0</v>
      </c>
      <c r="M380" s="338">
        <f>+I380+L380</f>
        <v>0</v>
      </c>
      <c r="N380" s="405">
        <f>+F380-M380</f>
        <v>18835000000</v>
      </c>
      <c r="P380" s="340"/>
      <c r="S380" s="345"/>
      <c r="T380" s="345"/>
      <c r="U380" s="342"/>
    </row>
    <row r="381" spans="1:21" s="339" customFormat="1" ht="20.25" customHeight="1" x14ac:dyDescent="0.25">
      <c r="A381" s="334"/>
      <c r="B381" s="335"/>
      <c r="C381" s="335"/>
      <c r="D381" s="335" t="s">
        <v>317</v>
      </c>
      <c r="E381" s="413" t="s">
        <v>418</v>
      </c>
      <c r="F381" s="337">
        <f>+F382</f>
        <v>742417200</v>
      </c>
      <c r="G381" s="338">
        <f>+G382</f>
        <v>0</v>
      </c>
      <c r="H381" s="338">
        <f>+H382</f>
        <v>0</v>
      </c>
      <c r="I381" s="338">
        <f t="shared" si="232"/>
        <v>0</v>
      </c>
      <c r="J381" s="338">
        <f>+J382</f>
        <v>0</v>
      </c>
      <c r="K381" s="338">
        <f>+K382</f>
        <v>0</v>
      </c>
      <c r="L381" s="338">
        <f>+J381+K381</f>
        <v>0</v>
      </c>
      <c r="M381" s="338">
        <f t="shared" ref="M381:M382" si="236">+I381+L381</f>
        <v>0</v>
      </c>
      <c r="N381" s="337">
        <f t="shared" ref="N381:N382" si="237">+F381-M381</f>
        <v>742417200</v>
      </c>
      <c r="P381" s="340"/>
      <c r="S381" s="341"/>
      <c r="T381" s="341"/>
      <c r="U381" s="342"/>
    </row>
    <row r="382" spans="1:21" s="339" customFormat="1" ht="17.25" customHeight="1" x14ac:dyDescent="0.25">
      <c r="A382" s="334"/>
      <c r="B382" s="335"/>
      <c r="C382" s="335"/>
      <c r="D382" s="335" t="s">
        <v>318</v>
      </c>
      <c r="E382" s="391" t="s">
        <v>418</v>
      </c>
      <c r="F382" s="337">
        <f>F383</f>
        <v>742417200</v>
      </c>
      <c r="G382" s="344">
        <f>+G383</f>
        <v>0</v>
      </c>
      <c r="H382" s="344">
        <f>+H383</f>
        <v>0</v>
      </c>
      <c r="I382" s="338">
        <f t="shared" si="232"/>
        <v>0</v>
      </c>
      <c r="J382" s="344">
        <f>+J383</f>
        <v>0</v>
      </c>
      <c r="K382" s="344">
        <f>+K383</f>
        <v>0</v>
      </c>
      <c r="L382" s="338">
        <f>+J382+K382</f>
        <v>0</v>
      </c>
      <c r="M382" s="344">
        <f t="shared" si="236"/>
        <v>0</v>
      </c>
      <c r="N382" s="337">
        <f t="shared" si="237"/>
        <v>742417200</v>
      </c>
      <c r="P382" s="340"/>
      <c r="S382" s="345"/>
      <c r="T382" s="345"/>
      <c r="U382" s="342"/>
    </row>
    <row r="383" spans="1:21" ht="20.25" customHeight="1" x14ac:dyDescent="0.25">
      <c r="A383" s="301"/>
      <c r="B383" s="414"/>
      <c r="C383" s="414"/>
      <c r="D383" s="414" t="s">
        <v>319</v>
      </c>
      <c r="E383" s="415" t="s">
        <v>418</v>
      </c>
      <c r="F383" s="416">
        <v>742417200</v>
      </c>
      <c r="G383" s="417"/>
      <c r="H383" s="417"/>
      <c r="I383" s="417">
        <f t="shared" si="232"/>
        <v>0</v>
      </c>
      <c r="J383" s="35"/>
      <c r="K383" s="417"/>
      <c r="L383" s="417">
        <f>J383+K383</f>
        <v>0</v>
      </c>
      <c r="M383" s="417">
        <f>+I383+L383</f>
        <v>0</v>
      </c>
      <c r="N383" s="418">
        <f>+F383-M383</f>
        <v>742417200</v>
      </c>
      <c r="S383" s="419"/>
      <c r="T383" s="419"/>
      <c r="U383" s="420"/>
    </row>
    <row r="384" spans="1:21" ht="18" customHeight="1" x14ac:dyDescent="0.25">
      <c r="A384" s="302"/>
      <c r="B384" s="421"/>
      <c r="C384" s="421"/>
      <c r="D384" s="421"/>
      <c r="E384" s="421"/>
      <c r="F384" s="422"/>
      <c r="G384" s="423"/>
      <c r="H384" s="423"/>
      <c r="I384" s="423"/>
      <c r="J384" s="423"/>
      <c r="K384" s="423"/>
      <c r="L384" s="423"/>
      <c r="M384" s="423"/>
      <c r="N384" s="422"/>
      <c r="U384" s="420"/>
    </row>
    <row r="385" spans="1:21" ht="18" customHeight="1" x14ac:dyDescent="0.25">
      <c r="A385" s="301"/>
      <c r="B385" s="414"/>
      <c r="C385" s="414"/>
      <c r="D385" s="414"/>
      <c r="E385" s="414" t="s">
        <v>41</v>
      </c>
      <c r="F385" s="35"/>
      <c r="G385" s="35"/>
      <c r="H385" s="35"/>
      <c r="I385" s="35"/>
      <c r="J385" s="35"/>
      <c r="K385" s="35"/>
      <c r="L385" s="35"/>
      <c r="M385" s="35"/>
      <c r="N385" s="416"/>
      <c r="U385" s="420"/>
    </row>
    <row r="386" spans="1:21" ht="18" customHeight="1" x14ac:dyDescent="0.25">
      <c r="A386" s="301"/>
      <c r="B386" s="414"/>
      <c r="C386" s="414"/>
      <c r="D386" s="414"/>
      <c r="E386" s="414" t="s">
        <v>21</v>
      </c>
      <c r="F386" s="35"/>
      <c r="G386" s="35">
        <f>+G17</f>
        <v>48555973852</v>
      </c>
      <c r="H386" s="35">
        <f>+H17</f>
        <v>12206513922</v>
      </c>
      <c r="I386" s="35">
        <f>+I17</f>
        <v>60762487774</v>
      </c>
      <c r="J386" s="35">
        <f>+J17</f>
        <v>776308849</v>
      </c>
      <c r="K386" s="35">
        <f>+K17</f>
        <v>117840763</v>
      </c>
      <c r="L386" s="35">
        <f t="shared" ref="L386:L391" si="238">+J386+K386</f>
        <v>894149612</v>
      </c>
      <c r="M386" s="35">
        <f>+I386+L386</f>
        <v>61656637386</v>
      </c>
      <c r="N386" s="416"/>
      <c r="U386" s="420"/>
    </row>
    <row r="387" spans="1:21" ht="18" customHeight="1" x14ac:dyDescent="0.25">
      <c r="A387" s="301"/>
      <c r="B387" s="414"/>
      <c r="C387" s="414"/>
      <c r="D387" s="414"/>
      <c r="E387" s="414" t="s">
        <v>42</v>
      </c>
      <c r="F387" s="35"/>
      <c r="G387" s="35">
        <f>+SUM(G388:G401)</f>
        <v>344171151</v>
      </c>
      <c r="H387" s="35">
        <f>+SUM(H388:H401)</f>
        <v>326616816</v>
      </c>
      <c r="I387" s="35">
        <f>+G387+H387</f>
        <v>670787967</v>
      </c>
      <c r="J387" s="35">
        <f>+SUM(J388:J401)</f>
        <v>29073331</v>
      </c>
      <c r="K387" s="35">
        <f>+SUM(K388:K401)</f>
        <v>5107708</v>
      </c>
      <c r="L387" s="35">
        <f>+J387+K387</f>
        <v>34181039</v>
      </c>
      <c r="M387" s="424">
        <f>+I387+L387</f>
        <v>704969006</v>
      </c>
      <c r="N387" s="416"/>
      <c r="P387" s="294">
        <f>+M386+M387</f>
        <v>62361606392</v>
      </c>
      <c r="U387" s="420"/>
    </row>
    <row r="388" spans="1:21" ht="18" customHeight="1" x14ac:dyDescent="0.25">
      <c r="A388" s="301"/>
      <c r="B388" s="414"/>
      <c r="C388" s="414"/>
      <c r="D388" s="414"/>
      <c r="E388" s="425" t="s">
        <v>24</v>
      </c>
      <c r="F388" s="35"/>
      <c r="G388" s="35">
        <v>33428184</v>
      </c>
      <c r="H388" s="35">
        <f>19105315</f>
        <v>19105315</v>
      </c>
      <c r="I388" s="35">
        <f>+G388+H388</f>
        <v>52533499</v>
      </c>
      <c r="J388" s="35">
        <v>17223652</v>
      </c>
      <c r="K388" s="35">
        <f>1804545+1454775</f>
        <v>3259320</v>
      </c>
      <c r="L388" s="35">
        <f t="shared" si="238"/>
        <v>20482972</v>
      </c>
      <c r="M388" s="35">
        <f t="shared" ref="M388:M391" si="239">+I388+L388</f>
        <v>73016471</v>
      </c>
      <c r="N388" s="416"/>
      <c r="U388" s="420"/>
    </row>
    <row r="389" spans="1:21" ht="18" customHeight="1" x14ac:dyDescent="0.25">
      <c r="A389" s="301"/>
      <c r="B389" s="414"/>
      <c r="C389" s="414"/>
      <c r="D389" s="414"/>
      <c r="E389" s="425" t="s">
        <v>22</v>
      </c>
      <c r="F389" s="35"/>
      <c r="G389" s="35">
        <v>23371823</v>
      </c>
      <c r="H389" s="35">
        <f>70465977+317671+105791774+6244650+6824200</f>
        <v>189644272</v>
      </c>
      <c r="I389" s="35">
        <f>+G389+H389</f>
        <v>213016095</v>
      </c>
      <c r="J389" s="35">
        <v>0</v>
      </c>
      <c r="K389" s="35">
        <f>150000+75000</f>
        <v>225000</v>
      </c>
      <c r="L389" s="35">
        <f t="shared" si="238"/>
        <v>225000</v>
      </c>
      <c r="M389" s="35">
        <f t="shared" si="239"/>
        <v>213241095</v>
      </c>
      <c r="N389" s="416"/>
      <c r="U389" s="420"/>
    </row>
    <row r="390" spans="1:21" ht="18" customHeight="1" x14ac:dyDescent="0.25">
      <c r="A390" s="299"/>
      <c r="B390" s="426"/>
      <c r="C390" s="426"/>
      <c r="D390" s="426"/>
      <c r="E390" s="427" t="s">
        <v>25</v>
      </c>
      <c r="F390" s="236"/>
      <c r="G390" s="236">
        <v>4114126</v>
      </c>
      <c r="H390" s="236">
        <f>2605270</f>
        <v>2605270</v>
      </c>
      <c r="I390" s="236">
        <f>+G390+H390</f>
        <v>6719396</v>
      </c>
      <c r="J390" s="236">
        <v>1722917</v>
      </c>
      <c r="K390" s="236">
        <f>47298+16892+33784</f>
        <v>97974</v>
      </c>
      <c r="L390" s="236">
        <f t="shared" si="238"/>
        <v>1820891</v>
      </c>
      <c r="M390" s="236">
        <f t="shared" si="239"/>
        <v>8540287</v>
      </c>
      <c r="N390" s="428"/>
      <c r="Q390" s="298"/>
      <c r="U390" s="420"/>
    </row>
    <row r="391" spans="1:21" ht="18" customHeight="1" x14ac:dyDescent="0.25">
      <c r="A391" s="301"/>
      <c r="B391" s="414"/>
      <c r="C391" s="414"/>
      <c r="D391" s="414"/>
      <c r="E391" s="425" t="s">
        <v>26</v>
      </c>
      <c r="F391" s="35"/>
      <c r="G391" s="35">
        <v>5923500</v>
      </c>
      <c r="H391" s="35"/>
      <c r="I391" s="35">
        <f>+G391+H391</f>
        <v>5923500</v>
      </c>
      <c r="J391" s="35">
        <v>2551762</v>
      </c>
      <c r="K391" s="35">
        <f>360909+264505</f>
        <v>625414</v>
      </c>
      <c r="L391" s="35">
        <f t="shared" si="238"/>
        <v>3177176</v>
      </c>
      <c r="M391" s="35">
        <f t="shared" si="239"/>
        <v>9100676</v>
      </c>
      <c r="N391" s="416"/>
      <c r="U391" s="420"/>
    </row>
    <row r="392" spans="1:21" ht="18" customHeight="1" x14ac:dyDescent="0.25">
      <c r="A392" s="301"/>
      <c r="B392" s="414"/>
      <c r="C392" s="414"/>
      <c r="D392" s="414"/>
      <c r="E392" s="425" t="s">
        <v>40</v>
      </c>
      <c r="F392" s="35"/>
      <c r="G392" s="35"/>
      <c r="H392" s="35"/>
      <c r="I392" s="35"/>
      <c r="J392" s="35"/>
      <c r="K392" s="35"/>
      <c r="L392" s="35"/>
      <c r="M392" s="35"/>
      <c r="N392" s="416"/>
      <c r="U392" s="420"/>
    </row>
    <row r="393" spans="1:21" ht="18" customHeight="1" x14ac:dyDescent="0.25">
      <c r="A393" s="301"/>
      <c r="B393" s="414"/>
      <c r="C393" s="414"/>
      <c r="D393" s="414"/>
      <c r="E393" s="425" t="s">
        <v>321</v>
      </c>
      <c r="F393" s="35"/>
      <c r="G393" s="35">
        <v>0</v>
      </c>
      <c r="H393" s="35"/>
      <c r="I393" s="35">
        <f>+G393+H393</f>
        <v>0</v>
      </c>
      <c r="J393" s="35">
        <v>0</v>
      </c>
      <c r="K393" s="35"/>
      <c r="L393" s="35">
        <f>+J393+K393</f>
        <v>0</v>
      </c>
      <c r="M393" s="35">
        <f>+I393+L393</f>
        <v>0</v>
      </c>
      <c r="N393" s="416"/>
      <c r="U393" s="420"/>
    </row>
    <row r="394" spans="1:21" ht="18" customHeight="1" x14ac:dyDescent="0.25">
      <c r="A394" s="301"/>
      <c r="B394" s="414"/>
      <c r="C394" s="414"/>
      <c r="D394" s="414"/>
      <c r="E394" s="425" t="s">
        <v>322</v>
      </c>
      <c r="F394" s="35"/>
      <c r="G394" s="35">
        <v>165118154</v>
      </c>
      <c r="H394" s="35">
        <f>5207303+2886932+51474400</f>
        <v>59568635</v>
      </c>
      <c r="I394" s="35">
        <f t="shared" ref="I394:I400" si="240">+G394+H394</f>
        <v>224686789</v>
      </c>
      <c r="J394" s="35">
        <v>0</v>
      </c>
      <c r="K394" s="35"/>
      <c r="L394" s="35">
        <f>+J394+K394</f>
        <v>0</v>
      </c>
      <c r="M394" s="35">
        <f t="shared" ref="M394:M400" si="241">+I394+L394</f>
        <v>224686789</v>
      </c>
      <c r="N394" s="416"/>
      <c r="U394" s="420"/>
    </row>
    <row r="395" spans="1:21" ht="18" customHeight="1" x14ac:dyDescent="0.25">
      <c r="A395" s="301"/>
      <c r="B395" s="414"/>
      <c r="C395" s="414"/>
      <c r="D395" s="414"/>
      <c r="E395" s="425" t="s">
        <v>323</v>
      </c>
      <c r="F395" s="35"/>
      <c r="G395" s="35">
        <v>41832664</v>
      </c>
      <c r="H395" s="35">
        <f>20829194+11547739</f>
        <v>32376933</v>
      </c>
      <c r="I395" s="35">
        <f t="shared" si="240"/>
        <v>74209597</v>
      </c>
      <c r="J395" s="35"/>
      <c r="K395" s="35"/>
      <c r="L395" s="35"/>
      <c r="M395" s="35">
        <f t="shared" si="241"/>
        <v>74209597</v>
      </c>
      <c r="N395" s="416"/>
      <c r="U395" s="420"/>
    </row>
    <row r="396" spans="1:21" ht="18" customHeight="1" x14ac:dyDescent="0.25">
      <c r="A396" s="301"/>
      <c r="B396" s="414"/>
      <c r="C396" s="414"/>
      <c r="D396" s="414"/>
      <c r="E396" s="425" t="s">
        <v>324</v>
      </c>
      <c r="F396" s="35"/>
      <c r="G396" s="35">
        <v>1730239</v>
      </c>
      <c r="H396" s="35">
        <v>574228</v>
      </c>
      <c r="I396" s="35">
        <f t="shared" si="240"/>
        <v>2304467</v>
      </c>
      <c r="J396" s="35"/>
      <c r="K396" s="35"/>
      <c r="L396" s="35"/>
      <c r="M396" s="35">
        <f t="shared" si="241"/>
        <v>2304467</v>
      </c>
      <c r="N396" s="416"/>
      <c r="U396" s="420"/>
    </row>
    <row r="397" spans="1:21" ht="18" customHeight="1" x14ac:dyDescent="0.25">
      <c r="A397" s="301"/>
      <c r="B397" s="414"/>
      <c r="C397" s="414"/>
      <c r="D397" s="414"/>
      <c r="E397" s="425" t="s">
        <v>325</v>
      </c>
      <c r="F397" s="35"/>
      <c r="G397" s="35">
        <v>5190716</v>
      </c>
      <c r="H397" s="35">
        <v>1722684</v>
      </c>
      <c r="I397" s="35">
        <f t="shared" si="240"/>
        <v>6913400</v>
      </c>
      <c r="J397" s="35"/>
      <c r="K397" s="35"/>
      <c r="L397" s="35"/>
      <c r="M397" s="35">
        <f t="shared" si="241"/>
        <v>6913400</v>
      </c>
      <c r="N397" s="416"/>
      <c r="U397" s="420"/>
    </row>
    <row r="398" spans="1:21" ht="18" customHeight="1" x14ac:dyDescent="0.25">
      <c r="A398" s="301"/>
      <c r="B398" s="414"/>
      <c r="C398" s="414"/>
      <c r="D398" s="414"/>
      <c r="E398" s="425" t="s">
        <v>326</v>
      </c>
      <c r="F398" s="35"/>
      <c r="G398" s="35">
        <v>63461745</v>
      </c>
      <c r="H398" s="35">
        <v>21019479</v>
      </c>
      <c r="I398" s="35">
        <f t="shared" si="240"/>
        <v>84481224</v>
      </c>
      <c r="J398" s="35"/>
      <c r="K398" s="35"/>
      <c r="L398" s="35"/>
      <c r="M398" s="35">
        <f t="shared" si="241"/>
        <v>84481224</v>
      </c>
      <c r="N398" s="416"/>
      <c r="U398" s="420"/>
    </row>
    <row r="399" spans="1:21" ht="18" customHeight="1" x14ac:dyDescent="0.25">
      <c r="A399" s="299"/>
      <c r="B399" s="426"/>
      <c r="C399" s="426"/>
      <c r="D399" s="426"/>
      <c r="E399" s="427" t="s">
        <v>327</v>
      </c>
      <c r="F399" s="236"/>
      <c r="G399" s="236"/>
      <c r="H399" s="236"/>
      <c r="I399" s="236"/>
      <c r="J399" s="236">
        <v>7575000</v>
      </c>
      <c r="K399" s="236">
        <f>350000+125000+250000+175000</f>
        <v>900000</v>
      </c>
      <c r="L399" s="236">
        <f>+J399+K399</f>
        <v>8475000</v>
      </c>
      <c r="M399" s="236">
        <f t="shared" si="241"/>
        <v>8475000</v>
      </c>
      <c r="N399" s="428"/>
      <c r="U399" s="420"/>
    </row>
    <row r="400" spans="1:21" ht="18" customHeight="1" x14ac:dyDescent="0.25">
      <c r="A400" s="301"/>
      <c r="B400" s="414"/>
      <c r="C400" s="414"/>
      <c r="D400" s="414"/>
      <c r="E400" s="425" t="s">
        <v>426</v>
      </c>
      <c r="F400" s="35"/>
      <c r="G400" s="35"/>
      <c r="H400" s="35"/>
      <c r="I400" s="35">
        <f t="shared" si="240"/>
        <v>0</v>
      </c>
      <c r="J400" s="35"/>
      <c r="K400" s="35"/>
      <c r="L400" s="35"/>
      <c r="M400" s="35">
        <f t="shared" si="241"/>
        <v>0</v>
      </c>
      <c r="N400" s="416"/>
      <c r="U400" s="420"/>
    </row>
    <row r="401" spans="1:21" ht="18" customHeight="1" x14ac:dyDescent="0.25">
      <c r="A401" s="301"/>
      <c r="B401" s="414"/>
      <c r="C401" s="414"/>
      <c r="D401" s="414"/>
      <c r="E401" s="414" t="s">
        <v>23</v>
      </c>
      <c r="F401" s="35"/>
      <c r="G401" s="35"/>
      <c r="H401" s="35"/>
      <c r="I401" s="35"/>
      <c r="J401" s="35"/>
      <c r="K401" s="35"/>
      <c r="L401" s="35"/>
      <c r="M401" s="35"/>
      <c r="N401" s="416"/>
      <c r="U401" s="420"/>
    </row>
    <row r="402" spans="1:21" ht="18" customHeight="1" x14ac:dyDescent="0.25">
      <c r="A402" s="301"/>
      <c r="B402" s="414"/>
      <c r="C402" s="414"/>
      <c r="D402" s="414"/>
      <c r="E402" s="429" t="s">
        <v>27</v>
      </c>
      <c r="F402" s="423"/>
      <c r="G402" s="430"/>
      <c r="H402" s="430">
        <v>0</v>
      </c>
      <c r="I402" s="430">
        <v>0</v>
      </c>
      <c r="J402" s="430">
        <v>0</v>
      </c>
      <c r="K402" s="430">
        <v>0</v>
      </c>
      <c r="L402" s="430">
        <v>0</v>
      </c>
      <c r="M402" s="430">
        <v>0</v>
      </c>
      <c r="N402" s="422"/>
      <c r="Q402" s="298"/>
      <c r="U402" s="420"/>
    </row>
    <row r="403" spans="1:21" ht="18" customHeight="1" x14ac:dyDescent="0.25">
      <c r="A403" s="301"/>
      <c r="B403" s="414"/>
      <c r="C403" s="414"/>
      <c r="D403" s="414"/>
      <c r="E403" s="414"/>
      <c r="F403" s="35"/>
      <c r="G403" s="35"/>
      <c r="H403" s="35"/>
      <c r="I403" s="35"/>
      <c r="J403" s="35"/>
      <c r="K403" s="35"/>
      <c r="L403" s="35"/>
      <c r="M403" s="35"/>
      <c r="N403" s="416"/>
      <c r="U403" s="420"/>
    </row>
    <row r="404" spans="1:21" ht="18" customHeight="1" x14ac:dyDescent="0.25">
      <c r="A404" s="301"/>
      <c r="B404" s="414"/>
      <c r="C404" s="414"/>
      <c r="D404" s="414"/>
      <c r="E404" s="414" t="s">
        <v>328</v>
      </c>
      <c r="F404" s="35"/>
      <c r="G404" s="35"/>
      <c r="H404" s="35"/>
      <c r="I404" s="35"/>
      <c r="J404" s="35"/>
      <c r="K404" s="35"/>
      <c r="L404" s="35"/>
      <c r="M404" s="35"/>
      <c r="N404" s="416"/>
      <c r="U404" s="420"/>
    </row>
    <row r="405" spans="1:21" ht="18" customHeight="1" x14ac:dyDescent="0.25">
      <c r="A405" s="301"/>
      <c r="B405" s="414"/>
      <c r="C405" s="414"/>
      <c r="D405" s="414"/>
      <c r="E405" s="414" t="s">
        <v>21</v>
      </c>
      <c r="F405" s="35"/>
      <c r="G405" s="35">
        <f>+G386</f>
        <v>48555973852</v>
      </c>
      <c r="H405" s="424">
        <f>+H386</f>
        <v>12206513922</v>
      </c>
      <c r="I405" s="35">
        <f t="shared" ref="I405:L405" si="242">+I386</f>
        <v>60762487774</v>
      </c>
      <c r="J405" s="35">
        <f t="shared" si="242"/>
        <v>776308849</v>
      </c>
      <c r="K405" s="35">
        <f t="shared" si="242"/>
        <v>117840763</v>
      </c>
      <c r="L405" s="35">
        <f t="shared" si="242"/>
        <v>894149612</v>
      </c>
      <c r="M405" s="35">
        <f>+M386</f>
        <v>61656637386</v>
      </c>
      <c r="N405" s="416"/>
      <c r="O405" s="431"/>
      <c r="U405" s="420"/>
    </row>
    <row r="406" spans="1:21" ht="18" customHeight="1" x14ac:dyDescent="0.25">
      <c r="A406" s="301"/>
      <c r="B406" s="414"/>
      <c r="C406" s="414"/>
      <c r="D406" s="414"/>
      <c r="E406" s="414" t="s">
        <v>42</v>
      </c>
      <c r="F406" s="35"/>
      <c r="G406" s="35">
        <f>+SUM(G407:G420)</f>
        <v>344171151</v>
      </c>
      <c r="H406" s="35">
        <f>+SUM(H407:H420)</f>
        <v>326616816</v>
      </c>
      <c r="I406" s="35">
        <f>+G406+H406</f>
        <v>670787967</v>
      </c>
      <c r="J406" s="35">
        <f>+SUM(J407:J420)</f>
        <v>29073331</v>
      </c>
      <c r="K406" s="35">
        <f>+SUM(K407:K420)</f>
        <v>5107708</v>
      </c>
      <c r="L406" s="35">
        <f>+J406+K406</f>
        <v>34181039</v>
      </c>
      <c r="M406" s="424">
        <f>+I406+L406</f>
        <v>704969006</v>
      </c>
      <c r="N406" s="416"/>
      <c r="U406" s="420"/>
    </row>
    <row r="407" spans="1:21" ht="18" customHeight="1" x14ac:dyDescent="0.25">
      <c r="A407" s="301"/>
      <c r="B407" s="414"/>
      <c r="C407" s="414"/>
      <c r="D407" s="414"/>
      <c r="E407" s="425" t="s">
        <v>24</v>
      </c>
      <c r="F407" s="35"/>
      <c r="G407" s="35">
        <v>33428184</v>
      </c>
      <c r="H407" s="35">
        <f>19105315</f>
        <v>19105315</v>
      </c>
      <c r="I407" s="35">
        <f>+G407+H407</f>
        <v>52533499</v>
      </c>
      <c r="J407" s="35">
        <v>17223652</v>
      </c>
      <c r="K407" s="35">
        <f>1804545+1454775</f>
        <v>3259320</v>
      </c>
      <c r="L407" s="35">
        <f>+J407+K407</f>
        <v>20482972</v>
      </c>
      <c r="M407" s="35">
        <f>+I407+L407</f>
        <v>73016471</v>
      </c>
      <c r="N407" s="416"/>
      <c r="U407" s="420"/>
    </row>
    <row r="408" spans="1:21" ht="18" customHeight="1" x14ac:dyDescent="0.25">
      <c r="A408" s="301"/>
      <c r="B408" s="414"/>
      <c r="C408" s="414"/>
      <c r="D408" s="414"/>
      <c r="E408" s="425" t="s">
        <v>22</v>
      </c>
      <c r="F408" s="35"/>
      <c r="G408" s="35">
        <v>23371823</v>
      </c>
      <c r="H408" s="35">
        <f>70465977+317671+105791774+6244650+6824200</f>
        <v>189644272</v>
      </c>
      <c r="I408" s="35">
        <f>+G408+H408</f>
        <v>213016095</v>
      </c>
      <c r="J408" s="35">
        <v>0</v>
      </c>
      <c r="K408" s="35">
        <f>150000+75000</f>
        <v>225000</v>
      </c>
      <c r="L408" s="35">
        <f>+J408+K408</f>
        <v>225000</v>
      </c>
      <c r="M408" s="35">
        <f>+I408+L408</f>
        <v>213241095</v>
      </c>
      <c r="N408" s="416"/>
      <c r="U408" s="420"/>
    </row>
    <row r="409" spans="1:21" ht="18" customHeight="1" x14ac:dyDescent="0.25">
      <c r="A409" s="301"/>
      <c r="B409" s="414"/>
      <c r="C409" s="414"/>
      <c r="D409" s="414"/>
      <c r="E409" s="425" t="s">
        <v>25</v>
      </c>
      <c r="F409" s="35"/>
      <c r="G409" s="35">
        <v>4114126</v>
      </c>
      <c r="H409" s="236">
        <f>2605270</f>
        <v>2605270</v>
      </c>
      <c r="I409" s="35">
        <f>+G409+H409</f>
        <v>6719396</v>
      </c>
      <c r="J409" s="35">
        <v>1722917</v>
      </c>
      <c r="K409" s="236">
        <f>47298+16892+33784</f>
        <v>97974</v>
      </c>
      <c r="L409" s="35">
        <f>+J409+K409</f>
        <v>1820891</v>
      </c>
      <c r="M409" s="35">
        <f>+I409+L409</f>
        <v>8540287</v>
      </c>
      <c r="N409" s="416"/>
      <c r="U409" s="420"/>
    </row>
    <row r="410" spans="1:21" ht="18" customHeight="1" x14ac:dyDescent="0.25">
      <c r="A410" s="301"/>
      <c r="B410" s="414"/>
      <c r="C410" s="414"/>
      <c r="D410" s="414"/>
      <c r="E410" s="425" t="s">
        <v>26</v>
      </c>
      <c r="F410" s="35"/>
      <c r="G410" s="35">
        <v>5923500</v>
      </c>
      <c r="H410" s="35"/>
      <c r="I410" s="35">
        <f>+G410+H410</f>
        <v>5923500</v>
      </c>
      <c r="J410" s="35">
        <v>2551762</v>
      </c>
      <c r="K410" s="35">
        <f>360909+264505</f>
        <v>625414</v>
      </c>
      <c r="L410" s="35">
        <f>+J410+K410</f>
        <v>3177176</v>
      </c>
      <c r="M410" s="35">
        <f>+I410+L410</f>
        <v>9100676</v>
      </c>
      <c r="N410" s="416"/>
      <c r="U410" s="420"/>
    </row>
    <row r="411" spans="1:21" ht="18" customHeight="1" x14ac:dyDescent="0.25">
      <c r="A411" s="301"/>
      <c r="B411" s="414"/>
      <c r="C411" s="414"/>
      <c r="D411" s="414"/>
      <c r="E411" s="425" t="s">
        <v>40</v>
      </c>
      <c r="F411" s="35"/>
      <c r="G411" s="35"/>
      <c r="H411" s="35"/>
      <c r="I411" s="35"/>
      <c r="J411" s="35"/>
      <c r="K411" s="35"/>
      <c r="L411" s="35"/>
      <c r="M411" s="35"/>
      <c r="N411" s="416"/>
      <c r="U411" s="420"/>
    </row>
    <row r="412" spans="1:21" ht="18" customHeight="1" x14ac:dyDescent="0.25">
      <c r="A412" s="301"/>
      <c r="B412" s="414"/>
      <c r="C412" s="414"/>
      <c r="D412" s="414"/>
      <c r="E412" s="425" t="s">
        <v>321</v>
      </c>
      <c r="F412" s="35"/>
      <c r="G412" s="35">
        <v>0</v>
      </c>
      <c r="H412" s="35"/>
      <c r="I412" s="35">
        <f>+G412+H412</f>
        <v>0</v>
      </c>
      <c r="J412" s="35">
        <v>0</v>
      </c>
      <c r="K412" s="35"/>
      <c r="L412" s="35">
        <f>+J412+K412</f>
        <v>0</v>
      </c>
      <c r="M412" s="35">
        <f t="shared" ref="M412:M419" si="243">+I412+L412</f>
        <v>0</v>
      </c>
      <c r="N412" s="416"/>
      <c r="U412" s="420"/>
    </row>
    <row r="413" spans="1:21" ht="18" customHeight="1" x14ac:dyDescent="0.25">
      <c r="A413" s="301"/>
      <c r="B413" s="414"/>
      <c r="C413" s="414"/>
      <c r="D413" s="414"/>
      <c r="E413" s="425" t="s">
        <v>322</v>
      </c>
      <c r="F413" s="35"/>
      <c r="G413" s="35">
        <v>165118154</v>
      </c>
      <c r="H413" s="35">
        <f>5207303+2886932+51474400</f>
        <v>59568635</v>
      </c>
      <c r="I413" s="35">
        <f t="shared" ref="I413:I419" si="244">+G413+H413</f>
        <v>224686789</v>
      </c>
      <c r="J413" s="35"/>
      <c r="K413" s="35"/>
      <c r="L413" s="35"/>
      <c r="M413" s="35">
        <f t="shared" si="243"/>
        <v>224686789</v>
      </c>
      <c r="N413" s="416"/>
      <c r="U413" s="420"/>
    </row>
    <row r="414" spans="1:21" ht="18" customHeight="1" x14ac:dyDescent="0.25">
      <c r="A414" s="301"/>
      <c r="B414" s="414"/>
      <c r="C414" s="414"/>
      <c r="D414" s="414"/>
      <c r="E414" s="425" t="s">
        <v>323</v>
      </c>
      <c r="F414" s="35"/>
      <c r="G414" s="35">
        <v>41832664</v>
      </c>
      <c r="H414" s="35">
        <f>20829194+11547739</f>
        <v>32376933</v>
      </c>
      <c r="I414" s="35">
        <f t="shared" si="244"/>
        <v>74209597</v>
      </c>
      <c r="J414" s="35"/>
      <c r="K414" s="35"/>
      <c r="L414" s="35"/>
      <c r="M414" s="35">
        <f t="shared" si="243"/>
        <v>74209597</v>
      </c>
      <c r="N414" s="416"/>
      <c r="U414" s="420"/>
    </row>
    <row r="415" spans="1:21" ht="18" customHeight="1" x14ac:dyDescent="0.25">
      <c r="A415" s="301"/>
      <c r="B415" s="414"/>
      <c r="C415" s="414"/>
      <c r="D415" s="414"/>
      <c r="E415" s="425" t="s">
        <v>324</v>
      </c>
      <c r="F415" s="35"/>
      <c r="G415" s="35">
        <v>1730239</v>
      </c>
      <c r="H415" s="35">
        <v>574228</v>
      </c>
      <c r="I415" s="35">
        <f t="shared" si="244"/>
        <v>2304467</v>
      </c>
      <c r="J415" s="35"/>
      <c r="K415" s="35"/>
      <c r="L415" s="35"/>
      <c r="M415" s="35">
        <f t="shared" si="243"/>
        <v>2304467</v>
      </c>
      <c r="N415" s="416"/>
      <c r="U415" s="420"/>
    </row>
    <row r="416" spans="1:21" ht="18" customHeight="1" x14ac:dyDescent="0.25">
      <c r="A416" s="301"/>
      <c r="B416" s="414"/>
      <c r="C416" s="414"/>
      <c r="D416" s="414"/>
      <c r="E416" s="425" t="s">
        <v>325</v>
      </c>
      <c r="F416" s="35"/>
      <c r="G416" s="35">
        <v>5190716</v>
      </c>
      <c r="H416" s="35">
        <v>1722684</v>
      </c>
      <c r="I416" s="35">
        <f t="shared" si="244"/>
        <v>6913400</v>
      </c>
      <c r="J416" s="35"/>
      <c r="K416" s="35"/>
      <c r="L416" s="35"/>
      <c r="M416" s="35">
        <f t="shared" si="243"/>
        <v>6913400</v>
      </c>
      <c r="N416" s="416"/>
      <c r="U416" s="420"/>
    </row>
    <row r="417" spans="1:21" ht="18" customHeight="1" x14ac:dyDescent="0.25">
      <c r="A417" s="301"/>
      <c r="B417" s="414"/>
      <c r="C417" s="414"/>
      <c r="D417" s="414"/>
      <c r="E417" s="425" t="s">
        <v>326</v>
      </c>
      <c r="F417" s="35"/>
      <c r="G417" s="35">
        <v>63461745</v>
      </c>
      <c r="H417" s="35">
        <v>21019479</v>
      </c>
      <c r="I417" s="35">
        <f t="shared" si="244"/>
        <v>84481224</v>
      </c>
      <c r="J417" s="35"/>
      <c r="K417" s="35"/>
      <c r="L417" s="35"/>
      <c r="M417" s="35">
        <f t="shared" si="243"/>
        <v>84481224</v>
      </c>
      <c r="N417" s="416"/>
      <c r="U417" s="420"/>
    </row>
    <row r="418" spans="1:21" ht="18" customHeight="1" x14ac:dyDescent="0.25">
      <c r="A418" s="301"/>
      <c r="B418" s="414"/>
      <c r="C418" s="414"/>
      <c r="D418" s="414"/>
      <c r="E418" s="425" t="s">
        <v>327</v>
      </c>
      <c r="F418" s="35"/>
      <c r="G418" s="35"/>
      <c r="H418" s="236"/>
      <c r="I418" s="35"/>
      <c r="J418" s="35">
        <v>7575000</v>
      </c>
      <c r="K418" s="236">
        <f>350000+125000+250000+175000</f>
        <v>900000</v>
      </c>
      <c r="L418" s="35">
        <f>+J418+K418</f>
        <v>8475000</v>
      </c>
      <c r="M418" s="35">
        <f t="shared" si="243"/>
        <v>8475000</v>
      </c>
      <c r="N418" s="416"/>
      <c r="U418" s="420"/>
    </row>
    <row r="419" spans="1:21" ht="18" customHeight="1" x14ac:dyDescent="0.25">
      <c r="A419" s="301"/>
      <c r="B419" s="414"/>
      <c r="C419" s="414"/>
      <c r="D419" s="414"/>
      <c r="E419" s="425" t="s">
        <v>426</v>
      </c>
      <c r="F419" s="35"/>
      <c r="G419" s="35"/>
      <c r="H419" s="35"/>
      <c r="I419" s="35">
        <f t="shared" si="244"/>
        <v>0</v>
      </c>
      <c r="J419" s="35"/>
      <c r="K419" s="35"/>
      <c r="L419" s="35"/>
      <c r="M419" s="35">
        <f t="shared" si="243"/>
        <v>0</v>
      </c>
      <c r="N419" s="416"/>
      <c r="U419" s="420"/>
    </row>
    <row r="420" spans="1:21" ht="18" customHeight="1" x14ac:dyDescent="0.25">
      <c r="A420" s="301"/>
      <c r="B420" s="414"/>
      <c r="C420" s="414"/>
      <c r="D420" s="414"/>
      <c r="E420" s="414" t="s">
        <v>23</v>
      </c>
      <c r="F420" s="35"/>
      <c r="G420" s="35"/>
      <c r="H420" s="35"/>
      <c r="I420" s="35"/>
      <c r="J420" s="35"/>
      <c r="K420" s="35"/>
      <c r="L420" s="35"/>
      <c r="M420" s="35"/>
      <c r="N420" s="416"/>
      <c r="U420" s="420"/>
    </row>
    <row r="421" spans="1:21" ht="18" customHeight="1" x14ac:dyDescent="0.25">
      <c r="A421" s="301"/>
      <c r="B421" s="414"/>
      <c r="C421" s="414"/>
      <c r="D421" s="414"/>
      <c r="E421" s="429" t="s">
        <v>27</v>
      </c>
      <c r="F421" s="423"/>
      <c r="G421" s="430" t="s">
        <v>49</v>
      </c>
      <c r="H421" s="430" t="s">
        <v>49</v>
      </c>
      <c r="I421" s="430" t="s">
        <v>49</v>
      </c>
      <c r="J421" s="430" t="s">
        <v>49</v>
      </c>
      <c r="K421" s="430" t="s">
        <v>49</v>
      </c>
      <c r="L421" s="430" t="s">
        <v>49</v>
      </c>
      <c r="M421" s="430" t="s">
        <v>49</v>
      </c>
      <c r="N421" s="422"/>
      <c r="U421" s="420"/>
    </row>
    <row r="422" spans="1:21" ht="18" customHeight="1" x14ac:dyDescent="0.25">
      <c r="A422" s="301"/>
      <c r="B422" s="414"/>
      <c r="C422" s="414"/>
      <c r="D422" s="414"/>
      <c r="E422" s="414"/>
      <c r="F422" s="416"/>
      <c r="G422" s="416"/>
      <c r="H422" s="416"/>
      <c r="I422" s="416"/>
      <c r="J422" s="416"/>
      <c r="K422" s="416"/>
      <c r="L422" s="416"/>
      <c r="M422" s="416"/>
      <c r="N422" s="416"/>
      <c r="U422" s="420"/>
    </row>
    <row r="423" spans="1:21" ht="18" customHeight="1" x14ac:dyDescent="0.25">
      <c r="A423" s="432"/>
      <c r="B423" s="432"/>
      <c r="C423" s="432"/>
      <c r="D423" s="432"/>
      <c r="E423" s="429" t="s">
        <v>28</v>
      </c>
      <c r="F423" s="422"/>
      <c r="G423" s="422">
        <v>0</v>
      </c>
      <c r="H423" s="422">
        <v>0</v>
      </c>
      <c r="I423" s="422">
        <v>0</v>
      </c>
      <c r="J423" s="422">
        <v>0</v>
      </c>
      <c r="K423" s="422">
        <v>0</v>
      </c>
      <c r="L423" s="422">
        <v>0</v>
      </c>
      <c r="M423" s="422">
        <v>0</v>
      </c>
      <c r="N423" s="422"/>
      <c r="U423" s="420"/>
    </row>
    <row r="424" spans="1:21" ht="18" customHeight="1" x14ac:dyDescent="0.25">
      <c r="U424" s="420"/>
    </row>
    <row r="425" spans="1:21" ht="18" customHeight="1" x14ac:dyDescent="0.25">
      <c r="A425" s="537" t="s">
        <v>52</v>
      </c>
      <c r="B425" s="537"/>
      <c r="C425" s="537"/>
      <c r="D425" s="537"/>
      <c r="L425" s="539" t="s">
        <v>490</v>
      </c>
      <c r="M425" s="539"/>
      <c r="N425" s="539"/>
      <c r="U425" s="420"/>
    </row>
    <row r="426" spans="1:21" ht="18" customHeight="1" x14ac:dyDescent="0.25">
      <c r="A426" s="537" t="s">
        <v>59</v>
      </c>
      <c r="B426" s="537"/>
      <c r="C426" s="537"/>
      <c r="D426" s="537"/>
      <c r="U426" s="420"/>
    </row>
    <row r="427" spans="1:21" ht="18" customHeight="1" x14ac:dyDescent="0.25">
      <c r="A427" s="537" t="s">
        <v>60</v>
      </c>
      <c r="B427" s="537"/>
      <c r="C427" s="537"/>
      <c r="D427" s="537"/>
      <c r="E427" s="434" t="s">
        <v>38</v>
      </c>
      <c r="F427" s="538" t="s">
        <v>39</v>
      </c>
      <c r="G427" s="538"/>
      <c r="H427" s="538"/>
      <c r="I427" s="435"/>
      <c r="J427" s="435"/>
      <c r="K427" s="435"/>
      <c r="L427" s="538" t="s">
        <v>422</v>
      </c>
      <c r="M427" s="538"/>
      <c r="N427" s="538"/>
      <c r="U427" s="420"/>
    </row>
    <row r="428" spans="1:21" ht="18" customHeight="1" x14ac:dyDescent="0.25">
      <c r="A428" s="537" t="s">
        <v>53</v>
      </c>
      <c r="B428" s="537"/>
      <c r="C428" s="537"/>
      <c r="D428" s="537"/>
      <c r="E428" s="434" t="s">
        <v>330</v>
      </c>
      <c r="F428" s="538" t="s">
        <v>54</v>
      </c>
      <c r="G428" s="538"/>
      <c r="H428" s="538"/>
      <c r="I428" s="435"/>
      <c r="J428" s="435"/>
      <c r="K428" s="435"/>
      <c r="L428" s="538" t="s">
        <v>330</v>
      </c>
      <c r="M428" s="538"/>
      <c r="N428" s="538"/>
      <c r="U428" s="420"/>
    </row>
    <row r="429" spans="1:21" ht="18" customHeight="1" x14ac:dyDescent="0.25">
      <c r="A429" s="479"/>
      <c r="B429" s="436"/>
      <c r="C429" s="436"/>
      <c r="D429" s="436"/>
      <c r="E429" s="479"/>
      <c r="G429" s="480"/>
      <c r="H429" s="438"/>
      <c r="I429" s="438"/>
      <c r="K429" s="438"/>
      <c r="L429" s="438"/>
      <c r="M429" s="438"/>
      <c r="N429" s="438"/>
      <c r="U429" s="420"/>
    </row>
    <row r="430" spans="1:21" ht="18" customHeight="1" x14ac:dyDescent="0.25">
      <c r="A430" s="479"/>
      <c r="B430" s="436"/>
      <c r="C430" s="436"/>
      <c r="D430" s="436"/>
      <c r="E430" s="479"/>
      <c r="G430" s="438"/>
      <c r="H430" s="438"/>
      <c r="K430" s="438"/>
      <c r="L430" s="438"/>
      <c r="M430" s="438"/>
    </row>
    <row r="431" spans="1:21" ht="18" customHeight="1" x14ac:dyDescent="0.25">
      <c r="A431" s="439"/>
      <c r="B431" s="436"/>
      <c r="C431" s="436"/>
      <c r="D431" s="436"/>
      <c r="E431" s="479"/>
      <c r="G431" s="438"/>
      <c r="H431" s="438"/>
      <c r="K431" s="438"/>
      <c r="L431" s="438"/>
      <c r="M431" s="438"/>
    </row>
    <row r="432" spans="1:21" ht="18" customHeight="1" x14ac:dyDescent="0.25">
      <c r="A432" s="537" t="s">
        <v>56</v>
      </c>
      <c r="B432" s="537"/>
      <c r="C432" s="537"/>
      <c r="D432" s="537"/>
      <c r="E432" s="479" t="s">
        <v>421</v>
      </c>
      <c r="F432" s="539" t="s">
        <v>51</v>
      </c>
      <c r="G432" s="539"/>
      <c r="H432" s="539"/>
      <c r="I432" s="161"/>
      <c r="J432" s="161"/>
      <c r="K432" s="161"/>
      <c r="L432" s="539" t="s">
        <v>423</v>
      </c>
      <c r="M432" s="539"/>
      <c r="N432" s="539"/>
    </row>
    <row r="433" spans="1:14" ht="18" customHeight="1" x14ac:dyDescent="0.25">
      <c r="A433" s="537" t="s">
        <v>29</v>
      </c>
      <c r="B433" s="537"/>
      <c r="C433" s="537"/>
      <c r="D433" s="537"/>
      <c r="E433" s="479" t="s">
        <v>419</v>
      </c>
      <c r="F433" s="540" t="s">
        <v>58</v>
      </c>
      <c r="G433" s="540"/>
      <c r="H433" s="540"/>
      <c r="I433" s="161"/>
      <c r="J433" s="161"/>
      <c r="K433" s="161"/>
      <c r="L433" s="540" t="s">
        <v>425</v>
      </c>
      <c r="M433" s="540"/>
      <c r="N433" s="540"/>
    </row>
    <row r="434" spans="1:14" ht="18" customHeight="1" x14ac:dyDescent="0.25">
      <c r="A434" s="537" t="s">
        <v>57</v>
      </c>
      <c r="B434" s="537"/>
      <c r="C434" s="537"/>
      <c r="D434" s="537"/>
      <c r="E434" s="479" t="s">
        <v>420</v>
      </c>
      <c r="F434" s="539" t="s">
        <v>47</v>
      </c>
      <c r="G434" s="539"/>
      <c r="H434" s="539"/>
      <c r="I434" s="161"/>
      <c r="J434" s="161"/>
      <c r="K434" s="161"/>
      <c r="L434" s="539" t="s">
        <v>424</v>
      </c>
      <c r="M434" s="539"/>
      <c r="N434" s="539"/>
    </row>
  </sheetData>
  <mergeCells count="33"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  <mergeCell ref="B17:D17"/>
    <mergeCell ref="A426:D426"/>
    <mergeCell ref="A427:D427"/>
    <mergeCell ref="F427:H427"/>
    <mergeCell ref="L427:N427"/>
    <mergeCell ref="A425:D425"/>
    <mergeCell ref="L425:N425"/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</mergeCells>
  <printOptions horizontalCentered="1"/>
  <pageMargins left="0.59055118110236227" right="0.19685039370078741" top="0.39370078740157483" bottom="0.19685039370078741" header="0.31496062992125984" footer="0.31496062992125984"/>
  <pageSetup paperSize="258" scale="56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U389"/>
  <sheetViews>
    <sheetView showGridLines="0" tabSelected="1" view="pageBreakPreview" zoomScale="85" zoomScaleNormal="85" zoomScaleSheetLayoutView="85" workbookViewId="0">
      <pane xSplit="4" ySplit="21" topLeftCell="E22" activePane="bottomRight" state="frozen"/>
      <selection pane="topRight" activeCell="D1" sqref="D1"/>
      <selection pane="bottomLeft" activeCell="A17" sqref="A17"/>
      <selection pane="bottomRight" activeCell="Z28" sqref="Z28"/>
    </sheetView>
  </sheetViews>
  <sheetFormatPr defaultRowHeight="15" customHeight="1" x14ac:dyDescent="0.25"/>
  <cols>
    <col min="1" max="1" width="6" style="293" customWidth="1"/>
    <col min="2" max="2" width="11.5703125" style="293" customWidth="1"/>
    <col min="3" max="3" width="13.7109375" style="293" customWidth="1"/>
    <col min="4" max="4" width="15.85546875" style="293" customWidth="1"/>
    <col min="5" max="5" width="68.5703125" style="293" customWidth="1"/>
    <col min="6" max="6" width="18.140625" style="293" hidden="1" customWidth="1"/>
    <col min="7" max="7" width="16.85546875" style="1" hidden="1" customWidth="1"/>
    <col min="8" max="8" width="15.85546875" style="1" hidden="1" customWidth="1"/>
    <col min="9" max="9" width="18.7109375" style="1" hidden="1" customWidth="1"/>
    <col min="10" max="10" width="15" style="1" hidden="1" customWidth="1"/>
    <col min="11" max="11" width="14" style="1" hidden="1" customWidth="1"/>
    <col min="12" max="12" width="15.140625" style="1" hidden="1" customWidth="1"/>
    <col min="13" max="13" width="16.7109375" style="1" hidden="1" customWidth="1"/>
    <col min="14" max="14" width="19.28515625" style="1" hidden="1" customWidth="1"/>
    <col min="15" max="15" width="4.28515625" style="1" hidden="1" customWidth="1"/>
    <col min="16" max="16" width="18.42578125" style="188" hidden="1" customWidth="1"/>
    <col min="17" max="17" width="14.85546875" style="1" hidden="1" customWidth="1"/>
    <col min="18" max="18" width="15.42578125" style="1" hidden="1" customWidth="1"/>
    <col min="19" max="19" width="20.140625" style="207" hidden="1" customWidth="1"/>
    <col min="20" max="20" width="25.7109375" style="207" hidden="1" customWidth="1"/>
    <col min="21" max="21" width="26.140625" style="1" hidden="1" customWidth="1"/>
    <col min="22" max="16384" width="9.140625" style="1"/>
  </cols>
  <sheetData>
    <row r="2" spans="1:18" ht="15" customHeight="1" x14ac:dyDescent="0.25">
      <c r="A2" s="503" t="s">
        <v>492</v>
      </c>
      <c r="B2" s="503"/>
      <c r="C2" s="503"/>
      <c r="D2" s="503"/>
      <c r="E2" s="503"/>
    </row>
    <row r="3" spans="1:18" ht="15" customHeight="1" x14ac:dyDescent="0.25">
      <c r="A3" s="503" t="s">
        <v>494</v>
      </c>
      <c r="B3" s="503"/>
      <c r="C3" s="503"/>
      <c r="D3" s="503"/>
      <c r="E3" s="503"/>
    </row>
    <row r="4" spans="1:18" ht="15" customHeight="1" x14ac:dyDescent="0.25">
      <c r="A4" s="541" t="s">
        <v>493</v>
      </c>
      <c r="B4" s="541"/>
      <c r="C4" s="541"/>
      <c r="D4" s="541"/>
      <c r="E4" s="541"/>
    </row>
    <row r="5" spans="1:18" ht="15" customHeight="1" x14ac:dyDescent="0.25">
      <c r="A5" s="542"/>
      <c r="B5" s="542"/>
      <c r="C5" s="542"/>
      <c r="D5" s="542"/>
      <c r="E5" s="542"/>
    </row>
    <row r="6" spans="1:18" ht="15" customHeight="1" x14ac:dyDescent="0.25">
      <c r="A6" s="503"/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</row>
    <row r="7" spans="1:18" ht="15" hidden="1" customHeight="1" x14ac:dyDescent="0.25">
      <c r="A7" s="503" t="s">
        <v>1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</row>
    <row r="8" spans="1:18" ht="15" hidden="1" customHeight="1" x14ac:dyDescent="0.25">
      <c r="A8" s="503" t="s">
        <v>2</v>
      </c>
      <c r="B8" s="503"/>
      <c r="C8" s="503"/>
      <c r="D8" s="503"/>
      <c r="E8" s="503"/>
      <c r="F8" s="503"/>
      <c r="G8" s="503"/>
      <c r="H8" s="503"/>
      <c r="I8" s="503"/>
      <c r="J8" s="503"/>
      <c r="K8" s="503"/>
      <c r="L8" s="503"/>
      <c r="M8" s="503"/>
      <c r="N8" s="503"/>
    </row>
    <row r="9" spans="1:18" ht="15" hidden="1" customHeight="1" x14ac:dyDescent="0.25"/>
    <row r="10" spans="1:18" ht="15" hidden="1" customHeight="1" x14ac:dyDescent="0.25"/>
    <row r="11" spans="1:18" ht="15" hidden="1" customHeight="1" x14ac:dyDescent="0.25">
      <c r="A11" s="293" t="s">
        <v>3</v>
      </c>
      <c r="D11" s="293" t="s">
        <v>45</v>
      </c>
    </row>
    <row r="12" spans="1:18" ht="15" hidden="1" customHeight="1" x14ac:dyDescent="0.25">
      <c r="A12" s="293" t="s">
        <v>4</v>
      </c>
      <c r="D12" s="293" t="s">
        <v>55</v>
      </c>
    </row>
    <row r="13" spans="1:18" ht="15" hidden="1" customHeight="1" x14ac:dyDescent="0.25">
      <c r="A13" s="293" t="s">
        <v>5</v>
      </c>
      <c r="D13" s="504" t="s">
        <v>50</v>
      </c>
      <c r="E13" s="504"/>
      <c r="F13" s="504"/>
    </row>
    <row r="14" spans="1:18" ht="15" hidden="1" customHeight="1" x14ac:dyDescent="0.25">
      <c r="A14" s="293" t="s">
        <v>6</v>
      </c>
      <c r="D14" s="293" t="s">
        <v>449</v>
      </c>
      <c r="R14" s="2"/>
    </row>
    <row r="15" spans="1:18" ht="15" hidden="1" customHeight="1" x14ac:dyDescent="0.25">
      <c r="A15" s="293" t="s">
        <v>7</v>
      </c>
      <c r="D15" s="293" t="s">
        <v>491</v>
      </c>
      <c r="R15" s="2"/>
    </row>
    <row r="16" spans="1:18" ht="15" hidden="1" customHeight="1" x14ac:dyDescent="0.25">
      <c r="R16" s="2"/>
    </row>
    <row r="17" spans="1:21" ht="15" hidden="1" customHeight="1" x14ac:dyDescent="0.25">
      <c r="R17" s="2"/>
    </row>
    <row r="18" spans="1:21" ht="15" customHeight="1" x14ac:dyDescent="0.25">
      <c r="A18" s="523" t="s">
        <v>37</v>
      </c>
      <c r="B18" s="525" t="s">
        <v>10</v>
      </c>
      <c r="C18" s="526"/>
      <c r="D18" s="527"/>
      <c r="E18" s="531" t="s">
        <v>8</v>
      </c>
      <c r="F18" s="531" t="s">
        <v>9</v>
      </c>
      <c r="G18" s="515" t="s">
        <v>14</v>
      </c>
      <c r="H18" s="515"/>
      <c r="I18" s="515"/>
      <c r="J18" s="515" t="s">
        <v>15</v>
      </c>
      <c r="K18" s="515"/>
      <c r="L18" s="515"/>
      <c r="M18" s="513" t="s">
        <v>17</v>
      </c>
      <c r="N18" s="513" t="s">
        <v>16</v>
      </c>
      <c r="R18" s="2"/>
    </row>
    <row r="19" spans="1:21" ht="15" customHeight="1" x14ac:dyDescent="0.25">
      <c r="A19" s="524"/>
      <c r="B19" s="528"/>
      <c r="C19" s="529"/>
      <c r="D19" s="530"/>
      <c r="E19" s="531"/>
      <c r="F19" s="532"/>
      <c r="G19" s="483" t="s">
        <v>11</v>
      </c>
      <c r="H19" s="483" t="s">
        <v>12</v>
      </c>
      <c r="I19" s="483" t="s">
        <v>13</v>
      </c>
      <c r="J19" s="483" t="s">
        <v>11</v>
      </c>
      <c r="K19" s="483" t="s">
        <v>12</v>
      </c>
      <c r="L19" s="483" t="s">
        <v>13</v>
      </c>
      <c r="M19" s="513"/>
      <c r="N19" s="513"/>
      <c r="R19" s="3"/>
    </row>
    <row r="20" spans="1:21" ht="15" customHeight="1" x14ac:dyDescent="0.25">
      <c r="A20" s="299"/>
      <c r="B20" s="516">
        <v>1</v>
      </c>
      <c r="C20" s="517"/>
      <c r="D20" s="518"/>
      <c r="E20" s="489">
        <v>2</v>
      </c>
      <c r="F20" s="489">
        <v>3</v>
      </c>
      <c r="G20" s="484">
        <v>7</v>
      </c>
      <c r="H20" s="484">
        <v>8</v>
      </c>
      <c r="I20" s="484" t="s">
        <v>18</v>
      </c>
      <c r="J20" s="484">
        <v>10</v>
      </c>
      <c r="K20" s="484">
        <v>11</v>
      </c>
      <c r="L20" s="484" t="s">
        <v>19</v>
      </c>
      <c r="M20" s="484" t="s">
        <v>155</v>
      </c>
      <c r="N20" s="484" t="s">
        <v>36</v>
      </c>
    </row>
    <row r="21" spans="1:21" ht="15" customHeight="1" x14ac:dyDescent="0.25">
      <c r="A21" s="301"/>
      <c r="B21" s="519"/>
      <c r="C21" s="520"/>
      <c r="D21" s="521"/>
      <c r="E21" s="302"/>
      <c r="F21" s="302"/>
      <c r="G21" s="9"/>
      <c r="H21" s="9"/>
      <c r="I21" s="9"/>
      <c r="J21" s="9"/>
      <c r="K21" s="9"/>
      <c r="L21" s="9"/>
      <c r="M21" s="9"/>
      <c r="N21" s="9"/>
    </row>
    <row r="22" spans="1:21" ht="17.100000000000001" customHeight="1" x14ac:dyDescent="0.25">
      <c r="A22" s="303"/>
      <c r="B22" s="534" t="s">
        <v>20</v>
      </c>
      <c r="C22" s="535"/>
      <c r="D22" s="536"/>
      <c r="E22" s="303"/>
      <c r="F22" s="304">
        <f>+F23+F52+F127+F143+F244+F252+F303+F355</f>
        <v>428263811167</v>
      </c>
      <c r="G22" s="100">
        <f>+G23+G52+G127+G143+G244+G252+G303+G355</f>
        <v>60762487774</v>
      </c>
      <c r="H22" s="100">
        <f>+H23+H52+H127+H143+H244+H252+H303+H355</f>
        <v>0</v>
      </c>
      <c r="I22" s="100">
        <f>+G22+H22</f>
        <v>60762487774</v>
      </c>
      <c r="J22" s="100">
        <f>+J23+J52+J127+J143+J244+J252+J303+J355</f>
        <v>894149612</v>
      </c>
      <c r="K22" s="100">
        <f>+K23+K52+K127+K143+K244+K252+K303+K355</f>
        <v>461491564</v>
      </c>
      <c r="L22" s="100">
        <f>+J22+K22</f>
        <v>1355641176</v>
      </c>
      <c r="M22" s="100">
        <f>+I22+L22</f>
        <v>62118128950</v>
      </c>
      <c r="N22" s="100">
        <f>+F22-M22</f>
        <v>366145682217</v>
      </c>
      <c r="R22" s="3"/>
      <c r="U22" s="188">
        <f>178000000+33460000+79728000+22342995000+29162378+3014333670+6242819000+179060000+4822000000+316799545+177216575</f>
        <v>37415574168</v>
      </c>
    </row>
    <row r="23" spans="1:21" s="114" customFormat="1" ht="18" customHeight="1" x14ac:dyDescent="0.25">
      <c r="A23" s="276"/>
      <c r="B23" s="305" t="s">
        <v>336</v>
      </c>
      <c r="C23" s="305"/>
      <c r="D23" s="305"/>
      <c r="E23" s="306" t="s">
        <v>335</v>
      </c>
      <c r="F23" s="307">
        <f>+F24+F37</f>
        <v>276269500</v>
      </c>
      <c r="G23" s="113">
        <f>+G24+G37</f>
        <v>0</v>
      </c>
      <c r="H23" s="113">
        <f>+H24+H37</f>
        <v>0</v>
      </c>
      <c r="I23" s="113">
        <f>+G23+H23</f>
        <v>0</v>
      </c>
      <c r="J23" s="113">
        <f>+J24+J37</f>
        <v>77496000</v>
      </c>
      <c r="K23" s="113">
        <f>+K24+K37</f>
        <v>16980000</v>
      </c>
      <c r="L23" s="113">
        <f>+J23+K23</f>
        <v>94476000</v>
      </c>
      <c r="M23" s="113">
        <f>+I23+L23</f>
        <v>94476000</v>
      </c>
      <c r="N23" s="112">
        <f>+F23-M23</f>
        <v>181793500</v>
      </c>
      <c r="P23" s="189">
        <f>+N24+N37+N53+N118+N128+N144+N170+N178+N189+N211+N245+N253+N261+N274+N283+N304+N317+N336+N342+N348+N356+N362+N374+N380</f>
        <v>366145682217</v>
      </c>
      <c r="Q23" s="114" t="s">
        <v>332</v>
      </c>
      <c r="R23" s="115"/>
      <c r="S23" s="238" t="s">
        <v>427</v>
      </c>
      <c r="T23" s="208"/>
    </row>
    <row r="24" spans="1:21" s="121" customFormat="1" ht="18" customHeight="1" x14ac:dyDescent="0.25">
      <c r="A24" s="275">
        <v>1</v>
      </c>
      <c r="B24" s="314"/>
      <c r="C24" s="314" t="s">
        <v>61</v>
      </c>
      <c r="D24" s="315"/>
      <c r="E24" s="316" t="s">
        <v>62</v>
      </c>
      <c r="F24" s="317">
        <f t="shared" ref="F24:H25" si="0">+F25</f>
        <v>117975500</v>
      </c>
      <c r="G24" s="159">
        <f t="shared" si="0"/>
        <v>0</v>
      </c>
      <c r="H24" s="159">
        <f t="shared" si="0"/>
        <v>0</v>
      </c>
      <c r="I24" s="159">
        <f>+G24+H24</f>
        <v>0</v>
      </c>
      <c r="J24" s="159">
        <f>+J25</f>
        <v>44157500</v>
      </c>
      <c r="K24" s="159">
        <f>+K25</f>
        <v>8380000</v>
      </c>
      <c r="L24" s="159">
        <f>+J24+K24</f>
        <v>52537500</v>
      </c>
      <c r="M24" s="159">
        <f>+I24+L24</f>
        <v>52537500</v>
      </c>
      <c r="N24" s="158">
        <f>+F24-M24</f>
        <v>65438000</v>
      </c>
      <c r="P24" s="190"/>
      <c r="R24" s="122"/>
      <c r="S24" s="209">
        <f>SUM(S29:S366)</f>
        <v>461491564</v>
      </c>
      <c r="T24" s="209">
        <f>SUM(T29:T389)</f>
        <v>0</v>
      </c>
    </row>
    <row r="25" spans="1:21" s="107" customFormat="1" ht="18" customHeight="1" x14ac:dyDescent="0.25">
      <c r="A25" s="323"/>
      <c r="B25" s="324"/>
      <c r="C25" s="324"/>
      <c r="D25" s="325" t="s">
        <v>207</v>
      </c>
      <c r="E25" s="326" t="s">
        <v>262</v>
      </c>
      <c r="F25" s="327">
        <f t="shared" si="0"/>
        <v>117975500</v>
      </c>
      <c r="G25" s="106">
        <f t="shared" si="0"/>
        <v>0</v>
      </c>
      <c r="H25" s="106">
        <f t="shared" si="0"/>
        <v>0</v>
      </c>
      <c r="I25" s="106">
        <f>+G25+H25</f>
        <v>0</v>
      </c>
      <c r="J25" s="106">
        <f>+J26</f>
        <v>44157500</v>
      </c>
      <c r="K25" s="106">
        <f>+K26</f>
        <v>8380000</v>
      </c>
      <c r="L25" s="106">
        <f t="shared" ref="L25:L33" si="1">+J25+K25</f>
        <v>52537500</v>
      </c>
      <c r="M25" s="106">
        <f>+I25+L25</f>
        <v>52537500</v>
      </c>
      <c r="N25" s="105">
        <f>+F25-M25</f>
        <v>65438000</v>
      </c>
      <c r="P25" s="191"/>
      <c r="R25" s="108"/>
      <c r="S25" s="278"/>
      <c r="T25" s="278"/>
      <c r="U25" s="241"/>
    </row>
    <row r="26" spans="1:21" s="49" customFormat="1" ht="18" customHeight="1" x14ac:dyDescent="0.25">
      <c r="A26" s="334"/>
      <c r="B26" s="335"/>
      <c r="C26" s="335"/>
      <c r="D26" s="335" t="s">
        <v>63</v>
      </c>
      <c r="E26" s="336" t="s">
        <v>30</v>
      </c>
      <c r="F26" s="337">
        <f>+F27+F34</f>
        <v>117975500</v>
      </c>
      <c r="G26" s="48">
        <f>+G27+G34</f>
        <v>0</v>
      </c>
      <c r="H26" s="48">
        <f>+H27+H34</f>
        <v>0</v>
      </c>
      <c r="I26" s="48">
        <f>+G26+H26</f>
        <v>0</v>
      </c>
      <c r="J26" s="48">
        <f>+J27+J34</f>
        <v>44157500</v>
      </c>
      <c r="K26" s="48">
        <f>+K27+K34</f>
        <v>8380000</v>
      </c>
      <c r="L26" s="48">
        <f>+J26+K26</f>
        <v>52537500</v>
      </c>
      <c r="M26" s="48">
        <f>+I26+L26</f>
        <v>52537500</v>
      </c>
      <c r="N26" s="47">
        <f>+F26-M26</f>
        <v>65438000</v>
      </c>
      <c r="P26" s="192" t="e">
        <f>#REF!+#REF!+#REF!+#REF!</f>
        <v>#REF!</v>
      </c>
      <c r="Q26" s="49" t="s">
        <v>334</v>
      </c>
      <c r="S26" s="279"/>
      <c r="T26" s="279"/>
      <c r="U26" s="242"/>
    </row>
    <row r="27" spans="1:21" s="55" customFormat="1" ht="18" customHeight="1" x14ac:dyDescent="0.25">
      <c r="A27" s="334"/>
      <c r="B27" s="335"/>
      <c r="C27" s="335"/>
      <c r="D27" s="335" t="s">
        <v>263</v>
      </c>
      <c r="E27" s="336" t="s">
        <v>264</v>
      </c>
      <c r="F27" s="337">
        <f>+F28</f>
        <v>65295500</v>
      </c>
      <c r="G27" s="54">
        <f>+G28</f>
        <v>0</v>
      </c>
      <c r="H27" s="54">
        <f>+H28</f>
        <v>0</v>
      </c>
      <c r="I27" s="54">
        <f t="shared" ref="I27:I36" si="2">+G27+H27</f>
        <v>0</v>
      </c>
      <c r="J27" s="54">
        <f>+J28</f>
        <v>31587500</v>
      </c>
      <c r="K27" s="54">
        <f>+K28</f>
        <v>0</v>
      </c>
      <c r="L27" s="54">
        <f t="shared" si="1"/>
        <v>31587500</v>
      </c>
      <c r="M27" s="54">
        <f t="shared" ref="M27:M36" si="3">+I27+L27</f>
        <v>31587500</v>
      </c>
      <c r="N27" s="53">
        <f t="shared" ref="N27:N36" si="4">+F27-M27</f>
        <v>33708000</v>
      </c>
      <c r="P27" s="193">
        <f>+H22+K22</f>
        <v>461491564</v>
      </c>
      <c r="Q27" s="49" t="s">
        <v>333</v>
      </c>
      <c r="S27" s="279"/>
      <c r="T27" s="279"/>
      <c r="U27" s="243"/>
    </row>
    <row r="28" spans="1:21" s="49" customFormat="1" ht="18" customHeight="1" x14ac:dyDescent="0.25">
      <c r="A28" s="334"/>
      <c r="B28" s="335"/>
      <c r="C28" s="335"/>
      <c r="D28" s="335" t="s">
        <v>64</v>
      </c>
      <c r="E28" s="335" t="s">
        <v>65</v>
      </c>
      <c r="F28" s="337">
        <f>SUM(F29:F33)</f>
        <v>65295500</v>
      </c>
      <c r="G28" s="59">
        <f>SUM(G29:G33)</f>
        <v>0</v>
      </c>
      <c r="H28" s="59">
        <f>SUM(H29:H33)</f>
        <v>0</v>
      </c>
      <c r="I28" s="60">
        <f>+G28+H28</f>
        <v>0</v>
      </c>
      <c r="J28" s="60">
        <f>+SUM(J29:J33)</f>
        <v>31587500</v>
      </c>
      <c r="K28" s="60">
        <f>+SUM(K29:K33)</f>
        <v>0</v>
      </c>
      <c r="L28" s="60">
        <f>+J28+K28</f>
        <v>31587500</v>
      </c>
      <c r="M28" s="60">
        <f>+I28+L28</f>
        <v>31587500</v>
      </c>
      <c r="N28" s="58">
        <f>+F28-M28</f>
        <v>33708000</v>
      </c>
      <c r="P28" s="192"/>
      <c r="S28" s="279"/>
      <c r="T28" s="279"/>
      <c r="U28" s="242"/>
    </row>
    <row r="29" spans="1:21" s="65" customFormat="1" ht="18" customHeight="1" x14ac:dyDescent="0.25">
      <c r="A29" s="334"/>
      <c r="B29" s="335"/>
      <c r="C29" s="335"/>
      <c r="D29" s="335" t="s">
        <v>66</v>
      </c>
      <c r="E29" s="335" t="s">
        <v>67</v>
      </c>
      <c r="F29" s="337">
        <v>7554500</v>
      </c>
      <c r="G29" s="64"/>
      <c r="H29" s="64"/>
      <c r="I29" s="64">
        <f t="shared" si="2"/>
        <v>0</v>
      </c>
      <c r="J29" s="64">
        <v>7554500</v>
      </c>
      <c r="K29" s="64"/>
      <c r="L29" s="64">
        <f t="shared" si="1"/>
        <v>7554500</v>
      </c>
      <c r="M29" s="64">
        <f>+I29+L29</f>
        <v>7554500</v>
      </c>
      <c r="N29" s="63">
        <f t="shared" si="4"/>
        <v>0</v>
      </c>
      <c r="P29" s="194"/>
      <c r="S29" s="280"/>
      <c r="T29" s="280"/>
      <c r="U29" s="244"/>
    </row>
    <row r="30" spans="1:21" s="65" customFormat="1" ht="18" customHeight="1" x14ac:dyDescent="0.25">
      <c r="A30" s="334"/>
      <c r="B30" s="335"/>
      <c r="C30" s="335"/>
      <c r="D30" s="335" t="s">
        <v>337</v>
      </c>
      <c r="E30" s="335" t="s">
        <v>338</v>
      </c>
      <c r="F30" s="337">
        <v>6408000</v>
      </c>
      <c r="G30" s="64"/>
      <c r="H30" s="64"/>
      <c r="I30" s="64">
        <f>+G30+H30</f>
        <v>0</v>
      </c>
      <c r="J30" s="64">
        <v>6408000</v>
      </c>
      <c r="K30" s="64"/>
      <c r="L30" s="64">
        <f t="shared" si="1"/>
        <v>6408000</v>
      </c>
      <c r="M30" s="64">
        <f t="shared" si="3"/>
        <v>6408000</v>
      </c>
      <c r="N30" s="63">
        <f t="shared" si="4"/>
        <v>0</v>
      </c>
      <c r="P30" s="194"/>
      <c r="S30" s="280"/>
      <c r="T30" s="280"/>
      <c r="U30" s="244"/>
    </row>
    <row r="31" spans="1:21" s="65" customFormat="1" ht="18" customHeight="1" x14ac:dyDescent="0.25">
      <c r="A31" s="334"/>
      <c r="B31" s="335"/>
      <c r="C31" s="335"/>
      <c r="D31" s="335" t="s">
        <v>68</v>
      </c>
      <c r="E31" s="335" t="s">
        <v>69</v>
      </c>
      <c r="F31" s="337">
        <v>44208000</v>
      </c>
      <c r="G31" s="64"/>
      <c r="H31" s="64"/>
      <c r="I31" s="64">
        <f t="shared" si="2"/>
        <v>0</v>
      </c>
      <c r="J31" s="64">
        <v>17625000</v>
      </c>
      <c r="K31" s="64"/>
      <c r="L31" s="64">
        <f t="shared" si="1"/>
        <v>17625000</v>
      </c>
      <c r="M31" s="64">
        <f t="shared" si="3"/>
        <v>17625000</v>
      </c>
      <c r="N31" s="63">
        <f t="shared" si="4"/>
        <v>26583000</v>
      </c>
      <c r="P31" s="194">
        <f>5440000000+63000000+730000000+7470000000+6242819000+3024665072+31328939+4570000000+12239500000+3046850000+197720000+310724118</f>
        <v>43366607129</v>
      </c>
      <c r="Q31" s="65" t="s">
        <v>428</v>
      </c>
      <c r="S31" s="280"/>
      <c r="T31" s="280"/>
      <c r="U31" s="244"/>
    </row>
    <row r="32" spans="1:21" s="65" customFormat="1" ht="18" customHeight="1" x14ac:dyDescent="0.25">
      <c r="A32" s="334"/>
      <c r="B32" s="335"/>
      <c r="C32" s="335"/>
      <c r="D32" s="335" t="s">
        <v>339</v>
      </c>
      <c r="E32" s="335" t="s">
        <v>340</v>
      </c>
      <c r="F32" s="337">
        <v>2125000</v>
      </c>
      <c r="G32" s="64"/>
      <c r="H32" s="64"/>
      <c r="I32" s="64"/>
      <c r="J32" s="64"/>
      <c r="K32" s="64"/>
      <c r="L32" s="64">
        <f t="shared" si="1"/>
        <v>0</v>
      </c>
      <c r="M32" s="64">
        <f t="shared" si="3"/>
        <v>0</v>
      </c>
      <c r="N32" s="63">
        <f t="shared" si="4"/>
        <v>2125000</v>
      </c>
      <c r="P32" s="194"/>
      <c r="S32" s="280"/>
      <c r="T32" s="280"/>
      <c r="U32" s="244"/>
    </row>
    <row r="33" spans="1:21" s="65" customFormat="1" ht="18" customHeight="1" x14ac:dyDescent="0.25">
      <c r="A33" s="334"/>
      <c r="B33" s="335"/>
      <c r="C33" s="335"/>
      <c r="D33" s="335" t="s">
        <v>70</v>
      </c>
      <c r="E33" s="335" t="s">
        <v>33</v>
      </c>
      <c r="F33" s="337">
        <v>5000000</v>
      </c>
      <c r="G33" s="64"/>
      <c r="H33" s="64"/>
      <c r="I33" s="64"/>
      <c r="J33" s="64"/>
      <c r="K33" s="64"/>
      <c r="L33" s="64">
        <f t="shared" si="1"/>
        <v>0</v>
      </c>
      <c r="M33" s="64">
        <f t="shared" si="3"/>
        <v>0</v>
      </c>
      <c r="N33" s="63">
        <f t="shared" si="4"/>
        <v>5000000</v>
      </c>
      <c r="P33" s="194"/>
      <c r="S33" s="280"/>
      <c r="T33" s="280"/>
      <c r="U33" s="244"/>
    </row>
    <row r="34" spans="1:21" s="55" customFormat="1" ht="18" customHeight="1" x14ac:dyDescent="0.25">
      <c r="A34" s="334"/>
      <c r="B34" s="335"/>
      <c r="C34" s="335"/>
      <c r="D34" s="335" t="s">
        <v>271</v>
      </c>
      <c r="E34" s="336" t="s">
        <v>272</v>
      </c>
      <c r="F34" s="337">
        <f>+F35</f>
        <v>52680000</v>
      </c>
      <c r="G34" s="54">
        <f>+G35</f>
        <v>0</v>
      </c>
      <c r="H34" s="54">
        <f>+H35</f>
        <v>0</v>
      </c>
      <c r="I34" s="54">
        <f>+G34+H34</f>
        <v>0</v>
      </c>
      <c r="J34" s="54">
        <f>+J35</f>
        <v>12570000</v>
      </c>
      <c r="K34" s="54">
        <f>+K35</f>
        <v>8380000</v>
      </c>
      <c r="L34" s="54">
        <f>+J34+K34</f>
        <v>20950000</v>
      </c>
      <c r="M34" s="54">
        <f>+I34+L34</f>
        <v>20950000</v>
      </c>
      <c r="N34" s="53">
        <f t="shared" si="4"/>
        <v>31730000</v>
      </c>
      <c r="P34" s="195"/>
      <c r="S34" s="279"/>
      <c r="T34" s="279"/>
      <c r="U34" s="243"/>
    </row>
    <row r="35" spans="1:21" s="49" customFormat="1" ht="18" customHeight="1" x14ac:dyDescent="0.25">
      <c r="A35" s="334"/>
      <c r="B35" s="335"/>
      <c r="C35" s="335"/>
      <c r="D35" s="335" t="s">
        <v>81</v>
      </c>
      <c r="E35" s="335" t="s">
        <v>31</v>
      </c>
      <c r="F35" s="337">
        <f>SUM(F36:F36)</f>
        <v>52680000</v>
      </c>
      <c r="G35" s="59">
        <f>+G36</f>
        <v>0</v>
      </c>
      <c r="H35" s="60">
        <f>+SUM(H36:H36)</f>
        <v>0</v>
      </c>
      <c r="I35" s="60">
        <f t="shared" si="2"/>
        <v>0</v>
      </c>
      <c r="J35" s="60">
        <f>+SUM(J36:J36)</f>
        <v>12570000</v>
      </c>
      <c r="K35" s="60">
        <f>+SUM(K36:K36)</f>
        <v>8380000</v>
      </c>
      <c r="L35" s="60">
        <f>+J35+K35</f>
        <v>20950000</v>
      </c>
      <c r="M35" s="60">
        <f t="shared" si="3"/>
        <v>20950000</v>
      </c>
      <c r="N35" s="58">
        <f t="shared" si="4"/>
        <v>31730000</v>
      </c>
      <c r="P35" s="192"/>
      <c r="S35" s="279"/>
      <c r="T35" s="279"/>
      <c r="U35" s="242"/>
    </row>
    <row r="36" spans="1:21" s="65" customFormat="1" ht="18" customHeight="1" x14ac:dyDescent="0.25">
      <c r="A36" s="334"/>
      <c r="B36" s="335"/>
      <c r="C36" s="335"/>
      <c r="D36" s="335" t="s">
        <v>82</v>
      </c>
      <c r="E36" s="335" t="s">
        <v>83</v>
      </c>
      <c r="F36" s="337">
        <v>52680000</v>
      </c>
      <c r="G36" s="64"/>
      <c r="H36" s="64"/>
      <c r="I36" s="64">
        <f t="shared" si="2"/>
        <v>0</v>
      </c>
      <c r="J36" s="64">
        <v>12570000</v>
      </c>
      <c r="K36" s="64">
        <f>4190000+4190000</f>
        <v>8380000</v>
      </c>
      <c r="L36" s="64">
        <f t="shared" ref="L36" si="5">+J36+K36</f>
        <v>20950000</v>
      </c>
      <c r="M36" s="64">
        <f t="shared" si="3"/>
        <v>20950000</v>
      </c>
      <c r="N36" s="63">
        <f t="shared" si="4"/>
        <v>31730000</v>
      </c>
      <c r="P36" s="194"/>
      <c r="S36" s="445">
        <f>4190000+4190000</f>
        <v>8380000</v>
      </c>
      <c r="T36" s="282"/>
      <c r="U36" s="244"/>
    </row>
    <row r="37" spans="1:21" s="121" customFormat="1" ht="32.25" customHeight="1" x14ac:dyDescent="0.25">
      <c r="A37" s="275">
        <v>2</v>
      </c>
      <c r="B37" s="314"/>
      <c r="C37" s="314" t="s">
        <v>79</v>
      </c>
      <c r="D37" s="315"/>
      <c r="E37" s="348" t="s">
        <v>80</v>
      </c>
      <c r="F37" s="317">
        <f t="shared" ref="F37:H38" si="6">+F38</f>
        <v>158294000</v>
      </c>
      <c r="G37" s="159">
        <f t="shared" si="6"/>
        <v>0</v>
      </c>
      <c r="H37" s="159">
        <f t="shared" si="6"/>
        <v>0</v>
      </c>
      <c r="I37" s="159">
        <f>+G37+H37</f>
        <v>0</v>
      </c>
      <c r="J37" s="159">
        <f>+J38</f>
        <v>33338500</v>
      </c>
      <c r="K37" s="159">
        <f>+K38</f>
        <v>8600000</v>
      </c>
      <c r="L37" s="159">
        <f>+J37+K37</f>
        <v>41938500</v>
      </c>
      <c r="M37" s="159">
        <f>+I37+L37</f>
        <v>41938500</v>
      </c>
      <c r="N37" s="158">
        <f>+F37-M37</f>
        <v>116355500</v>
      </c>
      <c r="P37" s="190"/>
      <c r="R37" s="122"/>
      <c r="S37" s="283"/>
      <c r="T37" s="283"/>
      <c r="U37" s="246"/>
    </row>
    <row r="38" spans="1:21" s="107" customFormat="1" ht="18" customHeight="1" x14ac:dyDescent="0.25">
      <c r="A38" s="323"/>
      <c r="B38" s="324"/>
      <c r="C38" s="324"/>
      <c r="D38" s="325" t="s">
        <v>207</v>
      </c>
      <c r="E38" s="326" t="s">
        <v>262</v>
      </c>
      <c r="F38" s="327">
        <f t="shared" si="6"/>
        <v>158294000</v>
      </c>
      <c r="G38" s="106">
        <f t="shared" si="6"/>
        <v>0</v>
      </c>
      <c r="H38" s="106">
        <f t="shared" si="6"/>
        <v>0</v>
      </c>
      <c r="I38" s="106">
        <f t="shared" ref="I38:I42" si="7">+G38+H38</f>
        <v>0</v>
      </c>
      <c r="J38" s="106">
        <f>+J39</f>
        <v>33338500</v>
      </c>
      <c r="K38" s="106">
        <f>+K39</f>
        <v>8600000</v>
      </c>
      <c r="L38" s="106">
        <f t="shared" ref="L38:L40" si="8">+J38+K38</f>
        <v>41938500</v>
      </c>
      <c r="M38" s="106">
        <f>+I38+L38</f>
        <v>41938500</v>
      </c>
      <c r="N38" s="105">
        <f t="shared" ref="N38:N41" si="9">+F38-M38</f>
        <v>116355500</v>
      </c>
      <c r="P38" s="191"/>
      <c r="R38" s="108"/>
      <c r="S38" s="284"/>
      <c r="T38" s="284"/>
      <c r="U38" s="241"/>
    </row>
    <row r="39" spans="1:21" s="49" customFormat="1" ht="18" customHeight="1" x14ac:dyDescent="0.25">
      <c r="A39" s="334"/>
      <c r="B39" s="335"/>
      <c r="C39" s="335"/>
      <c r="D39" s="335" t="s">
        <v>63</v>
      </c>
      <c r="E39" s="336" t="s">
        <v>30</v>
      </c>
      <c r="F39" s="337">
        <f>+F40+F47</f>
        <v>158294000</v>
      </c>
      <c r="G39" s="48">
        <f>+G40+G47</f>
        <v>0</v>
      </c>
      <c r="H39" s="48">
        <f>+H40+H47</f>
        <v>0</v>
      </c>
      <c r="I39" s="48">
        <f t="shared" si="7"/>
        <v>0</v>
      </c>
      <c r="J39" s="48">
        <f>+J40+J47</f>
        <v>33338500</v>
      </c>
      <c r="K39" s="48">
        <f>+K40+K47</f>
        <v>8600000</v>
      </c>
      <c r="L39" s="48">
        <f t="shared" si="8"/>
        <v>41938500</v>
      </c>
      <c r="M39" s="48">
        <f t="shared" ref="M39:M40" si="10">+I39+L39</f>
        <v>41938500</v>
      </c>
      <c r="N39" s="47">
        <f t="shared" si="9"/>
        <v>116355500</v>
      </c>
      <c r="P39" s="192"/>
      <c r="S39" s="282"/>
      <c r="T39" s="282"/>
      <c r="U39" s="242"/>
    </row>
    <row r="40" spans="1:21" s="55" customFormat="1" ht="18" customHeight="1" x14ac:dyDescent="0.25">
      <c r="A40" s="334"/>
      <c r="B40" s="335"/>
      <c r="C40" s="335"/>
      <c r="D40" s="335" t="s">
        <v>263</v>
      </c>
      <c r="E40" s="336" t="s">
        <v>264</v>
      </c>
      <c r="F40" s="337">
        <f t="shared" ref="F40" si="11">+F41</f>
        <v>76694000</v>
      </c>
      <c r="G40" s="54">
        <f>+G41</f>
        <v>0</v>
      </c>
      <c r="H40" s="54">
        <f>+H41</f>
        <v>0</v>
      </c>
      <c r="I40" s="54">
        <f t="shared" si="7"/>
        <v>0</v>
      </c>
      <c r="J40" s="54">
        <f>+J41</f>
        <v>15938500</v>
      </c>
      <c r="K40" s="54">
        <f>+K41</f>
        <v>0</v>
      </c>
      <c r="L40" s="54">
        <f t="shared" si="8"/>
        <v>15938500</v>
      </c>
      <c r="M40" s="54">
        <f t="shared" si="10"/>
        <v>15938500</v>
      </c>
      <c r="N40" s="53">
        <f t="shared" si="9"/>
        <v>60755500</v>
      </c>
      <c r="P40" s="195"/>
      <c r="S40" s="282"/>
      <c r="T40" s="282"/>
      <c r="U40" s="243"/>
    </row>
    <row r="41" spans="1:21" s="49" customFormat="1" ht="18" customHeight="1" x14ac:dyDescent="0.25">
      <c r="A41" s="334"/>
      <c r="B41" s="335"/>
      <c r="C41" s="335"/>
      <c r="D41" s="335" t="s">
        <v>64</v>
      </c>
      <c r="E41" s="335" t="s">
        <v>65</v>
      </c>
      <c r="F41" s="337">
        <f>SUM(F42:F46)</f>
        <v>76694000</v>
      </c>
      <c r="G41" s="59">
        <f>SUM(G42:G46)</f>
        <v>0</v>
      </c>
      <c r="H41" s="59">
        <f>SUM(H42:H46)</f>
        <v>0</v>
      </c>
      <c r="I41" s="60">
        <f t="shared" si="7"/>
        <v>0</v>
      </c>
      <c r="J41" s="60">
        <f>SUM(J42:J46)</f>
        <v>15938500</v>
      </c>
      <c r="K41" s="60">
        <f>SUM(K42:K46)</f>
        <v>0</v>
      </c>
      <c r="L41" s="60">
        <f>+J41+K41</f>
        <v>15938500</v>
      </c>
      <c r="M41" s="60">
        <f>+I41+L41</f>
        <v>15938500</v>
      </c>
      <c r="N41" s="58">
        <f t="shared" si="9"/>
        <v>60755500</v>
      </c>
      <c r="P41" s="192"/>
      <c r="S41" s="282"/>
      <c r="T41" s="282"/>
      <c r="U41" s="242"/>
    </row>
    <row r="42" spans="1:21" s="65" customFormat="1" ht="18" customHeight="1" x14ac:dyDescent="0.25">
      <c r="A42" s="334"/>
      <c r="B42" s="352"/>
      <c r="C42" s="335"/>
      <c r="D42" s="335" t="s">
        <v>66</v>
      </c>
      <c r="E42" s="335" t="s">
        <v>67</v>
      </c>
      <c r="F42" s="337">
        <v>8160000</v>
      </c>
      <c r="G42" s="64"/>
      <c r="H42" s="64"/>
      <c r="I42" s="64">
        <f t="shared" si="7"/>
        <v>0</v>
      </c>
      <c r="J42" s="64">
        <v>8160000</v>
      </c>
      <c r="K42" s="64"/>
      <c r="L42" s="64">
        <f t="shared" ref="L42" si="12">+J42+K42</f>
        <v>8160000</v>
      </c>
      <c r="M42" s="64">
        <f t="shared" ref="M42" si="13">+I42+L42</f>
        <v>8160000</v>
      </c>
      <c r="N42" s="63">
        <f>+F42-M42</f>
        <v>0</v>
      </c>
      <c r="P42" s="194"/>
      <c r="S42" s="282"/>
      <c r="T42" s="282"/>
      <c r="U42" s="244"/>
    </row>
    <row r="43" spans="1:21" s="65" customFormat="1" ht="18" customHeight="1" x14ac:dyDescent="0.25">
      <c r="A43" s="334"/>
      <c r="B43" s="352"/>
      <c r="C43" s="335"/>
      <c r="D43" s="335" t="s">
        <v>337</v>
      </c>
      <c r="E43" s="335" t="s">
        <v>338</v>
      </c>
      <c r="F43" s="337">
        <v>5112000</v>
      </c>
      <c r="G43" s="64"/>
      <c r="H43" s="64"/>
      <c r="I43" s="64"/>
      <c r="J43" s="64">
        <v>0</v>
      </c>
      <c r="K43" s="64"/>
      <c r="L43" s="64">
        <f>+J43+K43</f>
        <v>0</v>
      </c>
      <c r="M43" s="64">
        <f>+I43+L43</f>
        <v>0</v>
      </c>
      <c r="N43" s="63">
        <f>+F43-M43</f>
        <v>5112000</v>
      </c>
      <c r="P43" s="194"/>
      <c r="S43" s="282"/>
      <c r="T43" s="282"/>
      <c r="U43" s="244"/>
    </row>
    <row r="44" spans="1:21" s="65" customFormat="1" ht="18" customHeight="1" x14ac:dyDescent="0.25">
      <c r="A44" s="334"/>
      <c r="B44" s="352"/>
      <c r="C44" s="335"/>
      <c r="D44" s="335" t="s">
        <v>68</v>
      </c>
      <c r="E44" s="335" t="s">
        <v>69</v>
      </c>
      <c r="F44" s="337">
        <v>36414000</v>
      </c>
      <c r="G44" s="64"/>
      <c r="H44" s="64"/>
      <c r="I44" s="64"/>
      <c r="J44" s="64">
        <v>5713500</v>
      </c>
      <c r="K44" s="64"/>
      <c r="L44" s="64">
        <f t="shared" ref="L44:L46" si="14">+J44+K44</f>
        <v>5713500</v>
      </c>
      <c r="M44" s="64">
        <f t="shared" ref="M44:M46" si="15">+I44+L44</f>
        <v>5713500</v>
      </c>
      <c r="N44" s="63">
        <f t="shared" ref="N44:N50" si="16">+F44-M44</f>
        <v>30700500</v>
      </c>
      <c r="P44" s="194"/>
      <c r="S44" s="282"/>
      <c r="T44" s="282"/>
      <c r="U44" s="244"/>
    </row>
    <row r="45" spans="1:21" s="65" customFormat="1" ht="18" customHeight="1" x14ac:dyDescent="0.25">
      <c r="A45" s="334"/>
      <c r="B45" s="352"/>
      <c r="C45" s="335"/>
      <c r="D45" s="335" t="s">
        <v>339</v>
      </c>
      <c r="E45" s="335" t="s">
        <v>340</v>
      </c>
      <c r="F45" s="337">
        <v>12008000</v>
      </c>
      <c r="G45" s="64"/>
      <c r="H45" s="64"/>
      <c r="I45" s="64"/>
      <c r="J45" s="64">
        <v>2065000</v>
      </c>
      <c r="K45" s="64"/>
      <c r="L45" s="64">
        <f t="shared" si="14"/>
        <v>2065000</v>
      </c>
      <c r="M45" s="64">
        <f t="shared" si="15"/>
        <v>2065000</v>
      </c>
      <c r="N45" s="63">
        <f t="shared" si="16"/>
        <v>9943000</v>
      </c>
      <c r="P45" s="194"/>
      <c r="S45" s="282"/>
      <c r="T45" s="282"/>
      <c r="U45" s="244"/>
    </row>
    <row r="46" spans="1:21" s="65" customFormat="1" ht="18" customHeight="1" x14ac:dyDescent="0.25">
      <c r="A46" s="334"/>
      <c r="B46" s="352"/>
      <c r="C46" s="335"/>
      <c r="D46" s="335" t="s">
        <v>70</v>
      </c>
      <c r="E46" s="335" t="s">
        <v>33</v>
      </c>
      <c r="F46" s="337">
        <v>15000000</v>
      </c>
      <c r="G46" s="64"/>
      <c r="H46" s="64"/>
      <c r="I46" s="64">
        <f>+G46+H46</f>
        <v>0</v>
      </c>
      <c r="J46" s="64"/>
      <c r="K46" s="64"/>
      <c r="L46" s="64">
        <f t="shared" si="14"/>
        <v>0</v>
      </c>
      <c r="M46" s="64">
        <f t="shared" si="15"/>
        <v>0</v>
      </c>
      <c r="N46" s="63">
        <f t="shared" si="16"/>
        <v>15000000</v>
      </c>
      <c r="P46" s="194"/>
      <c r="S46" s="282"/>
      <c r="T46" s="282"/>
      <c r="U46" s="244"/>
    </row>
    <row r="47" spans="1:21" s="55" customFormat="1" ht="18" customHeight="1" x14ac:dyDescent="0.25">
      <c r="A47" s="334"/>
      <c r="B47" s="335"/>
      <c r="C47" s="335"/>
      <c r="D47" s="335" t="s">
        <v>271</v>
      </c>
      <c r="E47" s="336" t="s">
        <v>272</v>
      </c>
      <c r="F47" s="337">
        <f>+F48</f>
        <v>81600000</v>
      </c>
      <c r="G47" s="54">
        <f>+G48</f>
        <v>0</v>
      </c>
      <c r="H47" s="54">
        <f>+H48</f>
        <v>0</v>
      </c>
      <c r="I47" s="54">
        <f t="shared" ref="I47:I50" si="17">+G47+H47</f>
        <v>0</v>
      </c>
      <c r="J47" s="54">
        <f>+J48</f>
        <v>17400000</v>
      </c>
      <c r="K47" s="54">
        <f>+K48</f>
        <v>8600000</v>
      </c>
      <c r="L47" s="54">
        <f>+J47+K47</f>
        <v>26000000</v>
      </c>
      <c r="M47" s="54">
        <f>+I47+L47</f>
        <v>26000000</v>
      </c>
      <c r="N47" s="53">
        <f t="shared" si="16"/>
        <v>55600000</v>
      </c>
      <c r="P47" s="195"/>
      <c r="S47" s="282"/>
      <c r="T47" s="282"/>
      <c r="U47" s="243"/>
    </row>
    <row r="48" spans="1:21" s="49" customFormat="1" ht="18" customHeight="1" x14ac:dyDescent="0.25">
      <c r="A48" s="334"/>
      <c r="B48" s="335"/>
      <c r="C48" s="335"/>
      <c r="D48" s="335" t="s">
        <v>81</v>
      </c>
      <c r="E48" s="335" t="s">
        <v>31</v>
      </c>
      <c r="F48" s="337">
        <f>SUM(F49:F50)</f>
        <v>81600000</v>
      </c>
      <c r="G48" s="59">
        <f>+G50</f>
        <v>0</v>
      </c>
      <c r="H48" s="60">
        <f>+SUM(H50:H50)</f>
        <v>0</v>
      </c>
      <c r="I48" s="60">
        <f t="shared" si="17"/>
        <v>0</v>
      </c>
      <c r="J48" s="60">
        <f>+SUM(J49:J50)</f>
        <v>17400000</v>
      </c>
      <c r="K48" s="60">
        <f>+SUM(K49:K50)</f>
        <v>8600000</v>
      </c>
      <c r="L48" s="60">
        <f t="shared" ref="L48:L50" si="18">+J48+K48</f>
        <v>26000000</v>
      </c>
      <c r="M48" s="60">
        <f t="shared" ref="M48:M50" si="19">+I48+L48</f>
        <v>26000000</v>
      </c>
      <c r="N48" s="58">
        <f t="shared" si="16"/>
        <v>55600000</v>
      </c>
      <c r="P48" s="192"/>
      <c r="S48" s="282"/>
      <c r="T48" s="282"/>
      <c r="U48" s="242"/>
    </row>
    <row r="49" spans="1:21" s="65" customFormat="1" ht="18" customHeight="1" x14ac:dyDescent="0.25">
      <c r="A49" s="334"/>
      <c r="B49" s="335"/>
      <c r="C49" s="335"/>
      <c r="D49" s="335" t="s">
        <v>451</v>
      </c>
      <c r="E49" s="335" t="s">
        <v>452</v>
      </c>
      <c r="F49" s="337">
        <v>30000000</v>
      </c>
      <c r="G49" s="64"/>
      <c r="H49" s="64"/>
      <c r="I49" s="64">
        <f t="shared" si="17"/>
        <v>0</v>
      </c>
      <c r="J49" s="64">
        <v>4500000</v>
      </c>
      <c r="K49" s="64"/>
      <c r="L49" s="64">
        <f t="shared" si="18"/>
        <v>4500000</v>
      </c>
      <c r="M49" s="64">
        <f t="shared" si="19"/>
        <v>4500000</v>
      </c>
      <c r="N49" s="63">
        <f t="shared" si="16"/>
        <v>25500000</v>
      </c>
      <c r="P49" s="194"/>
      <c r="S49" s="282"/>
      <c r="T49" s="282"/>
      <c r="U49" s="244"/>
    </row>
    <row r="50" spans="1:21" s="65" customFormat="1" ht="18" customHeight="1" x14ac:dyDescent="0.25">
      <c r="A50" s="334"/>
      <c r="B50" s="335"/>
      <c r="C50" s="335"/>
      <c r="D50" s="335" t="s">
        <v>82</v>
      </c>
      <c r="E50" s="335" t="s">
        <v>83</v>
      </c>
      <c r="F50" s="337">
        <v>51600000</v>
      </c>
      <c r="G50" s="64"/>
      <c r="H50" s="64"/>
      <c r="I50" s="64">
        <f t="shared" si="17"/>
        <v>0</v>
      </c>
      <c r="J50" s="64">
        <v>12900000</v>
      </c>
      <c r="K50" s="64">
        <f>4300000+4300000</f>
        <v>8600000</v>
      </c>
      <c r="L50" s="64">
        <f t="shared" si="18"/>
        <v>21500000</v>
      </c>
      <c r="M50" s="64">
        <f t="shared" si="19"/>
        <v>21500000</v>
      </c>
      <c r="N50" s="63">
        <f t="shared" si="16"/>
        <v>30100000</v>
      </c>
      <c r="P50" s="194"/>
      <c r="S50" s="445">
        <f>4300000+4300000</f>
        <v>8600000</v>
      </c>
      <c r="T50" s="282"/>
      <c r="U50" s="244"/>
    </row>
    <row r="51" spans="1:21" s="134" customFormat="1" ht="18" customHeight="1" x14ac:dyDescent="0.25">
      <c r="A51" s="353"/>
      <c r="B51" s="354"/>
      <c r="C51" s="354"/>
      <c r="D51" s="355"/>
      <c r="E51" s="355"/>
      <c r="F51" s="356"/>
      <c r="G51" s="133"/>
      <c r="H51" s="133"/>
      <c r="I51" s="133"/>
      <c r="J51" s="133"/>
      <c r="K51" s="133"/>
      <c r="L51" s="133"/>
      <c r="M51" s="133"/>
      <c r="N51" s="132"/>
      <c r="P51" s="197"/>
      <c r="S51" s="286"/>
      <c r="T51" s="286"/>
      <c r="U51" s="247"/>
    </row>
    <row r="52" spans="1:21" s="137" customFormat="1" ht="18" customHeight="1" x14ac:dyDescent="0.25">
      <c r="A52" s="276"/>
      <c r="B52" s="305" t="s">
        <v>407</v>
      </c>
      <c r="C52" s="305"/>
      <c r="D52" s="305"/>
      <c r="E52" s="305" t="s">
        <v>408</v>
      </c>
      <c r="F52" s="359">
        <f>+F53+F118</f>
        <v>27970445142</v>
      </c>
      <c r="G52" s="136">
        <f>+G53</f>
        <v>3979469458</v>
      </c>
      <c r="H52" s="136">
        <f>+H53+H118</f>
        <v>0</v>
      </c>
      <c r="I52" s="136">
        <f>+G52+H52</f>
        <v>3979469458</v>
      </c>
      <c r="J52" s="136">
        <f>+J119</f>
        <v>5940750</v>
      </c>
      <c r="K52" s="136">
        <f>+K119</f>
        <v>18452500</v>
      </c>
      <c r="L52" s="136">
        <f>+J52+K52</f>
        <v>24393250</v>
      </c>
      <c r="M52" s="136">
        <f>+I52+L52</f>
        <v>4003862708</v>
      </c>
      <c r="N52" s="135">
        <f>+F52-M52</f>
        <v>23966582434</v>
      </c>
      <c r="P52" s="198"/>
      <c r="R52" s="138"/>
      <c r="S52" s="287"/>
      <c r="T52" s="287"/>
      <c r="U52" s="248"/>
    </row>
    <row r="53" spans="1:21" s="121" customFormat="1" ht="18" customHeight="1" x14ac:dyDescent="0.25">
      <c r="A53" s="276">
        <v>3</v>
      </c>
      <c r="B53" s="305"/>
      <c r="C53" s="305" t="s">
        <v>156</v>
      </c>
      <c r="D53" s="363"/>
      <c r="E53" s="364" t="s">
        <v>157</v>
      </c>
      <c r="F53" s="307">
        <f>+F54</f>
        <v>27939292142</v>
      </c>
      <c r="G53" s="120">
        <f>+G54</f>
        <v>3979469458</v>
      </c>
      <c r="H53" s="120">
        <f>+H54</f>
        <v>0</v>
      </c>
      <c r="I53" s="120">
        <f>+G53+H53</f>
        <v>3979469458</v>
      </c>
      <c r="J53" s="120">
        <f>+J54</f>
        <v>0</v>
      </c>
      <c r="K53" s="120">
        <f>+K54</f>
        <v>0</v>
      </c>
      <c r="L53" s="120">
        <f>+J53+K53</f>
        <v>0</v>
      </c>
      <c r="M53" s="120">
        <f>+I53+L53</f>
        <v>3979469458</v>
      </c>
      <c r="N53" s="119">
        <f>+F53-M53</f>
        <v>23959822684</v>
      </c>
      <c r="P53" s="190"/>
      <c r="R53" s="122"/>
      <c r="S53" s="283"/>
      <c r="T53" s="283"/>
      <c r="U53" s="246"/>
    </row>
    <row r="54" spans="1:21" s="107" customFormat="1" ht="18" customHeight="1" x14ac:dyDescent="0.25">
      <c r="A54" s="323"/>
      <c r="B54" s="324"/>
      <c r="C54" s="324"/>
      <c r="D54" s="325" t="s">
        <v>207</v>
      </c>
      <c r="E54" s="326" t="s">
        <v>262</v>
      </c>
      <c r="F54" s="327">
        <f t="shared" ref="F54" si="20">+F55</f>
        <v>27939292142</v>
      </c>
      <c r="G54" s="106">
        <f>+G55</f>
        <v>3979469458</v>
      </c>
      <c r="H54" s="106">
        <f>+H55</f>
        <v>0</v>
      </c>
      <c r="I54" s="106">
        <f t="shared" ref="I54:I55" si="21">+G54+H54</f>
        <v>3979469458</v>
      </c>
      <c r="J54" s="106"/>
      <c r="K54" s="106">
        <f>+K55</f>
        <v>0</v>
      </c>
      <c r="L54" s="106">
        <f t="shared" ref="L54:L117" si="22">+J54+K54</f>
        <v>0</v>
      </c>
      <c r="M54" s="106">
        <f t="shared" ref="M54:M77" si="23">+I54+L54</f>
        <v>3979469458</v>
      </c>
      <c r="N54" s="105">
        <f t="shared" ref="N54:N59" si="24">+F54-M54</f>
        <v>23959822684</v>
      </c>
      <c r="P54" s="191"/>
      <c r="R54" s="108"/>
      <c r="S54" s="284"/>
      <c r="T54" s="284"/>
      <c r="U54" s="241"/>
    </row>
    <row r="55" spans="1:21" s="49" customFormat="1" ht="18" customHeight="1" x14ac:dyDescent="0.25">
      <c r="A55" s="334"/>
      <c r="B55" s="335"/>
      <c r="C55" s="335"/>
      <c r="D55" s="365" t="s">
        <v>158</v>
      </c>
      <c r="E55" s="335" t="s">
        <v>159</v>
      </c>
      <c r="F55" s="337">
        <f>F56+F81+F88+F106</f>
        <v>27939292142</v>
      </c>
      <c r="G55" s="70">
        <f>+G56+G88+G106+G81</f>
        <v>3979469458</v>
      </c>
      <c r="H55" s="70">
        <f>+H56+H88+H106+H81</f>
        <v>0</v>
      </c>
      <c r="I55" s="70">
        <f t="shared" si="21"/>
        <v>3979469458</v>
      </c>
      <c r="J55" s="70"/>
      <c r="K55" s="70">
        <f>+K56+K81+K88+K106</f>
        <v>0</v>
      </c>
      <c r="L55" s="70">
        <f t="shared" si="22"/>
        <v>0</v>
      </c>
      <c r="M55" s="70">
        <f t="shared" si="23"/>
        <v>3979469458</v>
      </c>
      <c r="N55" s="47">
        <f t="shared" si="24"/>
        <v>23959822684</v>
      </c>
      <c r="P55" s="192"/>
      <c r="S55" s="282"/>
      <c r="T55" s="282"/>
      <c r="U55" s="242"/>
    </row>
    <row r="56" spans="1:21" s="55" customFormat="1" ht="18" customHeight="1" x14ac:dyDescent="0.25">
      <c r="A56" s="334"/>
      <c r="B56" s="335"/>
      <c r="C56" s="335"/>
      <c r="D56" s="365" t="s">
        <v>208</v>
      </c>
      <c r="E56" s="335" t="s">
        <v>209</v>
      </c>
      <c r="F56" s="337">
        <f>F57+F59+F61+F63+F65+F67+F69+F71+F73+F75+F77+F79</f>
        <v>15098272502</v>
      </c>
      <c r="G56" s="72">
        <f>+G57+G59+G61+G63+G65+G67+G69+G71+G73+G75+G77+G79</f>
        <v>1578827169</v>
      </c>
      <c r="H56" s="72">
        <f>+H57+H59+H61+H63+H65+H67+H69+H71+H73+H75+H77+H79</f>
        <v>0</v>
      </c>
      <c r="I56" s="72">
        <f>+G56+H56</f>
        <v>1578827169</v>
      </c>
      <c r="J56" s="72"/>
      <c r="K56" s="72">
        <f>+K57+K59+K61+K63+K65+K67+K69+K71+K73+K75+K77+K79</f>
        <v>0</v>
      </c>
      <c r="L56" s="72">
        <f t="shared" si="22"/>
        <v>0</v>
      </c>
      <c r="M56" s="72">
        <f t="shared" si="23"/>
        <v>1578827169</v>
      </c>
      <c r="N56" s="53">
        <f t="shared" si="24"/>
        <v>13519445333</v>
      </c>
      <c r="P56" s="195"/>
      <c r="S56" s="282"/>
      <c r="T56" s="282"/>
      <c r="U56" s="243"/>
    </row>
    <row r="57" spans="1:21" s="49" customFormat="1" ht="18" customHeight="1" x14ac:dyDescent="0.25">
      <c r="A57" s="334"/>
      <c r="B57" s="335"/>
      <c r="C57" s="335"/>
      <c r="D57" s="365" t="s">
        <v>160</v>
      </c>
      <c r="E57" s="335" t="s">
        <v>162</v>
      </c>
      <c r="F57" s="337">
        <f>+F58</f>
        <v>13525507924</v>
      </c>
      <c r="G57" s="59">
        <f>+G58</f>
        <v>1196237900</v>
      </c>
      <c r="H57" s="59">
        <f>+H58</f>
        <v>0</v>
      </c>
      <c r="I57" s="59">
        <f t="shared" ref="I57" si="25">+G57+H57</f>
        <v>1196237900</v>
      </c>
      <c r="J57" s="59"/>
      <c r="K57" s="59">
        <f>+K58</f>
        <v>0</v>
      </c>
      <c r="L57" s="59">
        <f>+J57+K57</f>
        <v>0</v>
      </c>
      <c r="M57" s="59">
        <f t="shared" si="23"/>
        <v>1196237900</v>
      </c>
      <c r="N57" s="58">
        <f t="shared" si="24"/>
        <v>12329270024</v>
      </c>
      <c r="P57" s="192"/>
      <c r="S57" s="282"/>
      <c r="T57" s="282"/>
      <c r="U57" s="242"/>
    </row>
    <row r="58" spans="1:21" s="49" customFormat="1" ht="18" customHeight="1" x14ac:dyDescent="0.25">
      <c r="A58" s="334"/>
      <c r="B58" s="335"/>
      <c r="C58" s="335"/>
      <c r="D58" s="365" t="s">
        <v>161</v>
      </c>
      <c r="E58" s="335" t="s">
        <v>163</v>
      </c>
      <c r="F58" s="337">
        <v>13525507924</v>
      </c>
      <c r="G58" s="75">
        <v>1196237900</v>
      </c>
      <c r="H58" s="75"/>
      <c r="I58" s="75">
        <f>+G58+H58</f>
        <v>1196237900</v>
      </c>
      <c r="J58" s="75"/>
      <c r="K58" s="75"/>
      <c r="L58" s="75">
        <f t="shared" si="22"/>
        <v>0</v>
      </c>
      <c r="M58" s="75">
        <f t="shared" si="23"/>
        <v>1196237900</v>
      </c>
      <c r="N58" s="63">
        <f t="shared" si="24"/>
        <v>12329270024</v>
      </c>
      <c r="P58" s="192"/>
      <c r="S58" s="282"/>
      <c r="T58" s="282"/>
      <c r="U58" s="242"/>
    </row>
    <row r="59" spans="1:21" s="49" customFormat="1" ht="18" customHeight="1" x14ac:dyDescent="0.25">
      <c r="A59" s="334"/>
      <c r="B59" s="335"/>
      <c r="C59" s="335"/>
      <c r="D59" s="365" t="s">
        <v>164</v>
      </c>
      <c r="E59" s="335" t="s">
        <v>166</v>
      </c>
      <c r="F59" s="337">
        <f>+F60</f>
        <v>401878814</v>
      </c>
      <c r="G59" s="59">
        <f>+G60</f>
        <v>119148766</v>
      </c>
      <c r="H59" s="59">
        <f>+H60</f>
        <v>0</v>
      </c>
      <c r="I59" s="59">
        <f t="shared" ref="I59:I78" si="26">+G59+H59</f>
        <v>119148766</v>
      </c>
      <c r="J59" s="59"/>
      <c r="K59" s="59">
        <f>+K60</f>
        <v>0</v>
      </c>
      <c r="L59" s="59">
        <f>+J59+K59</f>
        <v>0</v>
      </c>
      <c r="M59" s="59">
        <f t="shared" si="23"/>
        <v>119148766</v>
      </c>
      <c r="N59" s="58">
        <f t="shared" si="24"/>
        <v>282730048</v>
      </c>
      <c r="P59" s="192"/>
      <c r="S59" s="282"/>
      <c r="T59" s="282"/>
      <c r="U59" s="242"/>
    </row>
    <row r="60" spans="1:21" s="49" customFormat="1" ht="18" customHeight="1" x14ac:dyDescent="0.25">
      <c r="A60" s="334"/>
      <c r="B60" s="335"/>
      <c r="C60" s="335"/>
      <c r="D60" s="365" t="s">
        <v>165</v>
      </c>
      <c r="E60" s="335" t="s">
        <v>167</v>
      </c>
      <c r="F60" s="337">
        <v>401878814</v>
      </c>
      <c r="G60" s="75">
        <v>119148766</v>
      </c>
      <c r="H60" s="75"/>
      <c r="I60" s="75">
        <f t="shared" si="26"/>
        <v>119148766</v>
      </c>
      <c r="J60" s="75"/>
      <c r="K60" s="75"/>
      <c r="L60" s="75">
        <f t="shared" si="22"/>
        <v>0</v>
      </c>
      <c r="M60" s="75">
        <f t="shared" si="23"/>
        <v>119148766</v>
      </c>
      <c r="N60" s="63">
        <f>+F60-M60</f>
        <v>282730048</v>
      </c>
      <c r="P60" s="192"/>
      <c r="S60" s="282"/>
      <c r="T60" s="282"/>
      <c r="U60" s="242"/>
    </row>
    <row r="61" spans="1:21" s="49" customFormat="1" ht="18" customHeight="1" x14ac:dyDescent="0.25">
      <c r="A61" s="334"/>
      <c r="B61" s="335"/>
      <c r="C61" s="335"/>
      <c r="D61" s="365" t="s">
        <v>168</v>
      </c>
      <c r="E61" s="335" t="s">
        <v>170</v>
      </c>
      <c r="F61" s="337">
        <f>+F62</f>
        <v>290052000</v>
      </c>
      <c r="G61" s="59">
        <f>+G62</f>
        <v>87405000</v>
      </c>
      <c r="H61" s="59">
        <f>+H62</f>
        <v>0</v>
      </c>
      <c r="I61" s="59">
        <f t="shared" si="26"/>
        <v>87405000</v>
      </c>
      <c r="J61" s="59"/>
      <c r="K61" s="59">
        <f>+K62</f>
        <v>0</v>
      </c>
      <c r="L61" s="59">
        <f t="shared" si="22"/>
        <v>0</v>
      </c>
      <c r="M61" s="59">
        <f t="shared" si="23"/>
        <v>87405000</v>
      </c>
      <c r="N61" s="58">
        <f t="shared" ref="N61:N63" si="27">+F61-M61</f>
        <v>202647000</v>
      </c>
      <c r="P61" s="192"/>
      <c r="S61" s="282"/>
      <c r="T61" s="282"/>
      <c r="U61" s="242"/>
    </row>
    <row r="62" spans="1:21" s="49" customFormat="1" ht="18" customHeight="1" x14ac:dyDescent="0.25">
      <c r="A62" s="334"/>
      <c r="B62" s="335"/>
      <c r="C62" s="335"/>
      <c r="D62" s="365" t="s">
        <v>169</v>
      </c>
      <c r="E62" s="335" t="s">
        <v>171</v>
      </c>
      <c r="F62" s="337">
        <v>290052000</v>
      </c>
      <c r="G62" s="75">
        <v>87405000</v>
      </c>
      <c r="H62" s="75"/>
      <c r="I62" s="75">
        <f t="shared" si="26"/>
        <v>87405000</v>
      </c>
      <c r="J62" s="75"/>
      <c r="K62" s="75"/>
      <c r="L62" s="75">
        <f t="shared" si="22"/>
        <v>0</v>
      </c>
      <c r="M62" s="75">
        <f t="shared" si="23"/>
        <v>87405000</v>
      </c>
      <c r="N62" s="63">
        <f t="shared" si="27"/>
        <v>202647000</v>
      </c>
      <c r="P62" s="192"/>
      <c r="S62" s="282"/>
      <c r="T62" s="282"/>
      <c r="U62" s="242"/>
    </row>
    <row r="63" spans="1:21" s="49" customFormat="1" ht="18" customHeight="1" x14ac:dyDescent="0.25">
      <c r="A63" s="334"/>
      <c r="B63" s="335"/>
      <c r="C63" s="335"/>
      <c r="D63" s="365" t="s">
        <v>172</v>
      </c>
      <c r="E63" s="335" t="s">
        <v>174</v>
      </c>
      <c r="F63" s="337">
        <f>+F64</f>
        <v>62496000</v>
      </c>
      <c r="G63" s="59">
        <f>+G64</f>
        <v>4800000</v>
      </c>
      <c r="H63" s="59">
        <f>+H64</f>
        <v>0</v>
      </c>
      <c r="I63" s="59">
        <f t="shared" si="26"/>
        <v>4800000</v>
      </c>
      <c r="J63" s="59"/>
      <c r="K63" s="59">
        <f>+K64</f>
        <v>0</v>
      </c>
      <c r="L63" s="59">
        <f t="shared" si="22"/>
        <v>0</v>
      </c>
      <c r="M63" s="59">
        <f t="shared" si="23"/>
        <v>4800000</v>
      </c>
      <c r="N63" s="58">
        <f t="shared" si="27"/>
        <v>57696000</v>
      </c>
      <c r="P63" s="192"/>
      <c r="S63" s="282"/>
      <c r="T63" s="282"/>
      <c r="U63" s="242"/>
    </row>
    <row r="64" spans="1:21" s="49" customFormat="1" ht="18" customHeight="1" x14ac:dyDescent="0.25">
      <c r="A64" s="334"/>
      <c r="B64" s="335"/>
      <c r="C64" s="335"/>
      <c r="D64" s="365" t="s">
        <v>173</v>
      </c>
      <c r="E64" s="335" t="s">
        <v>175</v>
      </c>
      <c r="F64" s="337">
        <v>62496000</v>
      </c>
      <c r="G64" s="75">
        <v>4800000</v>
      </c>
      <c r="H64" s="75"/>
      <c r="I64" s="75">
        <f t="shared" si="26"/>
        <v>4800000</v>
      </c>
      <c r="J64" s="75"/>
      <c r="K64" s="75"/>
      <c r="L64" s="75">
        <f t="shared" si="22"/>
        <v>0</v>
      </c>
      <c r="M64" s="75">
        <f t="shared" si="23"/>
        <v>4800000</v>
      </c>
      <c r="N64" s="63">
        <f>+F64-M64</f>
        <v>57696000</v>
      </c>
      <c r="P64" s="192"/>
      <c r="S64" s="282"/>
      <c r="T64" s="282"/>
      <c r="U64" s="242"/>
    </row>
    <row r="65" spans="1:21" s="49" customFormat="1" ht="18" customHeight="1" x14ac:dyDescent="0.25">
      <c r="A65" s="334"/>
      <c r="B65" s="335"/>
      <c r="C65" s="335"/>
      <c r="D65" s="365" t="s">
        <v>176</v>
      </c>
      <c r="E65" s="335" t="s">
        <v>178</v>
      </c>
      <c r="F65" s="337">
        <f>+F66</f>
        <v>126672000</v>
      </c>
      <c r="G65" s="59">
        <f>+G66</f>
        <v>38280000</v>
      </c>
      <c r="H65" s="59">
        <f>+H66</f>
        <v>0</v>
      </c>
      <c r="I65" s="59">
        <f t="shared" si="26"/>
        <v>38280000</v>
      </c>
      <c r="J65" s="59"/>
      <c r="K65" s="59">
        <f>+K66</f>
        <v>0</v>
      </c>
      <c r="L65" s="59">
        <f t="shared" si="22"/>
        <v>0</v>
      </c>
      <c r="M65" s="59">
        <f t="shared" si="23"/>
        <v>38280000</v>
      </c>
      <c r="N65" s="58">
        <f t="shared" ref="N65:N77" si="28">+F65-M65</f>
        <v>88392000</v>
      </c>
      <c r="P65" s="192"/>
      <c r="S65" s="282"/>
      <c r="T65" s="282"/>
      <c r="U65" s="242"/>
    </row>
    <row r="66" spans="1:21" s="49" customFormat="1" ht="18" customHeight="1" x14ac:dyDescent="0.25">
      <c r="A66" s="334"/>
      <c r="B66" s="335"/>
      <c r="C66" s="335"/>
      <c r="D66" s="365" t="s">
        <v>177</v>
      </c>
      <c r="E66" s="335" t="s">
        <v>179</v>
      </c>
      <c r="F66" s="337">
        <v>126672000</v>
      </c>
      <c r="G66" s="75">
        <v>38280000</v>
      </c>
      <c r="H66" s="75"/>
      <c r="I66" s="75">
        <f t="shared" si="26"/>
        <v>38280000</v>
      </c>
      <c r="J66" s="75"/>
      <c r="K66" s="75"/>
      <c r="L66" s="75">
        <f t="shared" si="22"/>
        <v>0</v>
      </c>
      <c r="M66" s="75">
        <f t="shared" si="23"/>
        <v>38280000</v>
      </c>
      <c r="N66" s="63">
        <f t="shared" si="28"/>
        <v>88392000</v>
      </c>
      <c r="P66" s="192"/>
      <c r="S66" s="282"/>
      <c r="T66" s="282"/>
      <c r="U66" s="242"/>
    </row>
    <row r="67" spans="1:21" s="49" customFormat="1" ht="18" customHeight="1" x14ac:dyDescent="0.25">
      <c r="A67" s="334"/>
      <c r="B67" s="335"/>
      <c r="C67" s="335"/>
      <c r="D67" s="365" t="s">
        <v>180</v>
      </c>
      <c r="E67" s="335" t="s">
        <v>182</v>
      </c>
      <c r="F67" s="337">
        <f>+F68</f>
        <v>237247920</v>
      </c>
      <c r="G67" s="59">
        <f>+G68</f>
        <v>69885300</v>
      </c>
      <c r="H67" s="59">
        <f>+H68</f>
        <v>0</v>
      </c>
      <c r="I67" s="59">
        <f t="shared" si="26"/>
        <v>69885300</v>
      </c>
      <c r="J67" s="59"/>
      <c r="K67" s="59">
        <f>+K68</f>
        <v>0</v>
      </c>
      <c r="L67" s="59">
        <f t="shared" si="22"/>
        <v>0</v>
      </c>
      <c r="M67" s="59">
        <f t="shared" si="23"/>
        <v>69885300</v>
      </c>
      <c r="N67" s="58">
        <f t="shared" si="28"/>
        <v>167362620</v>
      </c>
      <c r="P67" s="192"/>
      <c r="S67" s="282"/>
      <c r="T67" s="282"/>
      <c r="U67" s="242"/>
    </row>
    <row r="68" spans="1:21" s="49" customFormat="1" ht="18" customHeight="1" x14ac:dyDescent="0.25">
      <c r="A68" s="334"/>
      <c r="B68" s="335"/>
      <c r="C68" s="335"/>
      <c r="D68" s="365" t="s">
        <v>181</v>
      </c>
      <c r="E68" s="335" t="s">
        <v>183</v>
      </c>
      <c r="F68" s="337">
        <v>237247920</v>
      </c>
      <c r="G68" s="75">
        <v>69885300</v>
      </c>
      <c r="H68" s="75"/>
      <c r="I68" s="75">
        <f t="shared" si="26"/>
        <v>69885300</v>
      </c>
      <c r="J68" s="75"/>
      <c r="K68" s="75"/>
      <c r="L68" s="75">
        <f t="shared" si="22"/>
        <v>0</v>
      </c>
      <c r="M68" s="75">
        <f t="shared" si="23"/>
        <v>69885300</v>
      </c>
      <c r="N68" s="63">
        <f t="shared" si="28"/>
        <v>167362620</v>
      </c>
      <c r="P68" s="192"/>
      <c r="S68" s="282"/>
      <c r="T68" s="282"/>
      <c r="U68" s="242"/>
    </row>
    <row r="69" spans="1:21" s="49" customFormat="1" ht="18" customHeight="1" x14ac:dyDescent="0.25">
      <c r="A69" s="334"/>
      <c r="B69" s="335"/>
      <c r="C69" s="335"/>
      <c r="D69" s="365" t="s">
        <v>184</v>
      </c>
      <c r="E69" s="335" t="s">
        <v>186</v>
      </c>
      <c r="F69" s="337">
        <f>+F70</f>
        <v>202631050</v>
      </c>
      <c r="G69" s="59">
        <f>+G70</f>
        <v>7407174</v>
      </c>
      <c r="H69" s="59">
        <f>+H70</f>
        <v>0</v>
      </c>
      <c r="I69" s="59">
        <f t="shared" si="26"/>
        <v>7407174</v>
      </c>
      <c r="J69" s="59"/>
      <c r="K69" s="59">
        <f>+K70</f>
        <v>0</v>
      </c>
      <c r="L69" s="59">
        <f t="shared" si="22"/>
        <v>0</v>
      </c>
      <c r="M69" s="59">
        <f t="shared" si="23"/>
        <v>7407174</v>
      </c>
      <c r="N69" s="58">
        <f t="shared" si="28"/>
        <v>195223876</v>
      </c>
      <c r="P69" s="192"/>
      <c r="S69" s="282"/>
      <c r="T69" s="282"/>
      <c r="U69" s="242"/>
    </row>
    <row r="70" spans="1:21" s="49" customFormat="1" ht="18" customHeight="1" x14ac:dyDescent="0.25">
      <c r="A70" s="334"/>
      <c r="B70" s="335"/>
      <c r="C70" s="335"/>
      <c r="D70" s="365" t="s">
        <v>185</v>
      </c>
      <c r="E70" s="335" t="s">
        <v>187</v>
      </c>
      <c r="F70" s="337">
        <v>202631050</v>
      </c>
      <c r="G70" s="75">
        <v>7407174</v>
      </c>
      <c r="H70" s="75"/>
      <c r="I70" s="75">
        <f t="shared" si="26"/>
        <v>7407174</v>
      </c>
      <c r="J70" s="75"/>
      <c r="K70" s="75"/>
      <c r="L70" s="75">
        <f t="shared" si="22"/>
        <v>0</v>
      </c>
      <c r="M70" s="75">
        <f t="shared" si="23"/>
        <v>7407174</v>
      </c>
      <c r="N70" s="63">
        <f t="shared" si="28"/>
        <v>195223876</v>
      </c>
      <c r="P70" s="192"/>
      <c r="S70" s="282"/>
      <c r="T70" s="282"/>
      <c r="U70" s="242"/>
    </row>
    <row r="71" spans="1:21" s="49" customFormat="1" ht="18" customHeight="1" x14ac:dyDescent="0.25">
      <c r="A71" s="334"/>
      <c r="B71" s="335"/>
      <c r="C71" s="335"/>
      <c r="D71" s="365" t="s">
        <v>188</v>
      </c>
      <c r="E71" s="335" t="s">
        <v>190</v>
      </c>
      <c r="F71" s="337">
        <f t="shared" ref="F71" si="29">+F72</f>
        <v>51845</v>
      </c>
      <c r="G71" s="59">
        <f>+G72</f>
        <v>15946</v>
      </c>
      <c r="H71" s="59">
        <f>+H72</f>
        <v>0</v>
      </c>
      <c r="I71" s="59">
        <f t="shared" si="26"/>
        <v>15946</v>
      </c>
      <c r="J71" s="59"/>
      <c r="K71" s="59">
        <f>+K72</f>
        <v>0</v>
      </c>
      <c r="L71" s="59">
        <f t="shared" si="22"/>
        <v>0</v>
      </c>
      <c r="M71" s="59">
        <f t="shared" si="23"/>
        <v>15946</v>
      </c>
      <c r="N71" s="58">
        <f t="shared" si="28"/>
        <v>35899</v>
      </c>
      <c r="P71" s="192"/>
      <c r="S71" s="282"/>
      <c r="T71" s="282"/>
      <c r="U71" s="242"/>
    </row>
    <row r="72" spans="1:21" s="49" customFormat="1" ht="18" customHeight="1" x14ac:dyDescent="0.25">
      <c r="A72" s="334"/>
      <c r="B72" s="335"/>
      <c r="C72" s="335"/>
      <c r="D72" s="365" t="s">
        <v>189</v>
      </c>
      <c r="E72" s="335" t="s">
        <v>329</v>
      </c>
      <c r="F72" s="337">
        <v>51845</v>
      </c>
      <c r="G72" s="75">
        <v>15946</v>
      </c>
      <c r="H72" s="75"/>
      <c r="I72" s="75">
        <f t="shared" si="26"/>
        <v>15946</v>
      </c>
      <c r="J72" s="75"/>
      <c r="K72" s="75"/>
      <c r="L72" s="75">
        <f t="shared" si="22"/>
        <v>0</v>
      </c>
      <c r="M72" s="75">
        <f t="shared" si="23"/>
        <v>15946</v>
      </c>
      <c r="N72" s="63">
        <f t="shared" si="28"/>
        <v>35899</v>
      </c>
      <c r="P72" s="192"/>
      <c r="S72" s="282"/>
      <c r="T72" s="282"/>
      <c r="U72" s="242"/>
    </row>
    <row r="73" spans="1:21" s="49" customFormat="1" ht="18" customHeight="1" x14ac:dyDescent="0.25">
      <c r="A73" s="334"/>
      <c r="B73" s="335"/>
      <c r="C73" s="335"/>
      <c r="D73" s="365" t="s">
        <v>191</v>
      </c>
      <c r="E73" s="335" t="s">
        <v>193</v>
      </c>
      <c r="F73" s="337">
        <f t="shared" ref="F73" si="30">+F74</f>
        <v>190139023</v>
      </c>
      <c r="G73" s="59">
        <f>+G74</f>
        <v>46429216</v>
      </c>
      <c r="H73" s="59">
        <f>+H74</f>
        <v>0</v>
      </c>
      <c r="I73" s="59">
        <f t="shared" si="26"/>
        <v>46429216</v>
      </c>
      <c r="J73" s="59"/>
      <c r="K73" s="59">
        <f>+K74</f>
        <v>0</v>
      </c>
      <c r="L73" s="59">
        <f t="shared" si="22"/>
        <v>0</v>
      </c>
      <c r="M73" s="59">
        <f t="shared" si="23"/>
        <v>46429216</v>
      </c>
      <c r="N73" s="58">
        <f t="shared" si="28"/>
        <v>143709807</v>
      </c>
      <c r="P73" s="192"/>
      <c r="S73" s="282"/>
      <c r="T73" s="282"/>
      <c r="U73" s="242"/>
    </row>
    <row r="74" spans="1:21" s="49" customFormat="1" ht="18" customHeight="1" x14ac:dyDescent="0.25">
      <c r="A74" s="334"/>
      <c r="B74" s="335"/>
      <c r="C74" s="335"/>
      <c r="D74" s="365" t="s">
        <v>192</v>
      </c>
      <c r="E74" s="335" t="s">
        <v>194</v>
      </c>
      <c r="F74" s="337">
        <v>190139023</v>
      </c>
      <c r="G74" s="75">
        <v>46429216</v>
      </c>
      <c r="H74" s="75"/>
      <c r="I74" s="75">
        <f t="shared" si="26"/>
        <v>46429216</v>
      </c>
      <c r="J74" s="75"/>
      <c r="K74" s="75"/>
      <c r="L74" s="75">
        <f t="shared" si="22"/>
        <v>0</v>
      </c>
      <c r="M74" s="75">
        <f t="shared" si="23"/>
        <v>46429216</v>
      </c>
      <c r="N74" s="63">
        <f t="shared" si="28"/>
        <v>143709807</v>
      </c>
      <c r="P74" s="192"/>
      <c r="S74" s="282"/>
      <c r="T74" s="282"/>
      <c r="U74" s="242"/>
    </row>
    <row r="75" spans="1:21" s="49" customFormat="1" ht="18" customHeight="1" x14ac:dyDescent="0.25">
      <c r="A75" s="334"/>
      <c r="B75" s="335"/>
      <c r="C75" s="335"/>
      <c r="D75" s="365" t="s">
        <v>195</v>
      </c>
      <c r="E75" s="335" t="s">
        <v>197</v>
      </c>
      <c r="F75" s="337">
        <f t="shared" ref="F75" si="31">+F76</f>
        <v>9404942</v>
      </c>
      <c r="G75" s="59">
        <f>+G76</f>
        <v>2304467</v>
      </c>
      <c r="H75" s="59">
        <f>+H76</f>
        <v>0</v>
      </c>
      <c r="I75" s="59">
        <f t="shared" si="26"/>
        <v>2304467</v>
      </c>
      <c r="J75" s="59"/>
      <c r="K75" s="59">
        <f>+K76</f>
        <v>0</v>
      </c>
      <c r="L75" s="59">
        <f t="shared" si="22"/>
        <v>0</v>
      </c>
      <c r="M75" s="59">
        <f t="shared" si="23"/>
        <v>2304467</v>
      </c>
      <c r="N75" s="58">
        <f t="shared" si="28"/>
        <v>7100475</v>
      </c>
      <c r="P75" s="192"/>
      <c r="S75" s="282"/>
      <c r="T75" s="282"/>
      <c r="U75" s="242"/>
    </row>
    <row r="76" spans="1:21" s="49" customFormat="1" ht="18" customHeight="1" x14ac:dyDescent="0.25">
      <c r="A76" s="334"/>
      <c r="B76" s="335"/>
      <c r="C76" s="335"/>
      <c r="D76" s="365" t="s">
        <v>196</v>
      </c>
      <c r="E76" s="335" t="s">
        <v>198</v>
      </c>
      <c r="F76" s="337">
        <v>9404942</v>
      </c>
      <c r="G76" s="75">
        <v>2304467</v>
      </c>
      <c r="H76" s="75"/>
      <c r="I76" s="75">
        <f t="shared" si="26"/>
        <v>2304467</v>
      </c>
      <c r="J76" s="75"/>
      <c r="K76" s="75"/>
      <c r="L76" s="75">
        <f t="shared" si="22"/>
        <v>0</v>
      </c>
      <c r="M76" s="75">
        <f t="shared" si="23"/>
        <v>2304467</v>
      </c>
      <c r="N76" s="63">
        <f t="shared" si="28"/>
        <v>7100475</v>
      </c>
      <c r="P76" s="192"/>
      <c r="S76" s="282"/>
      <c r="T76" s="282"/>
      <c r="U76" s="242"/>
    </row>
    <row r="77" spans="1:21" s="49" customFormat="1" ht="18" customHeight="1" x14ac:dyDescent="0.25">
      <c r="A77" s="334"/>
      <c r="B77" s="335"/>
      <c r="C77" s="335"/>
      <c r="D77" s="365" t="s">
        <v>199</v>
      </c>
      <c r="E77" s="335" t="s">
        <v>201</v>
      </c>
      <c r="F77" s="337">
        <f>+F78</f>
        <v>28215046</v>
      </c>
      <c r="G77" s="59">
        <f>+G78</f>
        <v>6913400</v>
      </c>
      <c r="H77" s="59">
        <f>+H78</f>
        <v>0</v>
      </c>
      <c r="I77" s="59">
        <f t="shared" si="26"/>
        <v>6913400</v>
      </c>
      <c r="J77" s="59"/>
      <c r="K77" s="59">
        <f>+K78</f>
        <v>0</v>
      </c>
      <c r="L77" s="59">
        <f t="shared" si="22"/>
        <v>0</v>
      </c>
      <c r="M77" s="59">
        <f t="shared" si="23"/>
        <v>6913400</v>
      </c>
      <c r="N77" s="58">
        <f t="shared" si="28"/>
        <v>21301646</v>
      </c>
      <c r="P77" s="192"/>
      <c r="S77" s="282"/>
      <c r="T77" s="282"/>
      <c r="U77" s="242"/>
    </row>
    <row r="78" spans="1:21" s="49" customFormat="1" ht="18" customHeight="1" x14ac:dyDescent="0.25">
      <c r="A78" s="334"/>
      <c r="B78" s="335"/>
      <c r="C78" s="335"/>
      <c r="D78" s="365" t="s">
        <v>200</v>
      </c>
      <c r="E78" s="335" t="s">
        <v>202</v>
      </c>
      <c r="F78" s="337">
        <v>28215046</v>
      </c>
      <c r="G78" s="75">
        <v>6913400</v>
      </c>
      <c r="H78" s="75"/>
      <c r="I78" s="75">
        <f t="shared" si="26"/>
        <v>6913400</v>
      </c>
      <c r="J78" s="75"/>
      <c r="K78" s="75"/>
      <c r="L78" s="75">
        <f t="shared" si="22"/>
        <v>0</v>
      </c>
      <c r="M78" s="75">
        <f>+I78+L78</f>
        <v>6913400</v>
      </c>
      <c r="N78" s="63">
        <f>+F78-M78</f>
        <v>21301646</v>
      </c>
      <c r="P78" s="192"/>
      <c r="S78" s="282"/>
      <c r="T78" s="282"/>
      <c r="U78" s="242"/>
    </row>
    <row r="79" spans="1:21" s="49" customFormat="1" ht="18" customHeight="1" x14ac:dyDescent="0.25">
      <c r="A79" s="334"/>
      <c r="B79" s="335"/>
      <c r="C79" s="335"/>
      <c r="D79" s="365" t="s">
        <v>203</v>
      </c>
      <c r="E79" s="335" t="s">
        <v>205</v>
      </c>
      <c r="F79" s="337">
        <f>+F80</f>
        <v>23975938</v>
      </c>
      <c r="G79" s="59">
        <f>G80</f>
        <v>0</v>
      </c>
      <c r="H79" s="59">
        <f>+H80</f>
        <v>0</v>
      </c>
      <c r="I79" s="59">
        <f>+I80</f>
        <v>0</v>
      </c>
      <c r="J79" s="59"/>
      <c r="K79" s="59">
        <f>+K80</f>
        <v>0</v>
      </c>
      <c r="L79" s="59">
        <f t="shared" si="22"/>
        <v>0</v>
      </c>
      <c r="M79" s="59">
        <f t="shared" ref="M79:M106" si="32">+I79+L79</f>
        <v>0</v>
      </c>
      <c r="N79" s="58">
        <f t="shared" ref="N79:N89" si="33">+F79-M79</f>
        <v>23975938</v>
      </c>
      <c r="P79" s="192"/>
      <c r="S79" s="282"/>
      <c r="T79" s="282"/>
      <c r="U79" s="242"/>
    </row>
    <row r="80" spans="1:21" s="49" customFormat="1" ht="18" customHeight="1" x14ac:dyDescent="0.25">
      <c r="A80" s="334"/>
      <c r="B80" s="335"/>
      <c r="C80" s="335"/>
      <c r="D80" s="365" t="s">
        <v>204</v>
      </c>
      <c r="E80" s="335" t="s">
        <v>206</v>
      </c>
      <c r="F80" s="337">
        <v>23975938</v>
      </c>
      <c r="G80" s="75"/>
      <c r="H80" s="75"/>
      <c r="I80" s="75">
        <f t="shared" ref="I80:I105" si="34">+G80+H80</f>
        <v>0</v>
      </c>
      <c r="J80" s="75"/>
      <c r="K80" s="75"/>
      <c r="L80" s="75">
        <f t="shared" si="22"/>
        <v>0</v>
      </c>
      <c r="M80" s="75">
        <f t="shared" si="32"/>
        <v>0</v>
      </c>
      <c r="N80" s="63">
        <f t="shared" si="33"/>
        <v>23975938</v>
      </c>
      <c r="P80" s="192"/>
      <c r="S80" s="282"/>
      <c r="T80" s="282"/>
      <c r="U80" s="242"/>
    </row>
    <row r="81" spans="1:21" s="55" customFormat="1" ht="18" customHeight="1" x14ac:dyDescent="0.25">
      <c r="A81" s="334"/>
      <c r="B81" s="335"/>
      <c r="C81" s="335"/>
      <c r="D81" s="365" t="s">
        <v>210</v>
      </c>
      <c r="E81" s="335" t="s">
        <v>211</v>
      </c>
      <c r="F81" s="337">
        <f>+F82+F84+F86</f>
        <v>2044369640</v>
      </c>
      <c r="G81" s="72">
        <f>+G82+G84+G86</f>
        <v>863217789</v>
      </c>
      <c r="H81" s="72">
        <f>+H82+H84+H86</f>
        <v>0</v>
      </c>
      <c r="I81" s="72">
        <f>+G81+H81</f>
        <v>863217789</v>
      </c>
      <c r="J81" s="72"/>
      <c r="K81" s="72">
        <f>+K82</f>
        <v>0</v>
      </c>
      <c r="L81" s="72">
        <f t="shared" si="22"/>
        <v>0</v>
      </c>
      <c r="M81" s="72">
        <f t="shared" si="32"/>
        <v>863217789</v>
      </c>
      <c r="N81" s="53">
        <f t="shared" si="33"/>
        <v>1181151851</v>
      </c>
      <c r="P81" s="195"/>
      <c r="S81" s="282"/>
      <c r="T81" s="282"/>
      <c r="U81" s="243"/>
    </row>
    <row r="82" spans="1:21" s="49" customFormat="1" ht="18" customHeight="1" x14ac:dyDescent="0.25">
      <c r="A82" s="334"/>
      <c r="B82" s="335"/>
      <c r="C82" s="335"/>
      <c r="D82" s="365" t="s">
        <v>212</v>
      </c>
      <c r="E82" s="335" t="s">
        <v>214</v>
      </c>
      <c r="F82" s="337">
        <f>+F83</f>
        <v>180000000</v>
      </c>
      <c r="G82" s="59">
        <f>+G83</f>
        <v>179148911</v>
      </c>
      <c r="H82" s="59">
        <f t="shared" ref="G82:H86" si="35">+H83</f>
        <v>0</v>
      </c>
      <c r="I82" s="59">
        <f t="shared" si="34"/>
        <v>179148911</v>
      </c>
      <c r="J82" s="59"/>
      <c r="K82" s="59">
        <f>+K83</f>
        <v>0</v>
      </c>
      <c r="L82" s="59">
        <f t="shared" si="22"/>
        <v>0</v>
      </c>
      <c r="M82" s="59">
        <f t="shared" si="32"/>
        <v>179148911</v>
      </c>
      <c r="N82" s="58">
        <f t="shared" si="33"/>
        <v>851089</v>
      </c>
      <c r="P82" s="192"/>
      <c r="S82" s="282"/>
      <c r="T82" s="282"/>
      <c r="U82" s="242"/>
    </row>
    <row r="83" spans="1:21" s="49" customFormat="1" ht="18" customHeight="1" x14ac:dyDescent="0.25">
      <c r="A83" s="334"/>
      <c r="B83" s="335"/>
      <c r="C83" s="335"/>
      <c r="D83" s="365" t="s">
        <v>213</v>
      </c>
      <c r="E83" s="335" t="s">
        <v>215</v>
      </c>
      <c r="F83" s="337">
        <v>180000000</v>
      </c>
      <c r="G83" s="75">
        <v>179148911</v>
      </c>
      <c r="H83" s="75"/>
      <c r="I83" s="75">
        <f t="shared" si="34"/>
        <v>179148911</v>
      </c>
      <c r="J83" s="75"/>
      <c r="K83" s="75"/>
      <c r="L83" s="75">
        <f t="shared" si="22"/>
        <v>0</v>
      </c>
      <c r="M83" s="75">
        <f t="shared" si="32"/>
        <v>179148911</v>
      </c>
      <c r="N83" s="63">
        <f t="shared" si="33"/>
        <v>851089</v>
      </c>
      <c r="P83" s="192"/>
      <c r="S83" s="282"/>
      <c r="T83" s="282"/>
      <c r="U83" s="242"/>
    </row>
    <row r="84" spans="1:21" s="49" customFormat="1" ht="18" customHeight="1" x14ac:dyDescent="0.25">
      <c r="A84" s="334"/>
      <c r="B84" s="335"/>
      <c r="C84" s="335"/>
      <c r="D84" s="365" t="s">
        <v>431</v>
      </c>
      <c r="E84" s="335" t="s">
        <v>432</v>
      </c>
      <c r="F84" s="337">
        <f>+F85</f>
        <v>123544200</v>
      </c>
      <c r="G84" s="59">
        <f t="shared" si="35"/>
        <v>39285177</v>
      </c>
      <c r="H84" s="59">
        <f t="shared" si="35"/>
        <v>0</v>
      </c>
      <c r="I84" s="59">
        <f>+G84+H84</f>
        <v>39285177</v>
      </c>
      <c r="J84" s="59"/>
      <c r="K84" s="59">
        <f>+K85</f>
        <v>0</v>
      </c>
      <c r="L84" s="59">
        <f t="shared" si="22"/>
        <v>0</v>
      </c>
      <c r="M84" s="59">
        <f t="shared" si="32"/>
        <v>39285177</v>
      </c>
      <c r="N84" s="58">
        <f t="shared" si="33"/>
        <v>84259023</v>
      </c>
      <c r="P84" s="192"/>
      <c r="S84" s="282"/>
      <c r="T84" s="282"/>
      <c r="U84" s="242"/>
    </row>
    <row r="85" spans="1:21" s="49" customFormat="1" ht="18" customHeight="1" x14ac:dyDescent="0.25">
      <c r="A85" s="334"/>
      <c r="B85" s="335"/>
      <c r="C85" s="335"/>
      <c r="D85" s="365" t="s">
        <v>429</v>
      </c>
      <c r="E85" s="335" t="s">
        <v>430</v>
      </c>
      <c r="F85" s="337">
        <v>123544200</v>
      </c>
      <c r="G85" s="75">
        <v>39285177</v>
      </c>
      <c r="H85" s="75"/>
      <c r="I85" s="75">
        <f>+G85+H85</f>
        <v>39285177</v>
      </c>
      <c r="J85" s="75"/>
      <c r="K85" s="75"/>
      <c r="L85" s="75"/>
      <c r="M85" s="75">
        <f t="shared" si="32"/>
        <v>39285177</v>
      </c>
      <c r="N85" s="63">
        <f>+F85-M85</f>
        <v>84259023</v>
      </c>
      <c r="P85" s="192"/>
      <c r="S85" s="282"/>
      <c r="T85" s="282"/>
      <c r="U85" s="242"/>
    </row>
    <row r="86" spans="1:21" s="49" customFormat="1" ht="18" customHeight="1" x14ac:dyDescent="0.25">
      <c r="A86" s="334"/>
      <c r="B86" s="335"/>
      <c r="C86" s="335"/>
      <c r="D86" s="365" t="s">
        <v>453</v>
      </c>
      <c r="E86" s="335" t="s">
        <v>456</v>
      </c>
      <c r="F86" s="337">
        <f>+F87</f>
        <v>1740825440</v>
      </c>
      <c r="G86" s="59">
        <f t="shared" si="35"/>
        <v>644783701</v>
      </c>
      <c r="H86" s="59">
        <f t="shared" si="35"/>
        <v>0</v>
      </c>
      <c r="I86" s="59">
        <f>+G86+H86</f>
        <v>644783701</v>
      </c>
      <c r="J86" s="59"/>
      <c r="K86" s="59">
        <f>+K87</f>
        <v>0</v>
      </c>
      <c r="L86" s="59">
        <f t="shared" ref="L86" si="36">+J86+K86</f>
        <v>0</v>
      </c>
      <c r="M86" s="59">
        <f t="shared" si="32"/>
        <v>644783701</v>
      </c>
      <c r="N86" s="58">
        <f t="shared" ref="N86" si="37">+F86-M86</f>
        <v>1096041739</v>
      </c>
      <c r="P86" s="192"/>
      <c r="S86" s="282"/>
      <c r="T86" s="282"/>
      <c r="U86" s="242"/>
    </row>
    <row r="87" spans="1:21" s="49" customFormat="1" ht="18" customHeight="1" x14ac:dyDescent="0.25">
      <c r="A87" s="334"/>
      <c r="B87" s="335"/>
      <c r="C87" s="335"/>
      <c r="D87" s="365" t="s">
        <v>454</v>
      </c>
      <c r="E87" s="335" t="s">
        <v>455</v>
      </c>
      <c r="F87" s="337">
        <v>1740825440</v>
      </c>
      <c r="G87" s="75">
        <v>644783701</v>
      </c>
      <c r="H87" s="75"/>
      <c r="I87" s="75">
        <f>+G87+H87</f>
        <v>644783701</v>
      </c>
      <c r="J87" s="75"/>
      <c r="K87" s="75"/>
      <c r="L87" s="75"/>
      <c r="M87" s="75">
        <f t="shared" si="32"/>
        <v>644783701</v>
      </c>
      <c r="N87" s="63">
        <f>+F87-M87</f>
        <v>1096041739</v>
      </c>
      <c r="P87" s="192"/>
      <c r="S87" s="282"/>
      <c r="T87" s="282"/>
      <c r="U87" s="242"/>
    </row>
    <row r="88" spans="1:21" s="55" customFormat="1" ht="18" customHeight="1" x14ac:dyDescent="0.25">
      <c r="A88" s="334"/>
      <c r="B88" s="335"/>
      <c r="C88" s="335"/>
      <c r="D88" s="365" t="s">
        <v>216</v>
      </c>
      <c r="E88" s="335" t="s">
        <v>219</v>
      </c>
      <c r="F88" s="337">
        <f>+F89+F100+F104</f>
        <v>10039198750</v>
      </c>
      <c r="G88" s="72">
        <f>+G89+G100+G104</f>
        <v>1440445657</v>
      </c>
      <c r="H88" s="72">
        <f>+H89+H100+H104</f>
        <v>0</v>
      </c>
      <c r="I88" s="72">
        <f>+G88+H88</f>
        <v>1440445657</v>
      </c>
      <c r="J88" s="72"/>
      <c r="K88" s="72">
        <f>+K89</f>
        <v>0</v>
      </c>
      <c r="L88" s="72">
        <f t="shared" si="22"/>
        <v>0</v>
      </c>
      <c r="M88" s="72">
        <f t="shared" si="32"/>
        <v>1440445657</v>
      </c>
      <c r="N88" s="53">
        <f t="shared" si="33"/>
        <v>8598753093</v>
      </c>
      <c r="P88" s="195"/>
      <c r="S88" s="282"/>
      <c r="T88" s="282"/>
      <c r="U88" s="243"/>
    </row>
    <row r="89" spans="1:21" s="49" customFormat="1" ht="18" customHeight="1" x14ac:dyDescent="0.25">
      <c r="A89" s="334"/>
      <c r="B89" s="335"/>
      <c r="C89" s="335"/>
      <c r="D89" s="365" t="s">
        <v>217</v>
      </c>
      <c r="E89" s="335" t="s">
        <v>220</v>
      </c>
      <c r="F89" s="337">
        <f>SUM(F90:F99)</f>
        <v>8593798750</v>
      </c>
      <c r="G89" s="59">
        <f>SUM(G90:G99)</f>
        <v>1116045657</v>
      </c>
      <c r="H89" s="59">
        <f>SUM(H90:H99)</f>
        <v>0</v>
      </c>
      <c r="I89" s="59">
        <f t="shared" si="34"/>
        <v>1116045657</v>
      </c>
      <c r="J89" s="59"/>
      <c r="K89" s="59">
        <f>+SUM(K90:K99)</f>
        <v>0</v>
      </c>
      <c r="L89" s="59">
        <f t="shared" si="22"/>
        <v>0</v>
      </c>
      <c r="M89" s="59">
        <f t="shared" si="32"/>
        <v>1116045657</v>
      </c>
      <c r="N89" s="58">
        <f t="shared" si="33"/>
        <v>7477753093</v>
      </c>
      <c r="P89" s="192"/>
      <c r="S89" s="282"/>
      <c r="T89" s="282"/>
      <c r="U89" s="242"/>
    </row>
    <row r="90" spans="1:21" s="49" customFormat="1" ht="18" customHeight="1" x14ac:dyDescent="0.25">
      <c r="A90" s="334"/>
      <c r="B90" s="335"/>
      <c r="C90" s="335"/>
      <c r="D90" s="365" t="s">
        <v>218</v>
      </c>
      <c r="E90" s="335" t="s">
        <v>221</v>
      </c>
      <c r="F90" s="337">
        <v>356112500</v>
      </c>
      <c r="G90" s="75">
        <v>53478024</v>
      </c>
      <c r="H90" s="75"/>
      <c r="I90" s="75">
        <f t="shared" si="34"/>
        <v>53478024</v>
      </c>
      <c r="J90" s="75"/>
      <c r="K90" s="75"/>
      <c r="L90" s="75">
        <f t="shared" si="22"/>
        <v>0</v>
      </c>
      <c r="M90" s="75">
        <f t="shared" si="32"/>
        <v>53478024</v>
      </c>
      <c r="N90" s="63">
        <f>+F90-M90</f>
        <v>302634476</v>
      </c>
      <c r="P90" s="192"/>
      <c r="S90" s="282"/>
      <c r="T90" s="282"/>
      <c r="U90" s="242"/>
    </row>
    <row r="91" spans="1:21" s="49" customFormat="1" ht="18" customHeight="1" x14ac:dyDescent="0.25">
      <c r="A91" s="334"/>
      <c r="B91" s="335"/>
      <c r="C91" s="335"/>
      <c r="D91" s="365" t="s">
        <v>222</v>
      </c>
      <c r="E91" s="335" t="s">
        <v>223</v>
      </c>
      <c r="F91" s="337">
        <v>413550000</v>
      </c>
      <c r="G91" s="75">
        <v>62103512</v>
      </c>
      <c r="H91" s="75"/>
      <c r="I91" s="75">
        <f t="shared" si="34"/>
        <v>62103512</v>
      </c>
      <c r="J91" s="75"/>
      <c r="K91" s="75"/>
      <c r="L91" s="75">
        <f t="shared" si="22"/>
        <v>0</v>
      </c>
      <c r="M91" s="75">
        <f t="shared" si="32"/>
        <v>62103512</v>
      </c>
      <c r="N91" s="63">
        <f t="shared" ref="N91:N105" si="38">+F91-M91</f>
        <v>351446488</v>
      </c>
      <c r="P91" s="192"/>
      <c r="S91" s="282"/>
      <c r="T91" s="282"/>
      <c r="U91" s="242"/>
    </row>
    <row r="92" spans="1:21" s="49" customFormat="1" ht="18" customHeight="1" x14ac:dyDescent="0.25">
      <c r="A92" s="334"/>
      <c r="B92" s="335"/>
      <c r="C92" s="335"/>
      <c r="D92" s="365" t="s">
        <v>224</v>
      </c>
      <c r="E92" s="335" t="s">
        <v>225</v>
      </c>
      <c r="F92" s="337">
        <v>45950000</v>
      </c>
      <c r="G92" s="75">
        <v>6903548</v>
      </c>
      <c r="H92" s="75"/>
      <c r="I92" s="75">
        <f t="shared" si="34"/>
        <v>6903548</v>
      </c>
      <c r="J92" s="75"/>
      <c r="K92" s="75"/>
      <c r="L92" s="75">
        <f t="shared" si="22"/>
        <v>0</v>
      </c>
      <c r="M92" s="75">
        <f t="shared" si="32"/>
        <v>6903548</v>
      </c>
      <c r="N92" s="63">
        <f t="shared" si="38"/>
        <v>39046452</v>
      </c>
      <c r="P92" s="192"/>
      <c r="S92" s="282"/>
      <c r="T92" s="282"/>
      <c r="U92" s="242"/>
    </row>
    <row r="93" spans="1:21" s="49" customFormat="1" ht="18" customHeight="1" x14ac:dyDescent="0.25">
      <c r="A93" s="334"/>
      <c r="B93" s="335"/>
      <c r="C93" s="335"/>
      <c r="D93" s="365" t="s">
        <v>226</v>
      </c>
      <c r="E93" s="335" t="s">
        <v>227</v>
      </c>
      <c r="F93" s="337">
        <v>252725000</v>
      </c>
      <c r="G93" s="75">
        <v>37514662</v>
      </c>
      <c r="H93" s="75"/>
      <c r="I93" s="75">
        <f t="shared" si="34"/>
        <v>37514662</v>
      </c>
      <c r="J93" s="75"/>
      <c r="K93" s="75"/>
      <c r="L93" s="75">
        <f t="shared" si="22"/>
        <v>0</v>
      </c>
      <c r="M93" s="75">
        <f t="shared" si="32"/>
        <v>37514662</v>
      </c>
      <c r="N93" s="63">
        <f t="shared" si="38"/>
        <v>215210338</v>
      </c>
      <c r="P93" s="192"/>
      <c r="S93" s="282"/>
      <c r="T93" s="282"/>
      <c r="U93" s="242"/>
    </row>
    <row r="94" spans="1:21" s="49" customFormat="1" ht="18" customHeight="1" x14ac:dyDescent="0.25">
      <c r="A94" s="334"/>
      <c r="B94" s="335"/>
      <c r="C94" s="335"/>
      <c r="D94" s="365" t="s">
        <v>228</v>
      </c>
      <c r="E94" s="335" t="s">
        <v>229</v>
      </c>
      <c r="F94" s="337">
        <v>3101625000</v>
      </c>
      <c r="G94" s="75">
        <v>465776342</v>
      </c>
      <c r="H94" s="75"/>
      <c r="I94" s="75">
        <f t="shared" si="34"/>
        <v>465776342</v>
      </c>
      <c r="J94" s="75"/>
      <c r="K94" s="75"/>
      <c r="L94" s="75">
        <f t="shared" si="22"/>
        <v>0</v>
      </c>
      <c r="M94" s="75">
        <f t="shared" si="32"/>
        <v>465776342</v>
      </c>
      <c r="N94" s="63">
        <f t="shared" si="38"/>
        <v>2635848658</v>
      </c>
      <c r="P94" s="192"/>
      <c r="S94" s="282"/>
      <c r="T94" s="282"/>
      <c r="U94" s="242"/>
    </row>
    <row r="95" spans="1:21" s="49" customFormat="1" ht="18" customHeight="1" x14ac:dyDescent="0.25">
      <c r="A95" s="334"/>
      <c r="B95" s="335"/>
      <c r="C95" s="335"/>
      <c r="D95" s="365" t="s">
        <v>230</v>
      </c>
      <c r="E95" s="335" t="s">
        <v>231</v>
      </c>
      <c r="F95" s="337">
        <v>13785000</v>
      </c>
      <c r="G95" s="75">
        <v>2066959</v>
      </c>
      <c r="H95" s="75"/>
      <c r="I95" s="75">
        <f t="shared" si="34"/>
        <v>2066959</v>
      </c>
      <c r="J95" s="75"/>
      <c r="K95" s="75"/>
      <c r="L95" s="75">
        <f t="shared" si="22"/>
        <v>0</v>
      </c>
      <c r="M95" s="75">
        <f t="shared" si="32"/>
        <v>2066959</v>
      </c>
      <c r="N95" s="63">
        <f t="shared" si="38"/>
        <v>11718041</v>
      </c>
      <c r="P95" s="192"/>
      <c r="S95" s="282"/>
      <c r="T95" s="282"/>
      <c r="U95" s="242"/>
    </row>
    <row r="96" spans="1:21" s="49" customFormat="1" ht="18" customHeight="1" x14ac:dyDescent="0.25">
      <c r="A96" s="334"/>
      <c r="B96" s="335"/>
      <c r="C96" s="335"/>
      <c r="D96" s="365" t="s">
        <v>232</v>
      </c>
      <c r="E96" s="335" t="s">
        <v>233</v>
      </c>
      <c r="F96" s="337">
        <v>126362500</v>
      </c>
      <c r="G96" s="75">
        <v>18976073</v>
      </c>
      <c r="H96" s="75"/>
      <c r="I96" s="75">
        <f t="shared" si="34"/>
        <v>18976073</v>
      </c>
      <c r="J96" s="75"/>
      <c r="K96" s="75"/>
      <c r="L96" s="75">
        <f t="shared" si="22"/>
        <v>0</v>
      </c>
      <c r="M96" s="75">
        <f t="shared" si="32"/>
        <v>18976073</v>
      </c>
      <c r="N96" s="63">
        <f t="shared" si="38"/>
        <v>107386427</v>
      </c>
      <c r="P96" s="192"/>
      <c r="S96" s="282"/>
      <c r="T96" s="282"/>
      <c r="U96" s="242"/>
    </row>
    <row r="97" spans="1:21" s="49" customFormat="1" ht="19.5" customHeight="1" x14ac:dyDescent="0.25">
      <c r="A97" s="366"/>
      <c r="B97" s="367"/>
      <c r="C97" s="367"/>
      <c r="D97" s="368" t="s">
        <v>234</v>
      </c>
      <c r="E97" s="369" t="s">
        <v>235</v>
      </c>
      <c r="F97" s="370">
        <v>2297500</v>
      </c>
      <c r="G97" s="163">
        <v>0</v>
      </c>
      <c r="H97" s="163"/>
      <c r="I97" s="163">
        <f t="shared" si="34"/>
        <v>0</v>
      </c>
      <c r="J97" s="163"/>
      <c r="K97" s="163"/>
      <c r="L97" s="163">
        <f t="shared" si="22"/>
        <v>0</v>
      </c>
      <c r="M97" s="163">
        <f t="shared" si="32"/>
        <v>0</v>
      </c>
      <c r="N97" s="173">
        <f t="shared" si="38"/>
        <v>2297500</v>
      </c>
      <c r="P97" s="192"/>
      <c r="S97" s="282"/>
      <c r="T97" s="282"/>
      <c r="U97" s="242"/>
    </row>
    <row r="98" spans="1:21" s="49" customFormat="1" ht="30.75" customHeight="1" x14ac:dyDescent="0.25">
      <c r="A98" s="366"/>
      <c r="B98" s="367"/>
      <c r="C98" s="367"/>
      <c r="D98" s="368" t="s">
        <v>236</v>
      </c>
      <c r="E98" s="369" t="s">
        <v>237</v>
      </c>
      <c r="F98" s="370">
        <v>1156791250</v>
      </c>
      <c r="G98" s="163">
        <v>0</v>
      </c>
      <c r="H98" s="163"/>
      <c r="I98" s="163">
        <f t="shared" si="34"/>
        <v>0</v>
      </c>
      <c r="J98" s="163"/>
      <c r="K98" s="163"/>
      <c r="L98" s="163">
        <f t="shared" si="22"/>
        <v>0</v>
      </c>
      <c r="M98" s="163">
        <f t="shared" si="32"/>
        <v>0</v>
      </c>
      <c r="N98" s="173">
        <f t="shared" si="38"/>
        <v>1156791250</v>
      </c>
      <c r="P98" s="192"/>
      <c r="S98" s="282"/>
      <c r="T98" s="282"/>
      <c r="U98" s="242"/>
    </row>
    <row r="99" spans="1:21" s="49" customFormat="1" ht="31.5" x14ac:dyDescent="0.25">
      <c r="A99" s="366"/>
      <c r="B99" s="367"/>
      <c r="C99" s="367"/>
      <c r="D99" s="368" t="s">
        <v>238</v>
      </c>
      <c r="E99" s="369" t="s">
        <v>239</v>
      </c>
      <c r="F99" s="370">
        <v>3124600000</v>
      </c>
      <c r="G99" s="163">
        <v>469226537</v>
      </c>
      <c r="H99" s="163"/>
      <c r="I99" s="163">
        <f t="shared" si="34"/>
        <v>469226537</v>
      </c>
      <c r="J99" s="163"/>
      <c r="K99" s="163"/>
      <c r="L99" s="163">
        <f t="shared" si="22"/>
        <v>0</v>
      </c>
      <c r="M99" s="163">
        <f t="shared" si="32"/>
        <v>469226537</v>
      </c>
      <c r="N99" s="173">
        <f t="shared" si="38"/>
        <v>2655373463</v>
      </c>
      <c r="P99" s="192"/>
      <c r="S99" s="282"/>
      <c r="T99" s="282"/>
      <c r="U99" s="242"/>
    </row>
    <row r="100" spans="1:21" s="49" customFormat="1" ht="18" customHeight="1" x14ac:dyDescent="0.25">
      <c r="A100" s="334"/>
      <c r="B100" s="335"/>
      <c r="C100" s="335"/>
      <c r="D100" s="365" t="s">
        <v>433</v>
      </c>
      <c r="E100" s="335" t="s">
        <v>434</v>
      </c>
      <c r="F100" s="337">
        <f>+F101+F102+F103</f>
        <v>984100000</v>
      </c>
      <c r="G100" s="59">
        <f>+G101+G102</f>
        <v>191150000</v>
      </c>
      <c r="H100" s="59">
        <f>+H101+H102</f>
        <v>0</v>
      </c>
      <c r="I100" s="59">
        <f>+G100+H100</f>
        <v>191150000</v>
      </c>
      <c r="J100" s="59">
        <f>+J101+J102</f>
        <v>0</v>
      </c>
      <c r="K100" s="59">
        <f>+SUM(K106:K115)</f>
        <v>0</v>
      </c>
      <c r="L100" s="59">
        <f>+J100+K100</f>
        <v>0</v>
      </c>
      <c r="M100" s="59">
        <f t="shared" si="32"/>
        <v>191150000</v>
      </c>
      <c r="N100" s="58">
        <f t="shared" si="38"/>
        <v>792950000</v>
      </c>
      <c r="P100" s="192"/>
      <c r="S100" s="282"/>
      <c r="T100" s="282"/>
      <c r="U100" s="242"/>
    </row>
    <row r="101" spans="1:21" s="49" customFormat="1" ht="18" customHeight="1" x14ac:dyDescent="0.25">
      <c r="A101" s="334"/>
      <c r="B101" s="335"/>
      <c r="C101" s="335"/>
      <c r="D101" s="365" t="s">
        <v>435</v>
      </c>
      <c r="E101" s="335" t="s">
        <v>437</v>
      </c>
      <c r="F101" s="337">
        <v>516750000</v>
      </c>
      <c r="G101" s="75">
        <v>187750000</v>
      </c>
      <c r="H101" s="75"/>
      <c r="I101" s="75">
        <f t="shared" si="34"/>
        <v>187750000</v>
      </c>
      <c r="J101" s="75"/>
      <c r="K101" s="75"/>
      <c r="L101" s="75">
        <f t="shared" si="22"/>
        <v>0</v>
      </c>
      <c r="M101" s="75">
        <f t="shared" si="32"/>
        <v>187750000</v>
      </c>
      <c r="N101" s="63">
        <f t="shared" si="38"/>
        <v>329000000</v>
      </c>
      <c r="P101" s="192"/>
      <c r="S101" s="282"/>
      <c r="T101" s="282"/>
      <c r="U101" s="242"/>
    </row>
    <row r="102" spans="1:21" s="49" customFormat="1" ht="18" customHeight="1" x14ac:dyDescent="0.25">
      <c r="A102" s="334"/>
      <c r="B102" s="335"/>
      <c r="C102" s="335"/>
      <c r="D102" s="365" t="s">
        <v>436</v>
      </c>
      <c r="E102" s="335" t="s">
        <v>438</v>
      </c>
      <c r="F102" s="337">
        <v>19500000</v>
      </c>
      <c r="G102" s="75">
        <v>3400000</v>
      </c>
      <c r="H102" s="75"/>
      <c r="I102" s="75">
        <f t="shared" si="34"/>
        <v>3400000</v>
      </c>
      <c r="J102" s="75"/>
      <c r="K102" s="75"/>
      <c r="L102" s="75">
        <f t="shared" si="22"/>
        <v>0</v>
      </c>
      <c r="M102" s="75">
        <f t="shared" si="32"/>
        <v>3400000</v>
      </c>
      <c r="N102" s="63">
        <f t="shared" si="38"/>
        <v>16100000</v>
      </c>
      <c r="P102" s="192"/>
      <c r="S102" s="282"/>
      <c r="T102" s="282"/>
      <c r="U102" s="242"/>
    </row>
    <row r="103" spans="1:21" s="49" customFormat="1" ht="18" customHeight="1" x14ac:dyDescent="0.25">
      <c r="A103" s="334"/>
      <c r="B103" s="335"/>
      <c r="C103" s="335"/>
      <c r="D103" s="365" t="s">
        <v>457</v>
      </c>
      <c r="E103" s="335" t="s">
        <v>458</v>
      </c>
      <c r="F103" s="337">
        <v>447850000</v>
      </c>
      <c r="G103" s="75"/>
      <c r="H103" s="75"/>
      <c r="I103" s="75">
        <f t="shared" si="34"/>
        <v>0</v>
      </c>
      <c r="J103" s="75"/>
      <c r="K103" s="75"/>
      <c r="L103" s="75">
        <f t="shared" si="22"/>
        <v>0</v>
      </c>
      <c r="M103" s="75">
        <f t="shared" si="32"/>
        <v>0</v>
      </c>
      <c r="N103" s="63">
        <f t="shared" si="38"/>
        <v>447850000</v>
      </c>
      <c r="P103" s="192"/>
      <c r="S103" s="282"/>
      <c r="T103" s="282"/>
      <c r="U103" s="242"/>
    </row>
    <row r="104" spans="1:21" s="49" customFormat="1" ht="18" customHeight="1" x14ac:dyDescent="0.25">
      <c r="A104" s="334"/>
      <c r="B104" s="335"/>
      <c r="C104" s="335"/>
      <c r="D104" s="365" t="s">
        <v>439</v>
      </c>
      <c r="E104" s="335" t="s">
        <v>442</v>
      </c>
      <c r="F104" s="337">
        <f>+F105</f>
        <v>461300000</v>
      </c>
      <c r="G104" s="59">
        <f>+G105</f>
        <v>133250000</v>
      </c>
      <c r="H104" s="59">
        <f>+H105</f>
        <v>0</v>
      </c>
      <c r="I104" s="59">
        <f t="shared" si="34"/>
        <v>133250000</v>
      </c>
      <c r="J104" s="59"/>
      <c r="K104" s="59">
        <f>+SUM(K109:K118)</f>
        <v>18452500</v>
      </c>
      <c r="L104" s="59">
        <f t="shared" si="22"/>
        <v>18452500</v>
      </c>
      <c r="M104" s="59">
        <f t="shared" si="32"/>
        <v>151702500</v>
      </c>
      <c r="N104" s="58">
        <f t="shared" si="38"/>
        <v>309597500</v>
      </c>
      <c r="P104" s="192"/>
      <c r="S104" s="282"/>
      <c r="T104" s="282"/>
      <c r="U104" s="242"/>
    </row>
    <row r="105" spans="1:21" s="49" customFormat="1" ht="18" customHeight="1" x14ac:dyDescent="0.25">
      <c r="A105" s="334"/>
      <c r="B105" s="335"/>
      <c r="C105" s="335"/>
      <c r="D105" s="365" t="s">
        <v>440</v>
      </c>
      <c r="E105" s="335" t="s">
        <v>441</v>
      </c>
      <c r="F105" s="337">
        <v>461300000</v>
      </c>
      <c r="G105" s="75">
        <v>133250000</v>
      </c>
      <c r="H105" s="75"/>
      <c r="I105" s="75">
        <f t="shared" si="34"/>
        <v>133250000</v>
      </c>
      <c r="J105" s="75"/>
      <c r="K105" s="75"/>
      <c r="L105" s="75">
        <f t="shared" si="22"/>
        <v>0</v>
      </c>
      <c r="M105" s="75">
        <f t="shared" si="32"/>
        <v>133250000</v>
      </c>
      <c r="N105" s="63">
        <f t="shared" si="38"/>
        <v>328050000</v>
      </c>
      <c r="P105" s="192"/>
      <c r="S105" s="282"/>
      <c r="T105" s="282"/>
      <c r="U105" s="242"/>
    </row>
    <row r="106" spans="1:21" s="55" customFormat="1" ht="18" customHeight="1" x14ac:dyDescent="0.25">
      <c r="A106" s="334"/>
      <c r="B106" s="335"/>
      <c r="C106" s="335"/>
      <c r="D106" s="365" t="s">
        <v>240</v>
      </c>
      <c r="E106" s="335" t="s">
        <v>241</v>
      </c>
      <c r="F106" s="337">
        <f>+F107</f>
        <v>757451250</v>
      </c>
      <c r="G106" s="72">
        <f>+G107</f>
        <v>96978843</v>
      </c>
      <c r="H106" s="72">
        <f>+H107</f>
        <v>0</v>
      </c>
      <c r="I106" s="72">
        <f>+G106+H106</f>
        <v>96978843</v>
      </c>
      <c r="J106" s="72">
        <f>+J107</f>
        <v>0</v>
      </c>
      <c r="K106" s="72">
        <f>+K107</f>
        <v>0</v>
      </c>
      <c r="L106" s="72">
        <f>+J106+K106</f>
        <v>0</v>
      </c>
      <c r="M106" s="72">
        <f t="shared" si="32"/>
        <v>96978843</v>
      </c>
      <c r="N106" s="53">
        <f>+F106-M106</f>
        <v>660472407</v>
      </c>
      <c r="P106" s="195"/>
      <c r="S106" s="282"/>
      <c r="T106" s="282"/>
      <c r="U106" s="243"/>
    </row>
    <row r="107" spans="1:21" s="49" customFormat="1" ht="18" customHeight="1" x14ac:dyDescent="0.25">
      <c r="A107" s="334"/>
      <c r="B107" s="335"/>
      <c r="C107" s="335"/>
      <c r="D107" s="365" t="s">
        <v>242</v>
      </c>
      <c r="E107" s="335" t="s">
        <v>409</v>
      </c>
      <c r="F107" s="337">
        <f>SUM(F108:F117)</f>
        <v>757451250</v>
      </c>
      <c r="G107" s="59">
        <f>SUM(G108:G117)</f>
        <v>96978843</v>
      </c>
      <c r="H107" s="59">
        <f>SUM(H108:H117)</f>
        <v>0</v>
      </c>
      <c r="I107" s="59">
        <f>+G107+H107</f>
        <v>96978843</v>
      </c>
      <c r="J107" s="59">
        <f>SUM(J108:J117)</f>
        <v>0</v>
      </c>
      <c r="K107" s="59">
        <f>SUM(K108:K117)</f>
        <v>0</v>
      </c>
      <c r="L107" s="59">
        <f>+J107+K107</f>
        <v>0</v>
      </c>
      <c r="M107" s="59">
        <f>+I107+L107</f>
        <v>96978843</v>
      </c>
      <c r="N107" s="58">
        <f>+F107-M107</f>
        <v>660472407</v>
      </c>
      <c r="P107" s="192"/>
      <c r="S107" s="282"/>
      <c r="T107" s="282"/>
      <c r="U107" s="242"/>
    </row>
    <row r="108" spans="1:21" s="49" customFormat="1" ht="18" customHeight="1" x14ac:dyDescent="0.25">
      <c r="A108" s="334"/>
      <c r="B108" s="335"/>
      <c r="C108" s="335"/>
      <c r="D108" s="365" t="s">
        <v>243</v>
      </c>
      <c r="E108" s="335" t="s">
        <v>331</v>
      </c>
      <c r="F108" s="337">
        <v>31387500</v>
      </c>
      <c r="G108" s="75">
        <v>4646976</v>
      </c>
      <c r="H108" s="75"/>
      <c r="I108" s="75">
        <f t="shared" ref="I108:I115" si="39">+G108+H108</f>
        <v>4646976</v>
      </c>
      <c r="J108" s="75"/>
      <c r="K108" s="75"/>
      <c r="L108" s="75">
        <f t="shared" si="22"/>
        <v>0</v>
      </c>
      <c r="M108" s="75">
        <f t="shared" ref="M108:M117" si="40">+I108+L108</f>
        <v>4646976</v>
      </c>
      <c r="N108" s="63">
        <f t="shared" ref="N108:N113" si="41">+F108-M108</f>
        <v>26740524</v>
      </c>
      <c r="P108" s="192"/>
      <c r="S108" s="282"/>
      <c r="T108" s="282"/>
      <c r="U108" s="242"/>
    </row>
    <row r="109" spans="1:21" s="49" customFormat="1" ht="18" customHeight="1" x14ac:dyDescent="0.25">
      <c r="A109" s="334"/>
      <c r="B109" s="335"/>
      <c r="C109" s="335"/>
      <c r="D109" s="365" t="s">
        <v>244</v>
      </c>
      <c r="E109" s="335" t="s">
        <v>245</v>
      </c>
      <c r="F109" s="337">
        <v>36450000</v>
      </c>
      <c r="G109" s="75">
        <v>5396488</v>
      </c>
      <c r="H109" s="75"/>
      <c r="I109" s="75">
        <f t="shared" si="39"/>
        <v>5396488</v>
      </c>
      <c r="J109" s="75"/>
      <c r="K109" s="75"/>
      <c r="L109" s="75">
        <f t="shared" si="22"/>
        <v>0</v>
      </c>
      <c r="M109" s="75">
        <f t="shared" si="40"/>
        <v>5396488</v>
      </c>
      <c r="N109" s="63">
        <f t="shared" si="41"/>
        <v>31053512</v>
      </c>
      <c r="P109" s="192"/>
      <c r="S109" s="282"/>
      <c r="T109" s="282"/>
      <c r="U109" s="242"/>
    </row>
    <row r="110" spans="1:21" s="49" customFormat="1" ht="18" customHeight="1" x14ac:dyDescent="0.25">
      <c r="A110" s="334"/>
      <c r="B110" s="335"/>
      <c r="C110" s="335"/>
      <c r="D110" s="365" t="s">
        <v>246</v>
      </c>
      <c r="E110" s="335" t="s">
        <v>247</v>
      </c>
      <c r="F110" s="337">
        <v>4050000</v>
      </c>
      <c r="G110" s="75">
        <v>599610</v>
      </c>
      <c r="H110" s="75"/>
      <c r="I110" s="75">
        <f t="shared" si="39"/>
        <v>599610</v>
      </c>
      <c r="J110" s="75"/>
      <c r="K110" s="75"/>
      <c r="L110" s="75">
        <f t="shared" si="22"/>
        <v>0</v>
      </c>
      <c r="M110" s="75">
        <f t="shared" si="40"/>
        <v>599610</v>
      </c>
      <c r="N110" s="63">
        <f t="shared" si="41"/>
        <v>3450390</v>
      </c>
      <c r="P110" s="192"/>
      <c r="S110" s="282"/>
      <c r="T110" s="282"/>
      <c r="U110" s="242"/>
    </row>
    <row r="111" spans="1:21" s="49" customFormat="1" ht="18" customHeight="1" x14ac:dyDescent="0.25">
      <c r="A111" s="334"/>
      <c r="B111" s="335"/>
      <c r="C111" s="335"/>
      <c r="D111" s="365" t="s">
        <v>248</v>
      </c>
      <c r="E111" s="335" t="s">
        <v>249</v>
      </c>
      <c r="F111" s="337">
        <v>22275000</v>
      </c>
      <c r="G111" s="75">
        <v>3259838</v>
      </c>
      <c r="H111" s="75"/>
      <c r="I111" s="75">
        <f t="shared" si="39"/>
        <v>3259838</v>
      </c>
      <c r="J111" s="75"/>
      <c r="K111" s="75"/>
      <c r="L111" s="75">
        <f t="shared" si="22"/>
        <v>0</v>
      </c>
      <c r="M111" s="75">
        <f t="shared" si="40"/>
        <v>3259838</v>
      </c>
      <c r="N111" s="63">
        <f t="shared" si="41"/>
        <v>19015162</v>
      </c>
      <c r="P111" s="192"/>
      <c r="S111" s="282"/>
      <c r="T111" s="282"/>
      <c r="U111" s="242"/>
    </row>
    <row r="112" spans="1:21" s="49" customFormat="1" ht="18" customHeight="1" x14ac:dyDescent="0.25">
      <c r="A112" s="334"/>
      <c r="B112" s="335"/>
      <c r="C112" s="335"/>
      <c r="D112" s="365" t="s">
        <v>250</v>
      </c>
      <c r="E112" s="335" t="s">
        <v>251</v>
      </c>
      <c r="F112" s="337">
        <v>273375000</v>
      </c>
      <c r="G112" s="75">
        <v>40473658</v>
      </c>
      <c r="H112" s="75"/>
      <c r="I112" s="75">
        <f t="shared" si="39"/>
        <v>40473658</v>
      </c>
      <c r="J112" s="75"/>
      <c r="K112" s="75"/>
      <c r="L112" s="75">
        <f t="shared" si="22"/>
        <v>0</v>
      </c>
      <c r="M112" s="75">
        <f t="shared" si="40"/>
        <v>40473658</v>
      </c>
      <c r="N112" s="63">
        <f t="shared" si="41"/>
        <v>232901342</v>
      </c>
      <c r="P112" s="192"/>
      <c r="S112" s="282"/>
      <c r="T112" s="282"/>
      <c r="U112" s="242"/>
    </row>
    <row r="113" spans="1:21" s="49" customFormat="1" ht="18" customHeight="1" x14ac:dyDescent="0.25">
      <c r="A113" s="334"/>
      <c r="B113" s="335"/>
      <c r="C113" s="335"/>
      <c r="D113" s="365" t="s">
        <v>252</v>
      </c>
      <c r="E113" s="335" t="s">
        <v>253</v>
      </c>
      <c r="F113" s="337">
        <v>1215000</v>
      </c>
      <c r="G113" s="75">
        <v>179883</v>
      </c>
      <c r="H113" s="75"/>
      <c r="I113" s="75">
        <f t="shared" si="39"/>
        <v>179883</v>
      </c>
      <c r="J113" s="75"/>
      <c r="K113" s="75"/>
      <c r="L113" s="75">
        <f t="shared" si="22"/>
        <v>0</v>
      </c>
      <c r="M113" s="75">
        <f t="shared" si="40"/>
        <v>179883</v>
      </c>
      <c r="N113" s="63">
        <f t="shared" si="41"/>
        <v>1035117</v>
      </c>
      <c r="P113" s="192"/>
      <c r="S113" s="282"/>
      <c r="T113" s="282"/>
      <c r="U113" s="242"/>
    </row>
    <row r="114" spans="1:21" s="49" customFormat="1" ht="18" customHeight="1" x14ac:dyDescent="0.25">
      <c r="A114" s="334"/>
      <c r="B114" s="335"/>
      <c r="C114" s="335"/>
      <c r="D114" s="365" t="s">
        <v>254</v>
      </c>
      <c r="E114" s="335" t="s">
        <v>255</v>
      </c>
      <c r="F114" s="337">
        <v>11137500</v>
      </c>
      <c r="G114" s="75">
        <v>1648927</v>
      </c>
      <c r="H114" s="75"/>
      <c r="I114" s="75">
        <f t="shared" si="39"/>
        <v>1648927</v>
      </c>
      <c r="J114" s="75"/>
      <c r="K114" s="75"/>
      <c r="L114" s="75">
        <f t="shared" si="22"/>
        <v>0</v>
      </c>
      <c r="M114" s="75">
        <f t="shared" si="40"/>
        <v>1648927</v>
      </c>
      <c r="N114" s="63">
        <f>+F114-M114</f>
        <v>9488573</v>
      </c>
      <c r="P114" s="192"/>
      <c r="S114" s="282"/>
      <c r="T114" s="282"/>
      <c r="U114" s="242"/>
    </row>
    <row r="115" spans="1:21" s="49" customFormat="1" ht="32.25" customHeight="1" x14ac:dyDescent="0.25">
      <c r="A115" s="366"/>
      <c r="B115" s="367"/>
      <c r="C115" s="367"/>
      <c r="D115" s="368" t="s">
        <v>256</v>
      </c>
      <c r="E115" s="369" t="s">
        <v>257</v>
      </c>
      <c r="F115" s="370">
        <v>202500</v>
      </c>
      <c r="G115" s="163"/>
      <c r="H115" s="163"/>
      <c r="I115" s="163">
        <f t="shared" si="39"/>
        <v>0</v>
      </c>
      <c r="J115" s="163"/>
      <c r="K115" s="163"/>
      <c r="L115" s="163">
        <f t="shared" si="22"/>
        <v>0</v>
      </c>
      <c r="M115" s="163">
        <f t="shared" si="40"/>
        <v>0</v>
      </c>
      <c r="N115" s="173">
        <f>+F115-M115</f>
        <v>202500</v>
      </c>
      <c r="P115" s="192"/>
      <c r="S115" s="282"/>
      <c r="T115" s="282"/>
      <c r="U115" s="242"/>
    </row>
    <row r="116" spans="1:21" s="49" customFormat="1" ht="31.5" x14ac:dyDescent="0.25">
      <c r="A116" s="366"/>
      <c r="B116" s="367"/>
      <c r="C116" s="367"/>
      <c r="D116" s="368" t="s">
        <v>258</v>
      </c>
      <c r="E116" s="369" t="s">
        <v>259</v>
      </c>
      <c r="F116" s="370">
        <v>101958750</v>
      </c>
      <c r="G116" s="163"/>
      <c r="H116" s="163"/>
      <c r="I116" s="163">
        <f>+G116+H116</f>
        <v>0</v>
      </c>
      <c r="J116" s="163"/>
      <c r="K116" s="163"/>
      <c r="L116" s="163">
        <f t="shared" si="22"/>
        <v>0</v>
      </c>
      <c r="M116" s="163">
        <f t="shared" si="40"/>
        <v>0</v>
      </c>
      <c r="N116" s="173">
        <f>+F116-M116</f>
        <v>101958750</v>
      </c>
      <c r="P116" s="192"/>
      <c r="S116" s="282"/>
      <c r="T116" s="282"/>
      <c r="U116" s="242"/>
    </row>
    <row r="117" spans="1:21" s="134" customFormat="1" ht="31.5" x14ac:dyDescent="0.25">
      <c r="A117" s="372"/>
      <c r="B117" s="373"/>
      <c r="C117" s="373"/>
      <c r="D117" s="374" t="s">
        <v>260</v>
      </c>
      <c r="E117" s="375" t="s">
        <v>261</v>
      </c>
      <c r="F117" s="376">
        <v>275400000</v>
      </c>
      <c r="G117" s="169">
        <v>40773463</v>
      </c>
      <c r="H117" s="169"/>
      <c r="I117" s="169">
        <f t="shared" ref="I117" si="42">+G117+H117</f>
        <v>40773463</v>
      </c>
      <c r="J117" s="169"/>
      <c r="K117" s="169"/>
      <c r="L117" s="169">
        <f t="shared" si="22"/>
        <v>0</v>
      </c>
      <c r="M117" s="169">
        <f t="shared" si="40"/>
        <v>40773463</v>
      </c>
      <c r="N117" s="168">
        <f>+F117-M117</f>
        <v>234626537</v>
      </c>
      <c r="P117" s="197"/>
      <c r="S117" s="286"/>
      <c r="T117" s="286"/>
      <c r="U117" s="247"/>
    </row>
    <row r="118" spans="1:21" s="121" customFormat="1" ht="18" customHeight="1" x14ac:dyDescent="0.25">
      <c r="A118" s="276">
        <v>4</v>
      </c>
      <c r="B118" s="305"/>
      <c r="C118" s="305" t="s">
        <v>84</v>
      </c>
      <c r="D118" s="363"/>
      <c r="E118" s="364" t="s">
        <v>85</v>
      </c>
      <c r="F118" s="307">
        <f>+F119</f>
        <v>31153000</v>
      </c>
      <c r="G118" s="120">
        <f t="shared" ref="F118:H119" si="43">+G119</f>
        <v>0</v>
      </c>
      <c r="H118" s="120">
        <f t="shared" si="43"/>
        <v>0</v>
      </c>
      <c r="I118" s="120">
        <f>+G118+H118</f>
        <v>0</v>
      </c>
      <c r="J118" s="120">
        <f>+J119</f>
        <v>5940750</v>
      </c>
      <c r="K118" s="120">
        <f>+K119</f>
        <v>18452500</v>
      </c>
      <c r="L118" s="120">
        <f>+J118+K118</f>
        <v>24393250</v>
      </c>
      <c r="M118" s="120">
        <f>+I118+L118</f>
        <v>24393250</v>
      </c>
      <c r="N118" s="119">
        <f>+F118-M118</f>
        <v>6759750</v>
      </c>
      <c r="P118" s="190"/>
      <c r="R118" s="122"/>
      <c r="S118" s="283"/>
      <c r="T118" s="283"/>
      <c r="U118" s="246"/>
    </row>
    <row r="119" spans="1:21" s="107" customFormat="1" ht="18" customHeight="1" x14ac:dyDescent="0.25">
      <c r="A119" s="323"/>
      <c r="B119" s="324"/>
      <c r="C119" s="324"/>
      <c r="D119" s="325" t="s">
        <v>207</v>
      </c>
      <c r="E119" s="326" t="s">
        <v>262</v>
      </c>
      <c r="F119" s="327">
        <f t="shared" si="43"/>
        <v>31153000</v>
      </c>
      <c r="G119" s="106">
        <f t="shared" si="43"/>
        <v>0</v>
      </c>
      <c r="H119" s="106">
        <f t="shared" si="43"/>
        <v>0</v>
      </c>
      <c r="I119" s="106">
        <f>+G119+H119</f>
        <v>0</v>
      </c>
      <c r="J119" s="106">
        <f t="shared" ref="J119:K121" si="44">+J120</f>
        <v>5940750</v>
      </c>
      <c r="K119" s="106">
        <f t="shared" si="44"/>
        <v>18452500</v>
      </c>
      <c r="L119" s="106">
        <f>+J119+K119</f>
        <v>24393250</v>
      </c>
      <c r="M119" s="106">
        <f t="shared" ref="M119:M125" si="45">+I119+L119</f>
        <v>24393250</v>
      </c>
      <c r="N119" s="105">
        <f t="shared" ref="N119:N122" si="46">+F119-M119</f>
        <v>6759750</v>
      </c>
      <c r="P119" s="191"/>
      <c r="R119" s="108"/>
      <c r="S119" s="284"/>
      <c r="T119" s="284"/>
      <c r="U119" s="241"/>
    </row>
    <row r="120" spans="1:21" s="49" customFormat="1" ht="18" customHeight="1" x14ac:dyDescent="0.25">
      <c r="A120" s="334"/>
      <c r="B120" s="378"/>
      <c r="C120" s="378"/>
      <c r="D120" s="335" t="s">
        <v>63</v>
      </c>
      <c r="E120" s="335" t="s">
        <v>30</v>
      </c>
      <c r="F120" s="337">
        <f>F121</f>
        <v>31153000</v>
      </c>
      <c r="G120" s="70">
        <f>+G121</f>
        <v>0</v>
      </c>
      <c r="H120" s="70">
        <f>+H121</f>
        <v>0</v>
      </c>
      <c r="I120" s="70">
        <f>+G120+H120</f>
        <v>0</v>
      </c>
      <c r="J120" s="70">
        <f>+J121</f>
        <v>5940750</v>
      </c>
      <c r="K120" s="70">
        <f t="shared" si="44"/>
        <v>18452500</v>
      </c>
      <c r="L120" s="70">
        <f>+J120+K120</f>
        <v>24393250</v>
      </c>
      <c r="M120" s="70">
        <f t="shared" si="45"/>
        <v>24393250</v>
      </c>
      <c r="N120" s="47">
        <f t="shared" si="46"/>
        <v>6759750</v>
      </c>
      <c r="P120" s="192"/>
      <c r="S120" s="282"/>
      <c r="T120" s="282"/>
      <c r="U120" s="242"/>
    </row>
    <row r="121" spans="1:21" s="55" customFormat="1" ht="18" customHeight="1" x14ac:dyDescent="0.25">
      <c r="A121" s="334"/>
      <c r="B121" s="335"/>
      <c r="C121" s="335"/>
      <c r="D121" s="335" t="s">
        <v>263</v>
      </c>
      <c r="E121" s="336" t="s">
        <v>264</v>
      </c>
      <c r="F121" s="337">
        <f>+F122</f>
        <v>31153000</v>
      </c>
      <c r="G121" s="54">
        <f>+G122</f>
        <v>0</v>
      </c>
      <c r="H121" s="54">
        <f>+H122</f>
        <v>0</v>
      </c>
      <c r="I121" s="54">
        <f>+G121+H121</f>
        <v>0</v>
      </c>
      <c r="J121" s="54">
        <f t="shared" si="44"/>
        <v>5940750</v>
      </c>
      <c r="K121" s="54">
        <f t="shared" si="44"/>
        <v>18452500</v>
      </c>
      <c r="L121" s="54">
        <f>+J121+K121</f>
        <v>24393250</v>
      </c>
      <c r="M121" s="54">
        <f t="shared" si="45"/>
        <v>24393250</v>
      </c>
      <c r="N121" s="53">
        <f t="shared" si="46"/>
        <v>6759750</v>
      </c>
      <c r="P121" s="195"/>
      <c r="S121" s="282"/>
      <c r="T121" s="282"/>
      <c r="U121" s="243"/>
    </row>
    <row r="122" spans="1:21" s="49" customFormat="1" ht="18" customHeight="1" x14ac:dyDescent="0.25">
      <c r="A122" s="334"/>
      <c r="B122" s="378"/>
      <c r="C122" s="378"/>
      <c r="D122" s="335" t="s">
        <v>64</v>
      </c>
      <c r="E122" s="335" t="s">
        <v>65</v>
      </c>
      <c r="F122" s="337">
        <f>F123+F124+F125</f>
        <v>31153000</v>
      </c>
      <c r="G122" s="59">
        <f>SUM(G123:G125)</f>
        <v>0</v>
      </c>
      <c r="H122" s="59">
        <f>SUM(H123:H125)</f>
        <v>0</v>
      </c>
      <c r="I122" s="59">
        <f>+G122+H122</f>
        <v>0</v>
      </c>
      <c r="J122" s="59">
        <f>SUM(J123:J125)</f>
        <v>5940750</v>
      </c>
      <c r="K122" s="59">
        <f>SUM(K123:K125)</f>
        <v>18452500</v>
      </c>
      <c r="L122" s="59">
        <f>+J122+K122</f>
        <v>24393250</v>
      </c>
      <c r="M122" s="59">
        <f t="shared" si="45"/>
        <v>24393250</v>
      </c>
      <c r="N122" s="58">
        <f t="shared" si="46"/>
        <v>6759750</v>
      </c>
      <c r="P122" s="192"/>
      <c r="S122" s="282"/>
      <c r="T122" s="282"/>
      <c r="U122" s="242"/>
    </row>
    <row r="123" spans="1:21" s="49" customFormat="1" ht="18" customHeight="1" x14ac:dyDescent="0.25">
      <c r="A123" s="334"/>
      <c r="B123" s="378"/>
      <c r="C123" s="378"/>
      <c r="D123" s="335" t="s">
        <v>66</v>
      </c>
      <c r="E123" s="335" t="s">
        <v>67</v>
      </c>
      <c r="F123" s="337">
        <v>1447000</v>
      </c>
      <c r="G123" s="75"/>
      <c r="H123" s="75"/>
      <c r="I123" s="75">
        <f t="shared" ref="I123:I125" si="47">+G123+H123</f>
        <v>0</v>
      </c>
      <c r="J123" s="75"/>
      <c r="K123" s="75">
        <f>1447000</f>
        <v>1447000</v>
      </c>
      <c r="L123" s="75">
        <f t="shared" ref="L123:L125" si="48">+J123+K123</f>
        <v>1447000</v>
      </c>
      <c r="M123" s="75">
        <f t="shared" si="45"/>
        <v>1447000</v>
      </c>
      <c r="N123" s="63">
        <f>+F123-M123</f>
        <v>0</v>
      </c>
      <c r="P123" s="192"/>
      <c r="S123" s="281">
        <v>1447000</v>
      </c>
      <c r="T123" s="282"/>
      <c r="U123" s="242"/>
    </row>
    <row r="124" spans="1:21" s="49" customFormat="1" ht="18" customHeight="1" x14ac:dyDescent="0.25">
      <c r="A124" s="334"/>
      <c r="B124" s="378"/>
      <c r="C124" s="378"/>
      <c r="D124" s="335" t="s">
        <v>337</v>
      </c>
      <c r="E124" s="335" t="s">
        <v>338</v>
      </c>
      <c r="F124" s="337">
        <v>3792000</v>
      </c>
      <c r="G124" s="75"/>
      <c r="H124" s="75"/>
      <c r="I124" s="75">
        <f t="shared" si="47"/>
        <v>0</v>
      </c>
      <c r="J124" s="75"/>
      <c r="K124" s="75">
        <v>3792000</v>
      </c>
      <c r="L124" s="75">
        <f t="shared" si="48"/>
        <v>3792000</v>
      </c>
      <c r="M124" s="75">
        <f t="shared" si="45"/>
        <v>3792000</v>
      </c>
      <c r="N124" s="63">
        <f t="shared" ref="N124:N125" si="49">+F124-M124</f>
        <v>0</v>
      </c>
      <c r="P124" s="192"/>
      <c r="S124" s="281">
        <v>3792000</v>
      </c>
      <c r="T124" s="282"/>
      <c r="U124" s="242"/>
    </row>
    <row r="125" spans="1:21" s="49" customFormat="1" ht="18" customHeight="1" x14ac:dyDescent="0.25">
      <c r="A125" s="334"/>
      <c r="B125" s="378"/>
      <c r="C125" s="378"/>
      <c r="D125" s="335" t="s">
        <v>68</v>
      </c>
      <c r="E125" s="335" t="s">
        <v>69</v>
      </c>
      <c r="F125" s="337">
        <v>25914000</v>
      </c>
      <c r="G125" s="75"/>
      <c r="H125" s="75"/>
      <c r="I125" s="75">
        <f t="shared" si="47"/>
        <v>0</v>
      </c>
      <c r="J125" s="75">
        <v>5940750</v>
      </c>
      <c r="K125" s="75">
        <f>13213500</f>
        <v>13213500</v>
      </c>
      <c r="L125" s="75">
        <f t="shared" si="48"/>
        <v>19154250</v>
      </c>
      <c r="M125" s="75">
        <f t="shared" si="45"/>
        <v>19154250</v>
      </c>
      <c r="N125" s="63">
        <f t="shared" si="49"/>
        <v>6759750</v>
      </c>
      <c r="P125" s="192"/>
      <c r="S125" s="281">
        <v>13213500</v>
      </c>
      <c r="T125" s="282"/>
      <c r="U125" s="242"/>
    </row>
    <row r="126" spans="1:21" s="134" customFormat="1" ht="18" customHeight="1" x14ac:dyDescent="0.25">
      <c r="A126" s="353"/>
      <c r="B126" s="354"/>
      <c r="C126" s="354"/>
      <c r="D126" s="355"/>
      <c r="E126" s="355"/>
      <c r="F126" s="356"/>
      <c r="G126" s="133"/>
      <c r="H126" s="133"/>
      <c r="I126" s="133"/>
      <c r="J126" s="133"/>
      <c r="K126" s="133"/>
      <c r="L126" s="133"/>
      <c r="M126" s="133"/>
      <c r="N126" s="132"/>
      <c r="P126" s="197"/>
      <c r="S126" s="286"/>
      <c r="T126" s="286"/>
      <c r="U126" s="247"/>
    </row>
    <row r="127" spans="1:21" s="137" customFormat="1" ht="18" customHeight="1" x14ac:dyDescent="0.25">
      <c r="A127" s="276"/>
      <c r="B127" s="305" t="s">
        <v>405</v>
      </c>
      <c r="C127" s="305"/>
      <c r="D127" s="305"/>
      <c r="E127" s="305" t="s">
        <v>406</v>
      </c>
      <c r="F127" s="359">
        <f t="shared" ref="F127:G129" si="50">+F128</f>
        <v>654671250</v>
      </c>
      <c r="G127" s="136">
        <f t="shared" si="50"/>
        <v>0</v>
      </c>
      <c r="H127" s="136">
        <f>+H128</f>
        <v>0</v>
      </c>
      <c r="I127" s="136">
        <f t="shared" ref="I127:I141" si="51">+G127+H127</f>
        <v>0</v>
      </c>
      <c r="J127" s="136">
        <f>+J129</f>
        <v>150000</v>
      </c>
      <c r="K127" s="136">
        <f>+K128</f>
        <v>0</v>
      </c>
      <c r="L127" s="136">
        <f>+J127+K127</f>
        <v>150000</v>
      </c>
      <c r="M127" s="136">
        <f t="shared" ref="M127" si="52">+I127+L127</f>
        <v>150000</v>
      </c>
      <c r="N127" s="135">
        <f t="shared" ref="N127:N135" si="53">+F127-M127</f>
        <v>654521250</v>
      </c>
      <c r="P127" s="198"/>
      <c r="R127" s="138"/>
      <c r="S127" s="287"/>
      <c r="T127" s="287"/>
      <c r="U127" s="248"/>
    </row>
    <row r="128" spans="1:21" s="121" customFormat="1" ht="18" customHeight="1" x14ac:dyDescent="0.25">
      <c r="A128" s="277">
        <v>5</v>
      </c>
      <c r="B128" s="305"/>
      <c r="C128" s="305" t="s">
        <v>86</v>
      </c>
      <c r="D128" s="363"/>
      <c r="E128" s="364" t="s">
        <v>87</v>
      </c>
      <c r="F128" s="307">
        <f t="shared" si="50"/>
        <v>654671250</v>
      </c>
      <c r="G128" s="120">
        <f t="shared" si="50"/>
        <v>0</v>
      </c>
      <c r="H128" s="120">
        <f>+H129</f>
        <v>0</v>
      </c>
      <c r="I128" s="120">
        <f t="shared" si="51"/>
        <v>0</v>
      </c>
      <c r="J128" s="120">
        <f>+J129</f>
        <v>150000</v>
      </c>
      <c r="K128" s="120">
        <f>+K129</f>
        <v>0</v>
      </c>
      <c r="L128" s="120">
        <f>+J128+K128</f>
        <v>150000</v>
      </c>
      <c r="M128" s="120">
        <f>+I128+L128</f>
        <v>150000</v>
      </c>
      <c r="N128" s="119">
        <f t="shared" si="53"/>
        <v>654521250</v>
      </c>
      <c r="P128" s="190"/>
      <c r="R128" s="122"/>
      <c r="S128" s="283"/>
      <c r="T128" s="283"/>
      <c r="U128" s="246"/>
    </row>
    <row r="129" spans="1:21" s="107" customFormat="1" ht="18" customHeight="1" x14ac:dyDescent="0.25">
      <c r="A129" s="323"/>
      <c r="B129" s="324"/>
      <c r="C129" s="324"/>
      <c r="D129" s="325" t="s">
        <v>207</v>
      </c>
      <c r="E129" s="326" t="s">
        <v>262</v>
      </c>
      <c r="F129" s="327">
        <f t="shared" si="50"/>
        <v>654671250</v>
      </c>
      <c r="G129" s="106">
        <f t="shared" si="50"/>
        <v>0</v>
      </c>
      <c r="H129" s="106">
        <f>+H130</f>
        <v>0</v>
      </c>
      <c r="I129" s="106">
        <f t="shared" si="51"/>
        <v>0</v>
      </c>
      <c r="J129" s="106">
        <f>+J130</f>
        <v>150000</v>
      </c>
      <c r="K129" s="106">
        <f>+K130</f>
        <v>0</v>
      </c>
      <c r="L129" s="106">
        <f t="shared" ref="L129:L141" si="54">+J129+K129</f>
        <v>150000</v>
      </c>
      <c r="M129" s="106">
        <f t="shared" ref="M129:M132" si="55">+I129+L129</f>
        <v>150000</v>
      </c>
      <c r="N129" s="105">
        <f t="shared" si="53"/>
        <v>654521250</v>
      </c>
      <c r="P129" s="191"/>
      <c r="R129" s="108"/>
      <c r="S129" s="284"/>
      <c r="T129" s="284"/>
      <c r="U129" s="241"/>
    </row>
    <row r="130" spans="1:21" s="49" customFormat="1" ht="18" customHeight="1" x14ac:dyDescent="0.25">
      <c r="A130" s="334"/>
      <c r="B130" s="335"/>
      <c r="C130" s="335"/>
      <c r="D130" s="365" t="s">
        <v>63</v>
      </c>
      <c r="E130" s="335" t="s">
        <v>30</v>
      </c>
      <c r="F130" s="337">
        <f>F136+F131</f>
        <v>654671250</v>
      </c>
      <c r="G130" s="70">
        <f>+G131+G136</f>
        <v>0</v>
      </c>
      <c r="H130" s="70">
        <f>+H131+H136</f>
        <v>0</v>
      </c>
      <c r="I130" s="70">
        <f t="shared" si="51"/>
        <v>0</v>
      </c>
      <c r="J130" s="70">
        <f>+J131+J136</f>
        <v>150000</v>
      </c>
      <c r="K130" s="70">
        <f>+K136+K131</f>
        <v>0</v>
      </c>
      <c r="L130" s="70">
        <f t="shared" si="54"/>
        <v>150000</v>
      </c>
      <c r="M130" s="70">
        <f t="shared" si="55"/>
        <v>150000</v>
      </c>
      <c r="N130" s="47">
        <f t="shared" si="53"/>
        <v>654521250</v>
      </c>
      <c r="P130" s="192"/>
      <c r="S130" s="282"/>
      <c r="T130" s="282"/>
      <c r="U130" s="242"/>
    </row>
    <row r="131" spans="1:21" s="55" customFormat="1" ht="18" customHeight="1" x14ac:dyDescent="0.25">
      <c r="A131" s="334"/>
      <c r="B131" s="335"/>
      <c r="C131" s="335"/>
      <c r="D131" s="365" t="s">
        <v>263</v>
      </c>
      <c r="E131" s="336" t="s">
        <v>264</v>
      </c>
      <c r="F131" s="337">
        <f>+F132</f>
        <v>137486250</v>
      </c>
      <c r="G131" s="72">
        <f>+G132</f>
        <v>0</v>
      </c>
      <c r="H131" s="72">
        <f>+H132</f>
        <v>0</v>
      </c>
      <c r="I131" s="72">
        <f t="shared" si="51"/>
        <v>0</v>
      </c>
      <c r="J131" s="72">
        <f>+J132</f>
        <v>150000</v>
      </c>
      <c r="K131" s="72">
        <f>+K132</f>
        <v>0</v>
      </c>
      <c r="L131" s="72">
        <f t="shared" si="54"/>
        <v>150000</v>
      </c>
      <c r="M131" s="72">
        <f t="shared" si="55"/>
        <v>150000</v>
      </c>
      <c r="N131" s="53">
        <f t="shared" si="53"/>
        <v>137336250</v>
      </c>
      <c r="P131" s="195"/>
      <c r="S131" s="282"/>
      <c r="T131" s="282"/>
      <c r="U131" s="243"/>
    </row>
    <row r="132" spans="1:21" s="49" customFormat="1" ht="18" customHeight="1" x14ac:dyDescent="0.25">
      <c r="A132" s="334"/>
      <c r="B132" s="335"/>
      <c r="C132" s="335"/>
      <c r="D132" s="365" t="s">
        <v>64</v>
      </c>
      <c r="E132" s="335" t="s">
        <v>65</v>
      </c>
      <c r="F132" s="337">
        <f>+F133+F134+F135</f>
        <v>137486250</v>
      </c>
      <c r="G132" s="59">
        <f>SUM(G133:G134)</f>
        <v>0</v>
      </c>
      <c r="H132" s="59">
        <f>SUM(H133:H134)</f>
        <v>0</v>
      </c>
      <c r="I132" s="59">
        <f t="shared" si="51"/>
        <v>0</v>
      </c>
      <c r="J132" s="59">
        <f>SUM(J133:J135)</f>
        <v>150000</v>
      </c>
      <c r="K132" s="59">
        <f>SUM(K133:K135)</f>
        <v>0</v>
      </c>
      <c r="L132" s="59">
        <f t="shared" si="54"/>
        <v>150000</v>
      </c>
      <c r="M132" s="59">
        <f t="shared" si="55"/>
        <v>150000</v>
      </c>
      <c r="N132" s="58">
        <f t="shared" si="53"/>
        <v>137336250</v>
      </c>
      <c r="P132" s="192"/>
      <c r="S132" s="282"/>
      <c r="T132" s="282"/>
      <c r="U132" s="242"/>
    </row>
    <row r="133" spans="1:21" s="49" customFormat="1" ht="18" customHeight="1" x14ac:dyDescent="0.25">
      <c r="A133" s="334"/>
      <c r="B133" s="335"/>
      <c r="C133" s="335"/>
      <c r="D133" s="365" t="s">
        <v>66</v>
      </c>
      <c r="E133" s="335" t="s">
        <v>67</v>
      </c>
      <c r="F133" s="337">
        <v>2756250</v>
      </c>
      <c r="G133" s="75"/>
      <c r="H133" s="75"/>
      <c r="I133" s="75">
        <f t="shared" si="51"/>
        <v>0</v>
      </c>
      <c r="J133" s="75">
        <v>150000</v>
      </c>
      <c r="K133" s="75"/>
      <c r="L133" s="75">
        <f t="shared" si="54"/>
        <v>150000</v>
      </c>
      <c r="M133" s="75">
        <f>+I133+L133</f>
        <v>150000</v>
      </c>
      <c r="N133" s="63">
        <f t="shared" si="53"/>
        <v>2606250</v>
      </c>
      <c r="P133" s="192"/>
      <c r="S133" s="282"/>
      <c r="T133" s="282"/>
      <c r="U133" s="242"/>
    </row>
    <row r="134" spans="1:21" s="49" customFormat="1" ht="18" customHeight="1" x14ac:dyDescent="0.25">
      <c r="A134" s="334"/>
      <c r="B134" s="335"/>
      <c r="C134" s="335"/>
      <c r="D134" s="365" t="s">
        <v>369</v>
      </c>
      <c r="E134" s="335" t="s">
        <v>370</v>
      </c>
      <c r="F134" s="337">
        <v>7230000</v>
      </c>
      <c r="G134" s="75"/>
      <c r="H134" s="75"/>
      <c r="I134" s="75">
        <f t="shared" si="51"/>
        <v>0</v>
      </c>
      <c r="J134" s="75"/>
      <c r="K134" s="75"/>
      <c r="L134" s="75">
        <f t="shared" si="54"/>
        <v>0</v>
      </c>
      <c r="M134" s="75">
        <f>+I134+L134</f>
        <v>0</v>
      </c>
      <c r="N134" s="63">
        <f t="shared" si="53"/>
        <v>7230000</v>
      </c>
      <c r="P134" s="192"/>
      <c r="S134" s="282"/>
      <c r="T134" s="282"/>
      <c r="U134" s="242"/>
    </row>
    <row r="135" spans="1:21" s="49" customFormat="1" ht="18" customHeight="1" x14ac:dyDescent="0.25">
      <c r="A135" s="334"/>
      <c r="B135" s="335"/>
      <c r="C135" s="335"/>
      <c r="D135" s="365" t="s">
        <v>447</v>
      </c>
      <c r="E135" s="335" t="s">
        <v>448</v>
      </c>
      <c r="F135" s="337">
        <v>127500000</v>
      </c>
      <c r="G135" s="75"/>
      <c r="H135" s="75"/>
      <c r="I135" s="75">
        <f t="shared" si="51"/>
        <v>0</v>
      </c>
      <c r="J135" s="75"/>
      <c r="K135" s="75"/>
      <c r="L135" s="75">
        <f t="shared" si="54"/>
        <v>0</v>
      </c>
      <c r="M135" s="75">
        <f>+I135+L135</f>
        <v>0</v>
      </c>
      <c r="N135" s="63">
        <f t="shared" si="53"/>
        <v>127500000</v>
      </c>
      <c r="P135" s="192"/>
      <c r="S135" s="282"/>
      <c r="T135" s="282"/>
      <c r="U135" s="242"/>
    </row>
    <row r="136" spans="1:21" s="55" customFormat="1" ht="18" customHeight="1" x14ac:dyDescent="0.25">
      <c r="A136" s="334"/>
      <c r="B136" s="335"/>
      <c r="C136" s="335"/>
      <c r="D136" s="365" t="s">
        <v>265</v>
      </c>
      <c r="E136" s="335" t="s">
        <v>266</v>
      </c>
      <c r="F136" s="337">
        <f>+F137</f>
        <v>517185000</v>
      </c>
      <c r="G136" s="72">
        <f>+G137</f>
        <v>0</v>
      </c>
      <c r="H136" s="72">
        <f>+H137</f>
        <v>0</v>
      </c>
      <c r="I136" s="72">
        <f t="shared" si="51"/>
        <v>0</v>
      </c>
      <c r="J136" s="72">
        <f>+J137</f>
        <v>0</v>
      </c>
      <c r="K136" s="72">
        <f>+K137</f>
        <v>0</v>
      </c>
      <c r="L136" s="72">
        <f t="shared" si="54"/>
        <v>0</v>
      </c>
      <c r="M136" s="72">
        <f t="shared" ref="M136:M137" si="56">+I136+L136</f>
        <v>0</v>
      </c>
      <c r="N136" s="53">
        <f>+F136-M136</f>
        <v>517185000</v>
      </c>
      <c r="P136" s="195"/>
      <c r="S136" s="282"/>
      <c r="T136" s="282"/>
      <c r="U136" s="243"/>
    </row>
    <row r="137" spans="1:21" s="49" customFormat="1" ht="18" customHeight="1" x14ac:dyDescent="0.25">
      <c r="A137" s="334"/>
      <c r="B137" s="335"/>
      <c r="C137" s="335"/>
      <c r="D137" s="365" t="s">
        <v>71</v>
      </c>
      <c r="E137" s="335" t="s">
        <v>72</v>
      </c>
      <c r="F137" s="337">
        <f>SUM(F138:F141)</f>
        <v>517185000</v>
      </c>
      <c r="G137" s="59">
        <f>SUM(G138:G139)</f>
        <v>0</v>
      </c>
      <c r="H137" s="59">
        <f>SUM(H138:H139)</f>
        <v>0</v>
      </c>
      <c r="I137" s="59">
        <f t="shared" si="51"/>
        <v>0</v>
      </c>
      <c r="J137" s="59">
        <f>SUM(J138:J141)</f>
        <v>0</v>
      </c>
      <c r="K137" s="59">
        <f>SUM(K138:K141)</f>
        <v>0</v>
      </c>
      <c r="L137" s="59">
        <f>+J137+K137</f>
        <v>0</v>
      </c>
      <c r="M137" s="59">
        <f t="shared" si="56"/>
        <v>0</v>
      </c>
      <c r="N137" s="58">
        <f>+F137-M137</f>
        <v>517185000</v>
      </c>
      <c r="P137" s="192"/>
      <c r="S137" s="282"/>
      <c r="T137" s="282"/>
      <c r="U137" s="242"/>
    </row>
    <row r="138" spans="1:21" s="49" customFormat="1" ht="18" customHeight="1" x14ac:dyDescent="0.25">
      <c r="A138" s="334"/>
      <c r="B138" s="335"/>
      <c r="C138" s="335"/>
      <c r="D138" s="365" t="s">
        <v>73</v>
      </c>
      <c r="E138" s="335" t="s">
        <v>74</v>
      </c>
      <c r="F138" s="337">
        <v>128100000</v>
      </c>
      <c r="G138" s="75"/>
      <c r="H138" s="75"/>
      <c r="I138" s="75">
        <f t="shared" si="51"/>
        <v>0</v>
      </c>
      <c r="J138" s="75"/>
      <c r="K138" s="75"/>
      <c r="L138" s="75">
        <f t="shared" si="54"/>
        <v>0</v>
      </c>
      <c r="M138" s="75">
        <f>+I138+L138</f>
        <v>0</v>
      </c>
      <c r="N138" s="63">
        <f t="shared" ref="N138:N141" si="57">+F138-M138</f>
        <v>128100000</v>
      </c>
      <c r="P138" s="192"/>
      <c r="S138" s="282"/>
      <c r="T138" s="282"/>
      <c r="U138" s="242"/>
    </row>
    <row r="139" spans="1:21" s="49" customFormat="1" ht="18" customHeight="1" x14ac:dyDescent="0.25">
      <c r="A139" s="334"/>
      <c r="B139" s="335"/>
      <c r="C139" s="335"/>
      <c r="D139" s="365" t="s">
        <v>88</v>
      </c>
      <c r="E139" s="335" t="s">
        <v>89</v>
      </c>
      <c r="F139" s="337">
        <v>79635000</v>
      </c>
      <c r="G139" s="75"/>
      <c r="H139" s="75"/>
      <c r="I139" s="75">
        <f t="shared" si="51"/>
        <v>0</v>
      </c>
      <c r="J139" s="75"/>
      <c r="K139" s="75"/>
      <c r="L139" s="75">
        <f t="shared" si="54"/>
        <v>0</v>
      </c>
      <c r="M139" s="75">
        <f t="shared" ref="M139" si="58">+I139+L139</f>
        <v>0</v>
      </c>
      <c r="N139" s="63">
        <f t="shared" si="57"/>
        <v>79635000</v>
      </c>
      <c r="P139" s="192"/>
      <c r="S139" s="282"/>
      <c r="T139" s="282"/>
      <c r="U139" s="242"/>
    </row>
    <row r="140" spans="1:21" s="49" customFormat="1" ht="18" customHeight="1" x14ac:dyDescent="0.25">
      <c r="A140" s="334"/>
      <c r="B140" s="335"/>
      <c r="C140" s="335"/>
      <c r="D140" s="365" t="s">
        <v>445</v>
      </c>
      <c r="E140" s="335" t="s">
        <v>446</v>
      </c>
      <c r="F140" s="337">
        <v>241950000</v>
      </c>
      <c r="G140" s="75"/>
      <c r="H140" s="75"/>
      <c r="I140" s="75">
        <f t="shared" si="51"/>
        <v>0</v>
      </c>
      <c r="J140" s="75"/>
      <c r="K140" s="75"/>
      <c r="L140" s="75">
        <f t="shared" si="54"/>
        <v>0</v>
      </c>
      <c r="M140" s="75">
        <f>+I140+L140</f>
        <v>0</v>
      </c>
      <c r="N140" s="63">
        <f t="shared" si="57"/>
        <v>241950000</v>
      </c>
      <c r="P140" s="192"/>
      <c r="S140" s="282"/>
      <c r="T140" s="282"/>
      <c r="U140" s="242"/>
    </row>
    <row r="141" spans="1:21" s="49" customFormat="1" ht="18" customHeight="1" x14ac:dyDescent="0.25">
      <c r="A141" s="334"/>
      <c r="B141" s="335"/>
      <c r="C141" s="335"/>
      <c r="D141" s="365" t="s">
        <v>107</v>
      </c>
      <c r="E141" s="335" t="s">
        <v>108</v>
      </c>
      <c r="F141" s="337">
        <v>67500000</v>
      </c>
      <c r="G141" s="75"/>
      <c r="H141" s="75"/>
      <c r="I141" s="75">
        <f t="shared" si="51"/>
        <v>0</v>
      </c>
      <c r="J141" s="75"/>
      <c r="K141" s="75"/>
      <c r="L141" s="75">
        <f t="shared" si="54"/>
        <v>0</v>
      </c>
      <c r="M141" s="75">
        <f>+I141+L141</f>
        <v>0</v>
      </c>
      <c r="N141" s="63">
        <f t="shared" si="57"/>
        <v>67500000</v>
      </c>
      <c r="P141" s="192"/>
      <c r="S141" s="282"/>
      <c r="T141" s="282"/>
      <c r="U141" s="242"/>
    </row>
    <row r="142" spans="1:21" s="134" customFormat="1" ht="18" customHeight="1" x14ac:dyDescent="0.25">
      <c r="A142" s="353"/>
      <c r="B142" s="355"/>
      <c r="C142" s="355"/>
      <c r="D142" s="355"/>
      <c r="E142" s="355"/>
      <c r="F142" s="356"/>
      <c r="G142" s="133"/>
      <c r="H142" s="133"/>
      <c r="I142" s="133"/>
      <c r="J142" s="133"/>
      <c r="K142" s="133"/>
      <c r="L142" s="133"/>
      <c r="M142" s="133"/>
      <c r="N142" s="132"/>
      <c r="P142" s="197"/>
      <c r="S142" s="286"/>
      <c r="T142" s="286"/>
      <c r="U142" s="247"/>
    </row>
    <row r="143" spans="1:21" s="137" customFormat="1" ht="18" customHeight="1" x14ac:dyDescent="0.25">
      <c r="A143" s="276"/>
      <c r="B143" s="305" t="s">
        <v>380</v>
      </c>
      <c r="C143" s="305"/>
      <c r="D143" s="305"/>
      <c r="E143" s="305" t="s">
        <v>381</v>
      </c>
      <c r="F143" s="359">
        <f>+F144+F170+F178+F189+F211</f>
        <v>4317651500</v>
      </c>
      <c r="G143" s="136">
        <f>+G144+G170+G178+G189+G211</f>
        <v>488965000</v>
      </c>
      <c r="H143" s="136">
        <f>+H144+H170+H178+H189+H211</f>
        <v>0</v>
      </c>
      <c r="I143" s="136">
        <f t="shared" ref="I143:I169" si="59">+G143+H143</f>
        <v>488965000</v>
      </c>
      <c r="J143" s="136">
        <f>+J144+J170+J178+J189+J211</f>
        <v>188860700</v>
      </c>
      <c r="K143" s="136">
        <f>+K144+K170+K178+K189+K211</f>
        <v>113456098</v>
      </c>
      <c r="L143" s="136">
        <f t="shared" ref="L143:L151" si="60">+J143+K143</f>
        <v>302316798</v>
      </c>
      <c r="M143" s="136">
        <f t="shared" ref="M143" si="61">+I143+L143</f>
        <v>791281798</v>
      </c>
      <c r="N143" s="135">
        <f t="shared" ref="N143:N151" si="62">+F143-M143</f>
        <v>3526369702</v>
      </c>
      <c r="P143" s="198"/>
      <c r="R143" s="138"/>
      <c r="S143" s="287"/>
      <c r="T143" s="287"/>
      <c r="U143" s="248"/>
    </row>
    <row r="144" spans="1:21" s="121" customFormat="1" ht="18" customHeight="1" x14ac:dyDescent="0.25">
      <c r="A144" s="276">
        <v>6</v>
      </c>
      <c r="B144" s="305"/>
      <c r="C144" s="305" t="s">
        <v>90</v>
      </c>
      <c r="D144" s="363"/>
      <c r="E144" s="364" t="s">
        <v>91</v>
      </c>
      <c r="F144" s="307">
        <f>+F145+F152</f>
        <v>1165936000</v>
      </c>
      <c r="G144" s="120">
        <f>+G145+G152</f>
        <v>192790000</v>
      </c>
      <c r="H144" s="120">
        <f>+H145+H152</f>
        <v>0</v>
      </c>
      <c r="I144" s="120">
        <f t="shared" si="59"/>
        <v>192790000</v>
      </c>
      <c r="J144" s="120">
        <f>+J145+J152</f>
        <v>0</v>
      </c>
      <c r="K144" s="120">
        <f>+K145+K152</f>
        <v>14050000</v>
      </c>
      <c r="L144" s="120">
        <f t="shared" si="60"/>
        <v>14050000</v>
      </c>
      <c r="M144" s="120">
        <f>+I144+L144</f>
        <v>206840000</v>
      </c>
      <c r="N144" s="119">
        <f t="shared" si="62"/>
        <v>959096000</v>
      </c>
      <c r="P144" s="190"/>
      <c r="R144" s="122"/>
      <c r="S144" s="283"/>
      <c r="T144" s="283"/>
      <c r="U144" s="246"/>
    </row>
    <row r="145" spans="1:21" s="107" customFormat="1" ht="18" customHeight="1" x14ac:dyDescent="0.25">
      <c r="A145" s="323"/>
      <c r="B145" s="324"/>
      <c r="C145" s="379"/>
      <c r="D145" s="325" t="s">
        <v>207</v>
      </c>
      <c r="E145" s="326" t="s">
        <v>262</v>
      </c>
      <c r="F145" s="327">
        <f>+F146</f>
        <v>39736000</v>
      </c>
      <c r="G145" s="106">
        <f>+G146</f>
        <v>0</v>
      </c>
      <c r="H145" s="106">
        <f>+H146</f>
        <v>0</v>
      </c>
      <c r="I145" s="106">
        <f t="shared" si="59"/>
        <v>0</v>
      </c>
      <c r="J145" s="106">
        <f t="shared" ref="J145:K147" si="63">+J146</f>
        <v>0</v>
      </c>
      <c r="K145" s="106">
        <f t="shared" si="63"/>
        <v>0</v>
      </c>
      <c r="L145" s="106">
        <f t="shared" si="60"/>
        <v>0</v>
      </c>
      <c r="M145" s="106">
        <f t="shared" ref="M145:M169" si="64">+I145+L145</f>
        <v>0</v>
      </c>
      <c r="N145" s="105">
        <f t="shared" si="62"/>
        <v>39736000</v>
      </c>
      <c r="P145" s="191"/>
      <c r="R145" s="108"/>
      <c r="S145" s="284"/>
      <c r="T145" s="284"/>
      <c r="U145" s="241"/>
    </row>
    <row r="146" spans="1:21" s="67" customFormat="1" ht="18" customHeight="1" x14ac:dyDescent="0.25">
      <c r="A146" s="380"/>
      <c r="B146" s="352"/>
      <c r="C146" s="334"/>
      <c r="D146" s="335" t="s">
        <v>63</v>
      </c>
      <c r="E146" s="335" t="s">
        <v>30</v>
      </c>
      <c r="F146" s="337">
        <f>+F147</f>
        <v>39736000</v>
      </c>
      <c r="G146" s="70">
        <f t="shared" ref="G146:H147" si="65">+G147</f>
        <v>0</v>
      </c>
      <c r="H146" s="70">
        <f t="shared" si="65"/>
        <v>0</v>
      </c>
      <c r="I146" s="70">
        <f t="shared" si="59"/>
        <v>0</v>
      </c>
      <c r="J146" s="70">
        <f t="shared" si="63"/>
        <v>0</v>
      </c>
      <c r="K146" s="70">
        <f t="shared" si="63"/>
        <v>0</v>
      </c>
      <c r="L146" s="70">
        <f t="shared" si="60"/>
        <v>0</v>
      </c>
      <c r="M146" s="70">
        <f t="shared" si="64"/>
        <v>0</v>
      </c>
      <c r="N146" s="47">
        <f t="shared" si="62"/>
        <v>39736000</v>
      </c>
      <c r="P146" s="192"/>
      <c r="S146" s="282"/>
      <c r="T146" s="282"/>
      <c r="U146" s="249"/>
    </row>
    <row r="147" spans="1:21" s="55" customFormat="1" ht="18" customHeight="1" x14ac:dyDescent="0.25">
      <c r="A147" s="334"/>
      <c r="B147" s="335"/>
      <c r="C147" s="334"/>
      <c r="D147" s="365" t="s">
        <v>263</v>
      </c>
      <c r="E147" s="335" t="s">
        <v>264</v>
      </c>
      <c r="F147" s="337">
        <f>+F148</f>
        <v>39736000</v>
      </c>
      <c r="G147" s="72">
        <f t="shared" si="65"/>
        <v>0</v>
      </c>
      <c r="H147" s="72">
        <f t="shared" si="65"/>
        <v>0</v>
      </c>
      <c r="I147" s="72">
        <f t="shared" si="59"/>
        <v>0</v>
      </c>
      <c r="J147" s="72">
        <f t="shared" si="63"/>
        <v>0</v>
      </c>
      <c r="K147" s="72">
        <f t="shared" si="63"/>
        <v>0</v>
      </c>
      <c r="L147" s="72">
        <f t="shared" si="60"/>
        <v>0</v>
      </c>
      <c r="M147" s="72">
        <f t="shared" si="64"/>
        <v>0</v>
      </c>
      <c r="N147" s="53">
        <f t="shared" si="62"/>
        <v>39736000</v>
      </c>
      <c r="P147" s="195"/>
      <c r="S147" s="282"/>
      <c r="T147" s="282"/>
      <c r="U147" s="243"/>
    </row>
    <row r="148" spans="1:21" s="67" customFormat="1" ht="18" customHeight="1" x14ac:dyDescent="0.25">
      <c r="A148" s="380"/>
      <c r="B148" s="352"/>
      <c r="C148" s="334"/>
      <c r="D148" s="335" t="s">
        <v>64</v>
      </c>
      <c r="E148" s="335" t="s">
        <v>65</v>
      </c>
      <c r="F148" s="337">
        <f>F150+F149+F151</f>
        <v>39736000</v>
      </c>
      <c r="G148" s="59">
        <f>+G150</f>
        <v>0</v>
      </c>
      <c r="H148" s="59">
        <f>+H150</f>
        <v>0</v>
      </c>
      <c r="I148" s="59">
        <f t="shared" si="59"/>
        <v>0</v>
      </c>
      <c r="J148" s="59">
        <f>+J150</f>
        <v>0</v>
      </c>
      <c r="K148" s="59">
        <f>+K150</f>
        <v>0</v>
      </c>
      <c r="L148" s="59">
        <f t="shared" si="60"/>
        <v>0</v>
      </c>
      <c r="M148" s="59">
        <f t="shared" si="64"/>
        <v>0</v>
      </c>
      <c r="N148" s="58">
        <f t="shared" si="62"/>
        <v>39736000</v>
      </c>
      <c r="P148" s="192"/>
      <c r="S148" s="282"/>
      <c r="T148" s="282"/>
      <c r="U148" s="249"/>
    </row>
    <row r="149" spans="1:21" s="86" customFormat="1" ht="18" customHeight="1" x14ac:dyDescent="0.25">
      <c r="A149" s="380"/>
      <c r="B149" s="352"/>
      <c r="C149" s="334"/>
      <c r="D149" s="335" t="s">
        <v>66</v>
      </c>
      <c r="E149" s="335" t="s">
        <v>67</v>
      </c>
      <c r="F149" s="337">
        <v>13500</v>
      </c>
      <c r="G149" s="75"/>
      <c r="H149" s="75"/>
      <c r="I149" s="75">
        <f t="shared" si="59"/>
        <v>0</v>
      </c>
      <c r="J149" s="75"/>
      <c r="K149" s="75"/>
      <c r="L149" s="75">
        <f t="shared" si="60"/>
        <v>0</v>
      </c>
      <c r="M149" s="75">
        <f t="shared" si="64"/>
        <v>0</v>
      </c>
      <c r="N149" s="63">
        <f t="shared" si="62"/>
        <v>13500</v>
      </c>
      <c r="P149" s="194"/>
      <c r="S149" s="282"/>
      <c r="T149" s="282"/>
      <c r="U149" s="250"/>
    </row>
    <row r="150" spans="1:21" s="86" customFormat="1" ht="18" customHeight="1" x14ac:dyDescent="0.25">
      <c r="A150" s="380"/>
      <c r="B150" s="352"/>
      <c r="C150" s="334"/>
      <c r="D150" s="335" t="s">
        <v>339</v>
      </c>
      <c r="E150" s="335" t="s">
        <v>340</v>
      </c>
      <c r="F150" s="337">
        <v>29175000</v>
      </c>
      <c r="G150" s="75"/>
      <c r="H150" s="75"/>
      <c r="I150" s="75">
        <f t="shared" si="59"/>
        <v>0</v>
      </c>
      <c r="J150" s="75"/>
      <c r="K150" s="75"/>
      <c r="L150" s="75">
        <f t="shared" si="60"/>
        <v>0</v>
      </c>
      <c r="M150" s="75">
        <f t="shared" si="64"/>
        <v>0</v>
      </c>
      <c r="N150" s="63">
        <f t="shared" si="62"/>
        <v>29175000</v>
      </c>
      <c r="P150" s="194"/>
      <c r="S150" s="282"/>
      <c r="T150" s="282"/>
      <c r="U150" s="250"/>
    </row>
    <row r="151" spans="1:21" s="86" customFormat="1" ht="18" customHeight="1" x14ac:dyDescent="0.25">
      <c r="A151" s="380"/>
      <c r="B151" s="352"/>
      <c r="C151" s="334"/>
      <c r="D151" s="335" t="s">
        <v>371</v>
      </c>
      <c r="E151" s="335" t="s">
        <v>372</v>
      </c>
      <c r="F151" s="337">
        <v>10547500</v>
      </c>
      <c r="G151" s="75"/>
      <c r="H151" s="75"/>
      <c r="I151" s="75">
        <f t="shared" si="59"/>
        <v>0</v>
      </c>
      <c r="J151" s="75"/>
      <c r="K151" s="75"/>
      <c r="L151" s="75">
        <f t="shared" si="60"/>
        <v>0</v>
      </c>
      <c r="M151" s="75">
        <f t="shared" si="64"/>
        <v>0</v>
      </c>
      <c r="N151" s="63">
        <f t="shared" si="62"/>
        <v>10547500</v>
      </c>
      <c r="P151" s="194"/>
      <c r="S151" s="282"/>
      <c r="T151" s="282"/>
      <c r="U151" s="250"/>
    </row>
    <row r="152" spans="1:21" s="42" customFormat="1" ht="18" customHeight="1" x14ac:dyDescent="0.25">
      <c r="A152" s="380"/>
      <c r="B152" s="383"/>
      <c r="C152" s="384"/>
      <c r="D152" s="365" t="s">
        <v>267</v>
      </c>
      <c r="E152" s="335" t="s">
        <v>268</v>
      </c>
      <c r="F152" s="337">
        <f>+F153</f>
        <v>1126200000</v>
      </c>
      <c r="G152" s="41">
        <f>+G153</f>
        <v>192790000</v>
      </c>
      <c r="H152" s="41">
        <f>+H153</f>
        <v>0</v>
      </c>
      <c r="I152" s="41">
        <f>+G152+H152</f>
        <v>192790000</v>
      </c>
      <c r="J152" s="41">
        <f>+J153</f>
        <v>0</v>
      </c>
      <c r="K152" s="41">
        <f>+K153</f>
        <v>14050000</v>
      </c>
      <c r="L152" s="41">
        <f>+J152+K152</f>
        <v>14050000</v>
      </c>
      <c r="M152" s="41">
        <f t="shared" si="64"/>
        <v>206840000</v>
      </c>
      <c r="N152" s="40">
        <f>+F152-M152</f>
        <v>919360000</v>
      </c>
      <c r="P152" s="199"/>
      <c r="R152" s="43"/>
      <c r="S152" s="282"/>
      <c r="T152" s="282"/>
      <c r="U152" s="251"/>
    </row>
    <row r="153" spans="1:21" s="67" customFormat="1" ht="18" customHeight="1" x14ac:dyDescent="0.25">
      <c r="A153" s="380"/>
      <c r="B153" s="352"/>
      <c r="C153" s="334"/>
      <c r="D153" s="335" t="s">
        <v>78</v>
      </c>
      <c r="E153" s="335" t="s">
        <v>75</v>
      </c>
      <c r="F153" s="337">
        <f>+F154+F164+F161</f>
        <v>1126200000</v>
      </c>
      <c r="G153" s="70">
        <f>+G154+G164</f>
        <v>192790000</v>
      </c>
      <c r="H153" s="70">
        <f>+H154+H164</f>
        <v>0</v>
      </c>
      <c r="I153" s="70">
        <f>+G153+H153</f>
        <v>192790000</v>
      </c>
      <c r="J153" s="70">
        <f>+J154+J164</f>
        <v>0</v>
      </c>
      <c r="K153" s="70">
        <f>+K154+K164</f>
        <v>14050000</v>
      </c>
      <c r="L153" s="70">
        <f>+J153+K153</f>
        <v>14050000</v>
      </c>
      <c r="M153" s="70">
        <f t="shared" si="64"/>
        <v>206840000</v>
      </c>
      <c r="N153" s="47">
        <f>+F153-M153</f>
        <v>919360000</v>
      </c>
      <c r="P153" s="192"/>
      <c r="S153" s="282"/>
      <c r="T153" s="282"/>
      <c r="U153" s="249"/>
    </row>
    <row r="154" spans="1:21" s="55" customFormat="1" ht="18" customHeight="1" x14ac:dyDescent="0.25">
      <c r="A154" s="334"/>
      <c r="B154" s="335"/>
      <c r="C154" s="334"/>
      <c r="D154" s="365" t="s">
        <v>269</v>
      </c>
      <c r="E154" s="335" t="s">
        <v>270</v>
      </c>
      <c r="F154" s="337">
        <f>+F158+F155</f>
        <v>385400000</v>
      </c>
      <c r="G154" s="72">
        <f>+G158</f>
        <v>0</v>
      </c>
      <c r="H154" s="72">
        <f>+H158</f>
        <v>0</v>
      </c>
      <c r="I154" s="72">
        <f>+G154+H154</f>
        <v>0</v>
      </c>
      <c r="J154" s="72">
        <f>+J158</f>
        <v>0</v>
      </c>
      <c r="K154" s="72">
        <f>+K158+K155</f>
        <v>14050000</v>
      </c>
      <c r="L154" s="72">
        <f>+J154+K154</f>
        <v>14050000</v>
      </c>
      <c r="M154" s="72">
        <f t="shared" si="64"/>
        <v>14050000</v>
      </c>
      <c r="N154" s="53">
        <f>+F154-M154</f>
        <v>371350000</v>
      </c>
      <c r="P154" s="195"/>
      <c r="S154" s="282"/>
      <c r="T154" s="282"/>
      <c r="U154" s="243"/>
    </row>
    <row r="155" spans="1:21" s="67" customFormat="1" ht="18" customHeight="1" x14ac:dyDescent="0.25">
      <c r="A155" s="380"/>
      <c r="B155" s="352"/>
      <c r="C155" s="334"/>
      <c r="D155" s="335" t="s">
        <v>76</v>
      </c>
      <c r="E155" s="335" t="s">
        <v>484</v>
      </c>
      <c r="F155" s="337">
        <f>F156+F157</f>
        <v>180100000</v>
      </c>
      <c r="G155" s="59">
        <f>G156</f>
        <v>0</v>
      </c>
      <c r="H155" s="59">
        <f>+H156</f>
        <v>0</v>
      </c>
      <c r="I155" s="59">
        <f>+G155+H155</f>
        <v>0</v>
      </c>
      <c r="J155" s="59">
        <f>J156</f>
        <v>0</v>
      </c>
      <c r="K155" s="59">
        <f>+K156</f>
        <v>0</v>
      </c>
      <c r="L155" s="59">
        <f>+J155+K155</f>
        <v>0</v>
      </c>
      <c r="M155" s="59">
        <f t="shared" si="64"/>
        <v>0</v>
      </c>
      <c r="N155" s="58">
        <f>+F155-M155</f>
        <v>180100000</v>
      </c>
      <c r="P155" s="192"/>
      <c r="S155" s="282"/>
      <c r="T155" s="282"/>
      <c r="U155" s="249"/>
    </row>
    <row r="156" spans="1:21" s="86" customFormat="1" ht="18" customHeight="1" x14ac:dyDescent="0.25">
      <c r="A156" s="380"/>
      <c r="B156" s="352"/>
      <c r="C156" s="334"/>
      <c r="D156" s="335" t="s">
        <v>393</v>
      </c>
      <c r="E156" s="335" t="s">
        <v>394</v>
      </c>
      <c r="F156" s="337">
        <v>99600000</v>
      </c>
      <c r="G156" s="75"/>
      <c r="H156" s="75"/>
      <c r="I156" s="75">
        <f t="shared" ref="I156:I157" si="66">+G156+H156</f>
        <v>0</v>
      </c>
      <c r="J156" s="75"/>
      <c r="K156" s="75"/>
      <c r="L156" s="75">
        <f t="shared" ref="L156:L157" si="67">+J156+K156</f>
        <v>0</v>
      </c>
      <c r="M156" s="75">
        <f t="shared" si="64"/>
        <v>0</v>
      </c>
      <c r="N156" s="63">
        <f t="shared" ref="N156:N157" si="68">+F156-M156</f>
        <v>99600000</v>
      </c>
      <c r="P156" s="194"/>
      <c r="S156" s="282"/>
      <c r="T156" s="282"/>
      <c r="U156" s="250"/>
    </row>
    <row r="157" spans="1:21" s="86" customFormat="1" ht="18" customHeight="1" x14ac:dyDescent="0.25">
      <c r="A157" s="380"/>
      <c r="B157" s="352"/>
      <c r="C157" s="334"/>
      <c r="D157" s="335" t="s">
        <v>117</v>
      </c>
      <c r="E157" s="335" t="s">
        <v>118</v>
      </c>
      <c r="F157" s="337">
        <v>80500000</v>
      </c>
      <c r="G157" s="75"/>
      <c r="H157" s="75"/>
      <c r="I157" s="75">
        <f t="shared" si="66"/>
        <v>0</v>
      </c>
      <c r="J157" s="75"/>
      <c r="K157" s="75"/>
      <c r="L157" s="75">
        <f t="shared" si="67"/>
        <v>0</v>
      </c>
      <c r="M157" s="75">
        <f t="shared" si="64"/>
        <v>0</v>
      </c>
      <c r="N157" s="63">
        <f t="shared" si="68"/>
        <v>80500000</v>
      </c>
      <c r="P157" s="194"/>
      <c r="S157" s="282"/>
      <c r="T157" s="282"/>
      <c r="U157" s="250"/>
    </row>
    <row r="158" spans="1:21" s="67" customFormat="1" ht="18" customHeight="1" x14ac:dyDescent="0.25">
      <c r="A158" s="380"/>
      <c r="B158" s="352"/>
      <c r="C158" s="334"/>
      <c r="D158" s="335" t="s">
        <v>92</v>
      </c>
      <c r="E158" s="335" t="s">
        <v>94</v>
      </c>
      <c r="F158" s="337">
        <f>F159+F160</f>
        <v>205300000</v>
      </c>
      <c r="G158" s="59">
        <f>+G159+G160</f>
        <v>0</v>
      </c>
      <c r="H158" s="59">
        <f>+H159+H160</f>
        <v>0</v>
      </c>
      <c r="I158" s="59">
        <f>+G158+H158</f>
        <v>0</v>
      </c>
      <c r="J158" s="59">
        <f>J159+J160</f>
        <v>0</v>
      </c>
      <c r="K158" s="59">
        <f>+K159+K160</f>
        <v>14050000</v>
      </c>
      <c r="L158" s="59">
        <f>+J158+K158</f>
        <v>14050000</v>
      </c>
      <c r="M158" s="59">
        <f t="shared" si="64"/>
        <v>14050000</v>
      </c>
      <c r="N158" s="58">
        <f>+F158-M158</f>
        <v>191250000</v>
      </c>
      <c r="P158" s="192"/>
      <c r="S158" s="282"/>
      <c r="T158" s="282"/>
      <c r="U158" s="249"/>
    </row>
    <row r="159" spans="1:21" s="86" customFormat="1" ht="18" customHeight="1" x14ac:dyDescent="0.25">
      <c r="A159" s="380"/>
      <c r="B159" s="352"/>
      <c r="C159" s="334"/>
      <c r="D159" s="335" t="s">
        <v>93</v>
      </c>
      <c r="E159" s="335" t="s">
        <v>95</v>
      </c>
      <c r="F159" s="337">
        <v>180000000</v>
      </c>
      <c r="G159" s="75"/>
      <c r="H159" s="75"/>
      <c r="I159" s="75">
        <f t="shared" ref="I159:I160" si="69">+G159+H159</f>
        <v>0</v>
      </c>
      <c r="J159" s="75"/>
      <c r="K159" s="75"/>
      <c r="L159" s="75">
        <f t="shared" ref="L159:L169" si="70">+J159+K159</f>
        <v>0</v>
      </c>
      <c r="M159" s="75">
        <f t="shared" si="64"/>
        <v>0</v>
      </c>
      <c r="N159" s="63">
        <f t="shared" ref="N159:N160" si="71">+F159-M159</f>
        <v>180000000</v>
      </c>
      <c r="P159" s="194"/>
      <c r="S159" s="282"/>
      <c r="T159" s="282"/>
      <c r="U159" s="250"/>
    </row>
    <row r="160" spans="1:21" s="86" customFormat="1" ht="18" customHeight="1" x14ac:dyDescent="0.25">
      <c r="A160" s="380"/>
      <c r="B160" s="352"/>
      <c r="C160" s="334"/>
      <c r="D160" s="335" t="s">
        <v>397</v>
      </c>
      <c r="E160" s="335" t="s">
        <v>398</v>
      </c>
      <c r="F160" s="337">
        <v>25300000</v>
      </c>
      <c r="G160" s="75"/>
      <c r="H160" s="75"/>
      <c r="I160" s="75">
        <f t="shared" si="69"/>
        <v>0</v>
      </c>
      <c r="J160" s="75"/>
      <c r="K160" s="75">
        <f>2800000+11250000</f>
        <v>14050000</v>
      </c>
      <c r="L160" s="75">
        <f t="shared" si="70"/>
        <v>14050000</v>
      </c>
      <c r="M160" s="75">
        <f t="shared" si="64"/>
        <v>14050000</v>
      </c>
      <c r="N160" s="63">
        <f t="shared" si="71"/>
        <v>11250000</v>
      </c>
      <c r="P160" s="194"/>
      <c r="S160" s="281">
        <f>2800000+11250000</f>
        <v>14050000</v>
      </c>
      <c r="T160" s="282"/>
      <c r="U160" s="250"/>
    </row>
    <row r="161" spans="1:21" s="55" customFormat="1" ht="18" customHeight="1" x14ac:dyDescent="0.25">
      <c r="A161" s="334"/>
      <c r="B161" s="335"/>
      <c r="C161" s="334"/>
      <c r="D161" s="365" t="s">
        <v>399</v>
      </c>
      <c r="E161" s="335" t="s">
        <v>400</v>
      </c>
      <c r="F161" s="337">
        <f>+F162</f>
        <v>200000000</v>
      </c>
      <c r="G161" s="72">
        <f>+G165</f>
        <v>192790000</v>
      </c>
      <c r="H161" s="72">
        <f>+H165</f>
        <v>0</v>
      </c>
      <c r="I161" s="72">
        <f>+G161+H161</f>
        <v>192790000</v>
      </c>
      <c r="J161" s="72">
        <f>+J165</f>
        <v>0</v>
      </c>
      <c r="K161" s="72">
        <f>+K165+K162</f>
        <v>0</v>
      </c>
      <c r="L161" s="72">
        <f>+J161+K161</f>
        <v>0</v>
      </c>
      <c r="M161" s="72">
        <f t="shared" si="64"/>
        <v>192790000</v>
      </c>
      <c r="N161" s="53">
        <f>+F161-M161</f>
        <v>7210000</v>
      </c>
      <c r="P161" s="195"/>
      <c r="S161" s="282"/>
      <c r="T161" s="282"/>
      <c r="U161" s="243"/>
    </row>
    <row r="162" spans="1:21" s="67" customFormat="1" ht="18" customHeight="1" x14ac:dyDescent="0.25">
      <c r="A162" s="380"/>
      <c r="B162" s="352"/>
      <c r="C162" s="334"/>
      <c r="D162" s="335" t="s">
        <v>401</v>
      </c>
      <c r="E162" s="335" t="s">
        <v>402</v>
      </c>
      <c r="F162" s="337">
        <f>+F163</f>
        <v>200000000</v>
      </c>
      <c r="G162" s="59">
        <f>G163</f>
        <v>0</v>
      </c>
      <c r="H162" s="59">
        <f>+H163</f>
        <v>0</v>
      </c>
      <c r="I162" s="59">
        <f>+G162+H162</f>
        <v>0</v>
      </c>
      <c r="J162" s="59">
        <f>J163</f>
        <v>0</v>
      </c>
      <c r="K162" s="59">
        <f>+K163</f>
        <v>0</v>
      </c>
      <c r="L162" s="59">
        <f>+J162+K162</f>
        <v>0</v>
      </c>
      <c r="M162" s="59">
        <f t="shared" si="64"/>
        <v>0</v>
      </c>
      <c r="N162" s="58">
        <f>+F162-M162</f>
        <v>200000000</v>
      </c>
      <c r="P162" s="192"/>
      <c r="S162" s="282"/>
      <c r="T162" s="282"/>
      <c r="U162" s="249"/>
    </row>
    <row r="163" spans="1:21" s="86" customFormat="1" ht="18" customHeight="1" x14ac:dyDescent="0.25">
      <c r="A163" s="380"/>
      <c r="B163" s="352"/>
      <c r="C163" s="334"/>
      <c r="D163" s="335" t="s">
        <v>459</v>
      </c>
      <c r="E163" s="335" t="s">
        <v>460</v>
      </c>
      <c r="F163" s="337">
        <v>200000000</v>
      </c>
      <c r="G163" s="75"/>
      <c r="H163" s="75"/>
      <c r="I163" s="75">
        <f t="shared" ref="I163" si="72">+G163+H163</f>
        <v>0</v>
      </c>
      <c r="J163" s="75"/>
      <c r="K163" s="75"/>
      <c r="L163" s="75">
        <f t="shared" ref="L163" si="73">+J163+K163</f>
        <v>0</v>
      </c>
      <c r="M163" s="75">
        <f t="shared" si="64"/>
        <v>0</v>
      </c>
      <c r="N163" s="63">
        <f t="shared" ref="N163" si="74">+F163-M163</f>
        <v>200000000</v>
      </c>
      <c r="P163" s="194"/>
      <c r="S163" s="282"/>
      <c r="T163" s="282"/>
      <c r="U163" s="250"/>
    </row>
    <row r="164" spans="1:21" s="55" customFormat="1" ht="18" customHeight="1" x14ac:dyDescent="0.25">
      <c r="A164" s="334"/>
      <c r="B164" s="335"/>
      <c r="C164" s="334"/>
      <c r="D164" s="365" t="s">
        <v>273</v>
      </c>
      <c r="E164" s="335" t="s">
        <v>274</v>
      </c>
      <c r="F164" s="337">
        <f>+F165+F167</f>
        <v>540800000</v>
      </c>
      <c r="G164" s="72">
        <f>+G165+G167</f>
        <v>192790000</v>
      </c>
      <c r="H164" s="72">
        <f>+H165+H167</f>
        <v>0</v>
      </c>
      <c r="I164" s="72">
        <f>+G164+H164</f>
        <v>192790000</v>
      </c>
      <c r="J164" s="72">
        <f t="shared" ref="J164:K165" si="75">+J165</f>
        <v>0</v>
      </c>
      <c r="K164" s="72">
        <f t="shared" si="75"/>
        <v>0</v>
      </c>
      <c r="L164" s="72">
        <f t="shared" si="70"/>
        <v>0</v>
      </c>
      <c r="M164" s="72">
        <f t="shared" si="64"/>
        <v>192790000</v>
      </c>
      <c r="N164" s="53">
        <f>+F164-M164</f>
        <v>348010000</v>
      </c>
      <c r="P164" s="195"/>
      <c r="S164" s="282"/>
      <c r="T164" s="282"/>
      <c r="U164" s="243"/>
    </row>
    <row r="165" spans="1:21" s="67" customFormat="1" ht="18" customHeight="1" x14ac:dyDescent="0.25">
      <c r="A165" s="380"/>
      <c r="B165" s="352"/>
      <c r="C165" s="334"/>
      <c r="D165" s="335" t="s">
        <v>96</v>
      </c>
      <c r="E165" s="335" t="s">
        <v>98</v>
      </c>
      <c r="F165" s="337">
        <f>F166</f>
        <v>335000000</v>
      </c>
      <c r="G165" s="59">
        <f>+G166</f>
        <v>192790000</v>
      </c>
      <c r="H165" s="59">
        <f>+H166</f>
        <v>0</v>
      </c>
      <c r="I165" s="59">
        <f>+G165+H165</f>
        <v>192790000</v>
      </c>
      <c r="J165" s="59">
        <f>+J166</f>
        <v>0</v>
      </c>
      <c r="K165" s="59">
        <f t="shared" si="75"/>
        <v>0</v>
      </c>
      <c r="L165" s="59">
        <f t="shared" si="70"/>
        <v>0</v>
      </c>
      <c r="M165" s="59">
        <f t="shared" si="64"/>
        <v>192790000</v>
      </c>
      <c r="N165" s="58">
        <f>+F165-M165</f>
        <v>142210000</v>
      </c>
      <c r="P165" s="192"/>
      <c r="S165" s="282"/>
      <c r="T165" s="282"/>
      <c r="U165" s="249"/>
    </row>
    <row r="166" spans="1:21" s="86" customFormat="1" ht="18" customHeight="1" x14ac:dyDescent="0.25">
      <c r="A166" s="380"/>
      <c r="B166" s="352"/>
      <c r="C166" s="334"/>
      <c r="D166" s="335" t="s">
        <v>97</v>
      </c>
      <c r="E166" s="335" t="s">
        <v>99</v>
      </c>
      <c r="F166" s="337">
        <v>335000000</v>
      </c>
      <c r="G166" s="75">
        <v>192790000</v>
      </c>
      <c r="H166" s="75"/>
      <c r="I166" s="75">
        <f t="shared" si="59"/>
        <v>192790000</v>
      </c>
      <c r="J166" s="75"/>
      <c r="K166" s="75"/>
      <c r="L166" s="75">
        <f t="shared" si="70"/>
        <v>0</v>
      </c>
      <c r="M166" s="75">
        <f t="shared" si="64"/>
        <v>192790000</v>
      </c>
      <c r="N166" s="63">
        <f t="shared" ref="N166" si="76">+F166-M166</f>
        <v>142210000</v>
      </c>
      <c r="P166" s="194"/>
      <c r="S166" s="282"/>
      <c r="T166" s="282"/>
      <c r="U166" s="250"/>
    </row>
    <row r="167" spans="1:21" s="67" customFormat="1" ht="18" customHeight="1" x14ac:dyDescent="0.25">
      <c r="A167" s="380"/>
      <c r="B167" s="352"/>
      <c r="C167" s="334"/>
      <c r="D167" s="335" t="s">
        <v>382</v>
      </c>
      <c r="E167" s="335" t="s">
        <v>383</v>
      </c>
      <c r="F167" s="337">
        <f>SUM(F168:F169)</f>
        <v>205800000</v>
      </c>
      <c r="G167" s="59">
        <f>SUM(G168:G169)</f>
        <v>0</v>
      </c>
      <c r="H167" s="59">
        <f>SUM(H168:H169)</f>
        <v>0</v>
      </c>
      <c r="I167" s="59">
        <f>+G167+H167</f>
        <v>0</v>
      </c>
      <c r="J167" s="59">
        <f>SUM(J168:J169)</f>
        <v>0</v>
      </c>
      <c r="K167" s="59">
        <f>SUM(K168:K169)</f>
        <v>0</v>
      </c>
      <c r="L167" s="59">
        <f>+J167+K167</f>
        <v>0</v>
      </c>
      <c r="M167" s="59">
        <f t="shared" si="64"/>
        <v>0</v>
      </c>
      <c r="N167" s="58">
        <f>+F167-M167</f>
        <v>205800000</v>
      </c>
      <c r="P167" s="192"/>
      <c r="S167" s="282"/>
      <c r="T167" s="282"/>
      <c r="U167" s="249"/>
    </row>
    <row r="168" spans="1:21" s="86" customFormat="1" ht="18" customHeight="1" x14ac:dyDescent="0.25">
      <c r="A168" s="380"/>
      <c r="B168" s="352"/>
      <c r="C168" s="334"/>
      <c r="D168" s="335" t="s">
        <v>384</v>
      </c>
      <c r="E168" s="335" t="s">
        <v>385</v>
      </c>
      <c r="F168" s="337">
        <v>170400000</v>
      </c>
      <c r="G168" s="75"/>
      <c r="H168" s="75"/>
      <c r="I168" s="75">
        <f t="shared" si="59"/>
        <v>0</v>
      </c>
      <c r="J168" s="75"/>
      <c r="K168" s="75"/>
      <c r="L168" s="75">
        <f t="shared" si="70"/>
        <v>0</v>
      </c>
      <c r="M168" s="75">
        <f t="shared" si="64"/>
        <v>0</v>
      </c>
      <c r="N168" s="63">
        <f t="shared" ref="N168:N169" si="77">+F168-M168</f>
        <v>170400000</v>
      </c>
      <c r="P168" s="194"/>
      <c r="S168" s="282"/>
      <c r="T168" s="282"/>
      <c r="U168" s="250"/>
    </row>
    <row r="169" spans="1:21" s="144" customFormat="1" ht="18" customHeight="1" x14ac:dyDescent="0.25">
      <c r="A169" s="386"/>
      <c r="B169" s="387"/>
      <c r="C169" s="353"/>
      <c r="D169" s="355" t="s">
        <v>386</v>
      </c>
      <c r="E169" s="355" t="s">
        <v>387</v>
      </c>
      <c r="F169" s="356">
        <v>35400000</v>
      </c>
      <c r="G169" s="140"/>
      <c r="H169" s="140"/>
      <c r="I169" s="140">
        <f t="shared" si="59"/>
        <v>0</v>
      </c>
      <c r="J169" s="140"/>
      <c r="K169" s="140"/>
      <c r="L169" s="140">
        <f t="shared" si="70"/>
        <v>0</v>
      </c>
      <c r="M169" s="140">
        <f t="shared" si="64"/>
        <v>0</v>
      </c>
      <c r="N169" s="125">
        <f t="shared" si="77"/>
        <v>35400000</v>
      </c>
      <c r="P169" s="196"/>
      <c r="S169" s="286"/>
      <c r="T169" s="286"/>
      <c r="U169" s="252"/>
    </row>
    <row r="170" spans="1:21" s="121" customFormat="1" ht="18" customHeight="1" x14ac:dyDescent="0.25">
      <c r="A170" s="276">
        <v>7</v>
      </c>
      <c r="B170" s="305"/>
      <c r="C170" s="390" t="s">
        <v>102</v>
      </c>
      <c r="D170" s="363"/>
      <c r="E170" s="364" t="s">
        <v>103</v>
      </c>
      <c r="F170" s="307">
        <f t="shared" ref="F170:H173" si="78">+F171</f>
        <v>540210000</v>
      </c>
      <c r="G170" s="120">
        <f t="shared" si="78"/>
        <v>0</v>
      </c>
      <c r="H170" s="120">
        <f t="shared" si="78"/>
        <v>0</v>
      </c>
      <c r="I170" s="120">
        <f>+G170+H170</f>
        <v>0</v>
      </c>
      <c r="J170" s="120">
        <f>+J171</f>
        <v>96200000</v>
      </c>
      <c r="K170" s="120">
        <f t="shared" ref="J170:K173" si="79">+K171</f>
        <v>47800000</v>
      </c>
      <c r="L170" s="120">
        <f>+J170+K170</f>
        <v>144000000</v>
      </c>
      <c r="M170" s="120">
        <f>+I170+L170</f>
        <v>144000000</v>
      </c>
      <c r="N170" s="119">
        <f>+F170-M170</f>
        <v>396210000</v>
      </c>
      <c r="P170" s="190"/>
      <c r="R170" s="122"/>
      <c r="S170" s="283"/>
      <c r="T170" s="283"/>
      <c r="U170" s="246"/>
    </row>
    <row r="171" spans="1:21" s="107" customFormat="1" ht="18" customHeight="1" x14ac:dyDescent="0.25">
      <c r="A171" s="323"/>
      <c r="B171" s="324"/>
      <c r="C171" s="379"/>
      <c r="D171" s="325" t="s">
        <v>207</v>
      </c>
      <c r="E171" s="326" t="s">
        <v>262</v>
      </c>
      <c r="F171" s="327">
        <f t="shared" si="78"/>
        <v>540210000</v>
      </c>
      <c r="G171" s="106">
        <f t="shared" si="78"/>
        <v>0</v>
      </c>
      <c r="H171" s="106">
        <f t="shared" si="78"/>
        <v>0</v>
      </c>
      <c r="I171" s="106">
        <f>+G171+H171</f>
        <v>0</v>
      </c>
      <c r="J171" s="106">
        <f t="shared" si="79"/>
        <v>96200000</v>
      </c>
      <c r="K171" s="106">
        <f t="shared" si="79"/>
        <v>47800000</v>
      </c>
      <c r="L171" s="106">
        <f>+J171+K171</f>
        <v>144000000</v>
      </c>
      <c r="M171" s="106">
        <f t="shared" ref="M171:M174" si="80">+I171+L171</f>
        <v>144000000</v>
      </c>
      <c r="N171" s="105">
        <f>+F171-M171</f>
        <v>396210000</v>
      </c>
      <c r="P171" s="191"/>
      <c r="R171" s="108"/>
      <c r="S171" s="284"/>
      <c r="T171" s="284"/>
      <c r="U171" s="241"/>
    </row>
    <row r="172" spans="1:21" s="67" customFormat="1" ht="18" customHeight="1" x14ac:dyDescent="0.25">
      <c r="A172" s="380"/>
      <c r="B172" s="352"/>
      <c r="C172" s="334"/>
      <c r="D172" s="335" t="s">
        <v>63</v>
      </c>
      <c r="E172" s="335" t="s">
        <v>30</v>
      </c>
      <c r="F172" s="337">
        <f t="shared" si="78"/>
        <v>540210000</v>
      </c>
      <c r="G172" s="70">
        <f t="shared" si="78"/>
        <v>0</v>
      </c>
      <c r="H172" s="70">
        <f t="shared" si="78"/>
        <v>0</v>
      </c>
      <c r="I172" s="70">
        <f>+G172+H172</f>
        <v>0</v>
      </c>
      <c r="J172" s="70">
        <f t="shared" si="79"/>
        <v>96200000</v>
      </c>
      <c r="K172" s="70">
        <f t="shared" si="79"/>
        <v>47800000</v>
      </c>
      <c r="L172" s="70">
        <f>+J172+K172</f>
        <v>144000000</v>
      </c>
      <c r="M172" s="70">
        <f t="shared" si="80"/>
        <v>144000000</v>
      </c>
      <c r="N172" s="47">
        <f>+F172-M172</f>
        <v>396210000</v>
      </c>
      <c r="P172" s="192"/>
      <c r="S172" s="282"/>
      <c r="T172" s="282"/>
      <c r="U172" s="249"/>
    </row>
    <row r="173" spans="1:21" s="55" customFormat="1" ht="18" customHeight="1" x14ac:dyDescent="0.25">
      <c r="A173" s="334"/>
      <c r="B173" s="335"/>
      <c r="C173" s="334"/>
      <c r="D173" s="365" t="s">
        <v>263</v>
      </c>
      <c r="E173" s="335" t="s">
        <v>264</v>
      </c>
      <c r="F173" s="337">
        <f t="shared" si="78"/>
        <v>540210000</v>
      </c>
      <c r="G173" s="72">
        <f>+G174</f>
        <v>0</v>
      </c>
      <c r="H173" s="72">
        <f>+H174</f>
        <v>0</v>
      </c>
      <c r="I173" s="72">
        <f>+G173+H173</f>
        <v>0</v>
      </c>
      <c r="J173" s="72">
        <f t="shared" si="79"/>
        <v>96200000</v>
      </c>
      <c r="K173" s="72">
        <f t="shared" si="79"/>
        <v>47800000</v>
      </c>
      <c r="L173" s="72">
        <f>+J173+K173</f>
        <v>144000000</v>
      </c>
      <c r="M173" s="72">
        <f t="shared" si="80"/>
        <v>144000000</v>
      </c>
      <c r="N173" s="53">
        <f>+F173-M173</f>
        <v>396210000</v>
      </c>
      <c r="P173" s="195"/>
      <c r="S173" s="282"/>
      <c r="T173" s="282"/>
      <c r="U173" s="243"/>
    </row>
    <row r="174" spans="1:21" s="67" customFormat="1" ht="18" customHeight="1" x14ac:dyDescent="0.25">
      <c r="A174" s="380"/>
      <c r="B174" s="352"/>
      <c r="C174" s="334"/>
      <c r="D174" s="335" t="s">
        <v>64</v>
      </c>
      <c r="E174" s="335" t="s">
        <v>65</v>
      </c>
      <c r="F174" s="337">
        <f>SUM(F175:F177)</f>
        <v>540210000</v>
      </c>
      <c r="G174" s="59">
        <f>SUM(G175:G177)</f>
        <v>0</v>
      </c>
      <c r="H174" s="59">
        <f>SUM(H175:H177)</f>
        <v>0</v>
      </c>
      <c r="I174" s="59">
        <f>+G174+H174</f>
        <v>0</v>
      </c>
      <c r="J174" s="59">
        <f>SUM(J175:J177)</f>
        <v>96200000</v>
      </c>
      <c r="K174" s="59">
        <f>SUM(K175:K177)</f>
        <v>47800000</v>
      </c>
      <c r="L174" s="59">
        <f>+J174+K174</f>
        <v>144000000</v>
      </c>
      <c r="M174" s="59">
        <f t="shared" si="80"/>
        <v>144000000</v>
      </c>
      <c r="N174" s="58">
        <f>+F174-M174</f>
        <v>396210000</v>
      </c>
      <c r="P174" s="192"/>
      <c r="S174" s="282"/>
      <c r="T174" s="282"/>
      <c r="U174" s="249"/>
    </row>
    <row r="175" spans="1:21" s="86" customFormat="1" ht="18" customHeight="1" x14ac:dyDescent="0.25">
      <c r="A175" s="380"/>
      <c r="B175" s="352"/>
      <c r="C175" s="334"/>
      <c r="D175" s="335" t="s">
        <v>388</v>
      </c>
      <c r="E175" s="335" t="s">
        <v>389</v>
      </c>
      <c r="F175" s="337">
        <v>57760000</v>
      </c>
      <c r="G175" s="75"/>
      <c r="H175" s="75"/>
      <c r="I175" s="75">
        <f t="shared" ref="I175" si="81">+G175+H175</f>
        <v>0</v>
      </c>
      <c r="J175" s="75">
        <v>11450000</v>
      </c>
      <c r="K175" s="75">
        <v>2000000</v>
      </c>
      <c r="L175" s="75">
        <f t="shared" ref="L175:L177" si="82">+J175+K175</f>
        <v>13450000</v>
      </c>
      <c r="M175" s="75">
        <f>+I175+L175</f>
        <v>13450000</v>
      </c>
      <c r="N175" s="63">
        <f t="shared" ref="N175:N177" si="83">+F175-M175</f>
        <v>44310000</v>
      </c>
      <c r="P175" s="194"/>
      <c r="S175" s="281">
        <v>2000000</v>
      </c>
      <c r="T175" s="282"/>
      <c r="U175" s="250"/>
    </row>
    <row r="176" spans="1:21" s="86" customFormat="1" ht="18" customHeight="1" x14ac:dyDescent="0.25">
      <c r="A176" s="380"/>
      <c r="B176" s="352"/>
      <c r="C176" s="334"/>
      <c r="D176" s="335" t="s">
        <v>70</v>
      </c>
      <c r="E176" s="335" t="s">
        <v>33</v>
      </c>
      <c r="F176" s="337">
        <v>382450000</v>
      </c>
      <c r="G176" s="75"/>
      <c r="H176" s="75"/>
      <c r="I176" s="75">
        <f>+G176+H176</f>
        <v>0</v>
      </c>
      <c r="J176" s="75">
        <v>84750000</v>
      </c>
      <c r="K176" s="75">
        <f>16350000+15950000+2500000+2500000+2500000+2500000+3500000</f>
        <v>45800000</v>
      </c>
      <c r="L176" s="75">
        <f t="shared" si="82"/>
        <v>130550000</v>
      </c>
      <c r="M176" s="75">
        <f t="shared" ref="M176:M177" si="84">+I176+L176</f>
        <v>130550000</v>
      </c>
      <c r="N176" s="63">
        <f t="shared" si="83"/>
        <v>251900000</v>
      </c>
      <c r="P176" s="194"/>
      <c r="S176" s="281">
        <f>15950000+2500000+2500000+2500000+2500000+3500000+16350000</f>
        <v>45800000</v>
      </c>
      <c r="T176" s="282"/>
      <c r="U176" s="250"/>
    </row>
    <row r="177" spans="1:21" s="144" customFormat="1" ht="18" customHeight="1" x14ac:dyDescent="0.25">
      <c r="A177" s="386"/>
      <c r="B177" s="387"/>
      <c r="C177" s="353"/>
      <c r="D177" s="355" t="s">
        <v>104</v>
      </c>
      <c r="E177" s="355" t="s">
        <v>390</v>
      </c>
      <c r="F177" s="356">
        <v>100000000</v>
      </c>
      <c r="G177" s="140"/>
      <c r="H177" s="140"/>
      <c r="I177" s="140"/>
      <c r="J177" s="140">
        <v>0</v>
      </c>
      <c r="K177" s="140"/>
      <c r="L177" s="140">
        <f t="shared" si="82"/>
        <v>0</v>
      </c>
      <c r="M177" s="140">
        <f t="shared" si="84"/>
        <v>0</v>
      </c>
      <c r="N177" s="125">
        <f t="shared" si="83"/>
        <v>100000000</v>
      </c>
      <c r="P177" s="196"/>
      <c r="S177" s="286"/>
      <c r="T177" s="286"/>
      <c r="U177" s="252"/>
    </row>
    <row r="178" spans="1:21" s="121" customFormat="1" ht="18" customHeight="1" x14ac:dyDescent="0.25">
      <c r="A178" s="276">
        <v>8</v>
      </c>
      <c r="B178" s="305"/>
      <c r="C178" s="390" t="s">
        <v>105</v>
      </c>
      <c r="D178" s="363"/>
      <c r="E178" s="364" t="s">
        <v>106</v>
      </c>
      <c r="F178" s="307">
        <f t="shared" ref="F178:H185" si="85">+F179</f>
        <v>1600450000</v>
      </c>
      <c r="G178" s="120">
        <f t="shared" si="85"/>
        <v>296175000</v>
      </c>
      <c r="H178" s="120">
        <f>+H179</f>
        <v>0</v>
      </c>
      <c r="I178" s="120">
        <f>+G178+H178</f>
        <v>296175000</v>
      </c>
      <c r="J178" s="120">
        <f t="shared" ref="J178:K185" si="86">+J179</f>
        <v>65405700</v>
      </c>
      <c r="K178" s="120">
        <f t="shared" si="86"/>
        <v>35606098</v>
      </c>
      <c r="L178" s="120">
        <f>+J178+K178</f>
        <v>101011798</v>
      </c>
      <c r="M178" s="120">
        <f>+I178+L178</f>
        <v>397186798</v>
      </c>
      <c r="N178" s="119">
        <f>+F178-M178</f>
        <v>1203263202</v>
      </c>
      <c r="P178" s="190"/>
      <c r="R178" s="122"/>
      <c r="S178" s="283"/>
      <c r="T178" s="283"/>
      <c r="U178" s="246"/>
    </row>
    <row r="179" spans="1:21" s="107" customFormat="1" ht="18" customHeight="1" x14ac:dyDescent="0.25">
      <c r="A179" s="323"/>
      <c r="B179" s="324"/>
      <c r="C179" s="379"/>
      <c r="D179" s="325" t="s">
        <v>207</v>
      </c>
      <c r="E179" s="326" t="s">
        <v>262</v>
      </c>
      <c r="F179" s="327">
        <f>+F180</f>
        <v>1600450000</v>
      </c>
      <c r="G179" s="106">
        <f t="shared" si="85"/>
        <v>296175000</v>
      </c>
      <c r="H179" s="106">
        <f t="shared" si="85"/>
        <v>0</v>
      </c>
      <c r="I179" s="106">
        <f>+G179+H179</f>
        <v>296175000</v>
      </c>
      <c r="J179" s="106">
        <f t="shared" si="86"/>
        <v>65405700</v>
      </c>
      <c r="K179" s="106">
        <f t="shared" si="86"/>
        <v>35606098</v>
      </c>
      <c r="L179" s="106">
        <f>+J179+K179</f>
        <v>101011798</v>
      </c>
      <c r="M179" s="106">
        <f t="shared" ref="M179:M187" si="87">+I179+L179</f>
        <v>397186798</v>
      </c>
      <c r="N179" s="105">
        <f>+F179-M179</f>
        <v>1203263202</v>
      </c>
      <c r="P179" s="191"/>
      <c r="R179" s="108"/>
      <c r="S179" s="284"/>
      <c r="T179" s="284"/>
      <c r="U179" s="241"/>
    </row>
    <row r="180" spans="1:21" s="67" customFormat="1" ht="18" customHeight="1" x14ac:dyDescent="0.25">
      <c r="A180" s="380"/>
      <c r="B180" s="352"/>
      <c r="C180" s="334"/>
      <c r="D180" s="335" t="s">
        <v>63</v>
      </c>
      <c r="E180" s="335" t="s">
        <v>30</v>
      </c>
      <c r="F180" s="337">
        <f>+F185+F181</f>
        <v>1600450000</v>
      </c>
      <c r="G180" s="70">
        <f>+G185</f>
        <v>296175000</v>
      </c>
      <c r="H180" s="70">
        <f>+H185+H181</f>
        <v>0</v>
      </c>
      <c r="I180" s="70">
        <f>+G180+H180</f>
        <v>296175000</v>
      </c>
      <c r="J180" s="70">
        <f>+J185+J181</f>
        <v>65405700</v>
      </c>
      <c r="K180" s="70">
        <f>+K185+K181</f>
        <v>35606098</v>
      </c>
      <c r="L180" s="70">
        <f>+J180+K180</f>
        <v>101011798</v>
      </c>
      <c r="M180" s="70">
        <f t="shared" si="87"/>
        <v>397186798</v>
      </c>
      <c r="N180" s="47">
        <f>+F180-M180</f>
        <v>1203263202</v>
      </c>
      <c r="P180" s="192"/>
      <c r="S180" s="282"/>
      <c r="T180" s="282"/>
      <c r="U180" s="249"/>
    </row>
    <row r="181" spans="1:21" s="55" customFormat="1" ht="18" customHeight="1" x14ac:dyDescent="0.25">
      <c r="A181" s="334"/>
      <c r="B181" s="335"/>
      <c r="C181" s="334"/>
      <c r="D181" s="365" t="s">
        <v>263</v>
      </c>
      <c r="E181" s="335" t="s">
        <v>264</v>
      </c>
      <c r="F181" s="337">
        <f>+F182</f>
        <v>32500000</v>
      </c>
      <c r="G181" s="72">
        <f>+G182</f>
        <v>0</v>
      </c>
      <c r="H181" s="72">
        <f>+H182</f>
        <v>0</v>
      </c>
      <c r="I181" s="72">
        <f>+G181+H181</f>
        <v>0</v>
      </c>
      <c r="J181" s="72">
        <f t="shared" si="86"/>
        <v>0</v>
      </c>
      <c r="K181" s="72">
        <f t="shared" si="86"/>
        <v>0</v>
      </c>
      <c r="L181" s="72">
        <f>+J181+K181</f>
        <v>0</v>
      </c>
      <c r="M181" s="72">
        <f t="shared" si="87"/>
        <v>0</v>
      </c>
      <c r="N181" s="53">
        <f>+F181-M181</f>
        <v>32500000</v>
      </c>
      <c r="P181" s="195"/>
      <c r="S181" s="282"/>
      <c r="T181" s="282"/>
      <c r="U181" s="243"/>
    </row>
    <row r="182" spans="1:21" s="67" customFormat="1" ht="18" customHeight="1" x14ac:dyDescent="0.25">
      <c r="A182" s="380"/>
      <c r="B182" s="352"/>
      <c r="C182" s="334"/>
      <c r="D182" s="335" t="s">
        <v>64</v>
      </c>
      <c r="E182" s="335" t="s">
        <v>65</v>
      </c>
      <c r="F182" s="337">
        <f>+F184+F183</f>
        <v>32500000</v>
      </c>
      <c r="G182" s="59">
        <f>+G184</f>
        <v>0</v>
      </c>
      <c r="H182" s="59">
        <f>SUM(H184)</f>
        <v>0</v>
      </c>
      <c r="I182" s="59">
        <f>+G182+H182</f>
        <v>0</v>
      </c>
      <c r="J182" s="59">
        <f>+J184</f>
        <v>0</v>
      </c>
      <c r="K182" s="59">
        <f>+K184</f>
        <v>0</v>
      </c>
      <c r="L182" s="59">
        <f>+J182+K182</f>
        <v>0</v>
      </c>
      <c r="M182" s="59">
        <f t="shared" si="87"/>
        <v>0</v>
      </c>
      <c r="N182" s="58">
        <f>+F182-M182</f>
        <v>32500000</v>
      </c>
      <c r="P182" s="192"/>
      <c r="S182" s="282"/>
      <c r="T182" s="282"/>
      <c r="U182" s="249"/>
    </row>
    <row r="183" spans="1:21" s="86" customFormat="1" ht="18" customHeight="1" x14ac:dyDescent="0.25">
      <c r="A183" s="380"/>
      <c r="B183" s="352"/>
      <c r="C183" s="334"/>
      <c r="D183" s="335" t="s">
        <v>443</v>
      </c>
      <c r="E183" s="335" t="s">
        <v>444</v>
      </c>
      <c r="F183" s="337">
        <v>17500000</v>
      </c>
      <c r="G183" s="75"/>
      <c r="H183" s="75"/>
      <c r="I183" s="75">
        <f t="shared" ref="I183:I184" si="88">+G183+H183</f>
        <v>0</v>
      </c>
      <c r="J183" s="75"/>
      <c r="K183" s="75"/>
      <c r="L183" s="75">
        <f t="shared" ref="L183:L184" si="89">+J183+K183</f>
        <v>0</v>
      </c>
      <c r="M183" s="75">
        <f t="shared" si="87"/>
        <v>0</v>
      </c>
      <c r="N183" s="63">
        <f t="shared" ref="N183:N184" si="90">+F183-M183</f>
        <v>17500000</v>
      </c>
      <c r="P183" s="194"/>
      <c r="S183" s="282"/>
      <c r="T183" s="282"/>
      <c r="U183" s="250"/>
    </row>
    <row r="184" spans="1:21" s="86" customFormat="1" ht="18" customHeight="1" x14ac:dyDescent="0.25">
      <c r="A184" s="380"/>
      <c r="B184" s="352"/>
      <c r="C184" s="334"/>
      <c r="D184" s="335" t="s">
        <v>447</v>
      </c>
      <c r="E184" s="335" t="s">
        <v>448</v>
      </c>
      <c r="F184" s="337">
        <v>15000000</v>
      </c>
      <c r="G184" s="75"/>
      <c r="H184" s="75"/>
      <c r="I184" s="75">
        <f t="shared" si="88"/>
        <v>0</v>
      </c>
      <c r="J184" s="75"/>
      <c r="K184" s="75"/>
      <c r="L184" s="75">
        <f t="shared" si="89"/>
        <v>0</v>
      </c>
      <c r="M184" s="75">
        <f t="shared" si="87"/>
        <v>0</v>
      </c>
      <c r="N184" s="63">
        <f t="shared" si="90"/>
        <v>15000000</v>
      </c>
      <c r="P184" s="194"/>
      <c r="S184" s="282"/>
      <c r="T184" s="282"/>
      <c r="U184" s="250"/>
    </row>
    <row r="185" spans="1:21" s="55" customFormat="1" ht="18" customHeight="1" x14ac:dyDescent="0.25">
      <c r="A185" s="334"/>
      <c r="B185" s="335"/>
      <c r="C185" s="334"/>
      <c r="D185" s="365" t="s">
        <v>265</v>
      </c>
      <c r="E185" s="335" t="s">
        <v>266</v>
      </c>
      <c r="F185" s="337">
        <f t="shared" si="85"/>
        <v>1567950000</v>
      </c>
      <c r="G185" s="72">
        <f>+G186</f>
        <v>296175000</v>
      </c>
      <c r="H185" s="72">
        <f>+H186</f>
        <v>0</v>
      </c>
      <c r="I185" s="72">
        <f>+G185+H185</f>
        <v>296175000</v>
      </c>
      <c r="J185" s="72">
        <f t="shared" si="86"/>
        <v>65405700</v>
      </c>
      <c r="K185" s="72">
        <f t="shared" si="86"/>
        <v>35606098</v>
      </c>
      <c r="L185" s="72">
        <f>+J185+K185</f>
        <v>101011798</v>
      </c>
      <c r="M185" s="72">
        <f t="shared" si="87"/>
        <v>397186798</v>
      </c>
      <c r="N185" s="53">
        <f>+F185-M185</f>
        <v>1170763202</v>
      </c>
      <c r="P185" s="195"/>
      <c r="S185" s="282"/>
      <c r="T185" s="282"/>
      <c r="U185" s="243"/>
    </row>
    <row r="186" spans="1:21" s="67" customFormat="1" ht="18" customHeight="1" x14ac:dyDescent="0.25">
      <c r="A186" s="380"/>
      <c r="B186" s="352"/>
      <c r="C186" s="334"/>
      <c r="D186" s="335" t="s">
        <v>71</v>
      </c>
      <c r="E186" s="335" t="s">
        <v>72</v>
      </c>
      <c r="F186" s="337">
        <f>SUM(F187:F188)</f>
        <v>1567950000</v>
      </c>
      <c r="G186" s="59">
        <f>SUM(G187:G188)</f>
        <v>296175000</v>
      </c>
      <c r="H186" s="59">
        <f>SUM(H187:H188)</f>
        <v>0</v>
      </c>
      <c r="I186" s="59">
        <f>+G186+H186</f>
        <v>296175000</v>
      </c>
      <c r="J186" s="59">
        <f>SUM(J187:J188)</f>
        <v>65405700</v>
      </c>
      <c r="K186" s="59">
        <f>SUM(K187:K188)</f>
        <v>35606098</v>
      </c>
      <c r="L186" s="59">
        <f>+J186+K186</f>
        <v>101011798</v>
      </c>
      <c r="M186" s="59">
        <f t="shared" si="87"/>
        <v>397186798</v>
      </c>
      <c r="N186" s="58">
        <f>+F186-M186</f>
        <v>1170763202</v>
      </c>
      <c r="P186" s="192"/>
      <c r="S186" s="282"/>
      <c r="T186" s="282"/>
      <c r="U186" s="249"/>
    </row>
    <row r="187" spans="1:21" s="86" customFormat="1" ht="18" customHeight="1" x14ac:dyDescent="0.25">
      <c r="A187" s="380"/>
      <c r="B187" s="352"/>
      <c r="C187" s="334"/>
      <c r="D187" s="335" t="s">
        <v>73</v>
      </c>
      <c r="E187" s="335" t="s">
        <v>74</v>
      </c>
      <c r="F187" s="337">
        <v>1501270000</v>
      </c>
      <c r="G187" s="75">
        <v>296175000</v>
      </c>
      <c r="H187" s="75"/>
      <c r="I187" s="75">
        <f t="shared" ref="I187" si="91">+G187+H187</f>
        <v>296175000</v>
      </c>
      <c r="J187" s="75">
        <v>55809700</v>
      </c>
      <c r="K187" s="75">
        <f>1480000+4282448+578000+1892000+4969000+866200+1330000+1456000+1514080+7794770+1350000+970000+970000</f>
        <v>29452498</v>
      </c>
      <c r="L187" s="75">
        <f t="shared" ref="L187:L198" si="92">+J187+K187</f>
        <v>85262198</v>
      </c>
      <c r="M187" s="75">
        <f t="shared" si="87"/>
        <v>381437198</v>
      </c>
      <c r="N187" s="63">
        <f t="shared" ref="N187:N188" si="93">+F187-M187</f>
        <v>1119832802</v>
      </c>
      <c r="P187" s="194"/>
      <c r="S187" s="240">
        <f>1480000+4282448+578000+1892000+4969000+866200+1330000+1456000+1514080+7794770+1350000+970000+970000</f>
        <v>29452498</v>
      </c>
      <c r="T187" s="282"/>
      <c r="U187" s="250"/>
    </row>
    <row r="188" spans="1:21" s="144" customFormat="1" ht="18" customHeight="1" x14ac:dyDescent="0.25">
      <c r="A188" s="386"/>
      <c r="B188" s="387"/>
      <c r="C188" s="353"/>
      <c r="D188" s="355" t="s">
        <v>88</v>
      </c>
      <c r="E188" s="355" t="s">
        <v>89</v>
      </c>
      <c r="F188" s="356">
        <v>66680000</v>
      </c>
      <c r="G188" s="140"/>
      <c r="H188" s="140"/>
      <c r="I188" s="140"/>
      <c r="J188" s="140">
        <v>9596000</v>
      </c>
      <c r="K188" s="140">
        <f>200000+5553600+200000+200000</f>
        <v>6153600</v>
      </c>
      <c r="L188" s="140">
        <f t="shared" si="92"/>
        <v>15749600</v>
      </c>
      <c r="M188" s="140">
        <f>+I188+L188</f>
        <v>15749600</v>
      </c>
      <c r="N188" s="125">
        <f t="shared" si="93"/>
        <v>50930400</v>
      </c>
      <c r="P188" s="196"/>
      <c r="S188" s="467">
        <f>600000+5553600</f>
        <v>6153600</v>
      </c>
      <c r="T188" s="286"/>
      <c r="U188" s="252"/>
    </row>
    <row r="189" spans="1:21" s="121" customFormat="1" ht="18" customHeight="1" x14ac:dyDescent="0.25">
      <c r="A189" s="276">
        <v>9</v>
      </c>
      <c r="B189" s="305"/>
      <c r="C189" s="390" t="s">
        <v>109</v>
      </c>
      <c r="D189" s="363"/>
      <c r="E189" s="364" t="s">
        <v>110</v>
      </c>
      <c r="F189" s="307">
        <f>+F190+F206</f>
        <v>200844000</v>
      </c>
      <c r="G189" s="120">
        <f>+G190+G206</f>
        <v>0</v>
      </c>
      <c r="H189" s="120">
        <f>+H190+H206</f>
        <v>0</v>
      </c>
      <c r="I189" s="120">
        <f>+G189+H189</f>
        <v>0</v>
      </c>
      <c r="J189" s="120">
        <f>+J190+J206</f>
        <v>18880000</v>
      </c>
      <c r="K189" s="120">
        <f>+K190+K206</f>
        <v>12800000</v>
      </c>
      <c r="L189" s="120">
        <f t="shared" si="92"/>
        <v>31680000</v>
      </c>
      <c r="M189" s="120">
        <f>+I189+L189</f>
        <v>31680000</v>
      </c>
      <c r="N189" s="119">
        <f>+F189-M189</f>
        <v>169164000</v>
      </c>
      <c r="P189" s="190"/>
      <c r="R189" s="122"/>
      <c r="S189" s="283"/>
      <c r="T189" s="283"/>
      <c r="U189" s="246"/>
    </row>
    <row r="190" spans="1:21" s="107" customFormat="1" ht="18" customHeight="1" x14ac:dyDescent="0.25">
      <c r="A190" s="323"/>
      <c r="B190" s="324"/>
      <c r="C190" s="379"/>
      <c r="D190" s="325" t="s">
        <v>207</v>
      </c>
      <c r="E190" s="326" t="s">
        <v>262</v>
      </c>
      <c r="F190" s="327">
        <f>+F191</f>
        <v>174844000</v>
      </c>
      <c r="G190" s="106">
        <f>+G191</f>
        <v>0</v>
      </c>
      <c r="H190" s="106">
        <f>+H191</f>
        <v>0</v>
      </c>
      <c r="I190" s="106">
        <f>+G190+H190</f>
        <v>0</v>
      </c>
      <c r="J190" s="106">
        <f>+J191</f>
        <v>18880000</v>
      </c>
      <c r="K190" s="106">
        <f>+K191</f>
        <v>12800000</v>
      </c>
      <c r="L190" s="106">
        <f t="shared" si="92"/>
        <v>31680000</v>
      </c>
      <c r="M190" s="106">
        <f>+I190+L190</f>
        <v>31680000</v>
      </c>
      <c r="N190" s="105">
        <f>+F190-M190</f>
        <v>143164000</v>
      </c>
      <c r="P190" s="191"/>
      <c r="R190" s="108"/>
      <c r="S190" s="284"/>
      <c r="T190" s="284"/>
      <c r="U190" s="241"/>
    </row>
    <row r="191" spans="1:21" s="67" customFormat="1" ht="18" customHeight="1" x14ac:dyDescent="0.25">
      <c r="A191" s="380"/>
      <c r="B191" s="352"/>
      <c r="C191" s="334"/>
      <c r="D191" s="335" t="s">
        <v>63</v>
      </c>
      <c r="E191" s="335" t="s">
        <v>30</v>
      </c>
      <c r="F191" s="337">
        <f>+F192+F199+F203</f>
        <v>174844000</v>
      </c>
      <c r="G191" s="70">
        <f>+G192+G199</f>
        <v>0</v>
      </c>
      <c r="H191" s="70">
        <f>+H192+H199</f>
        <v>0</v>
      </c>
      <c r="I191" s="70">
        <f>+G191+H191</f>
        <v>0</v>
      </c>
      <c r="J191" s="70">
        <f>+J192+J199</f>
        <v>18880000</v>
      </c>
      <c r="K191" s="70">
        <f>+K192+K199</f>
        <v>12800000</v>
      </c>
      <c r="L191" s="70">
        <f t="shared" si="92"/>
        <v>31680000</v>
      </c>
      <c r="M191" s="70">
        <f t="shared" ref="M191:M201" si="94">+I191+L191</f>
        <v>31680000</v>
      </c>
      <c r="N191" s="47">
        <f>+F191-M191</f>
        <v>143164000</v>
      </c>
      <c r="P191" s="192"/>
      <c r="S191" s="282"/>
      <c r="T191" s="282"/>
      <c r="U191" s="249"/>
    </row>
    <row r="192" spans="1:21" s="55" customFormat="1" ht="18" customHeight="1" x14ac:dyDescent="0.25">
      <c r="A192" s="334"/>
      <c r="B192" s="335"/>
      <c r="C192" s="334"/>
      <c r="D192" s="365" t="s">
        <v>263</v>
      </c>
      <c r="E192" s="335" t="s">
        <v>264</v>
      </c>
      <c r="F192" s="337">
        <f t="shared" ref="F192" si="95">+F193</f>
        <v>44044000</v>
      </c>
      <c r="G192" s="72">
        <f>+G193</f>
        <v>0</v>
      </c>
      <c r="H192" s="72">
        <f>+H193</f>
        <v>0</v>
      </c>
      <c r="I192" s="72">
        <f>+G192+H192</f>
        <v>0</v>
      </c>
      <c r="J192" s="72">
        <f>+J193</f>
        <v>0</v>
      </c>
      <c r="K192" s="72">
        <f>+K193</f>
        <v>0</v>
      </c>
      <c r="L192" s="72">
        <f t="shared" si="92"/>
        <v>0</v>
      </c>
      <c r="M192" s="72">
        <f t="shared" si="94"/>
        <v>0</v>
      </c>
      <c r="N192" s="53">
        <f>+F192-M192</f>
        <v>44044000</v>
      </c>
      <c r="P192" s="195"/>
      <c r="S192" s="282"/>
      <c r="T192" s="282"/>
      <c r="U192" s="243"/>
    </row>
    <row r="193" spans="1:21" s="67" customFormat="1" ht="18" customHeight="1" x14ac:dyDescent="0.25">
      <c r="A193" s="380"/>
      <c r="B193" s="352"/>
      <c r="C193" s="334"/>
      <c r="D193" s="335" t="s">
        <v>64</v>
      </c>
      <c r="E193" s="335" t="s">
        <v>65</v>
      </c>
      <c r="F193" s="337">
        <f>SUM(F194:F198)</f>
        <v>44044000</v>
      </c>
      <c r="G193" s="59">
        <f>SUM(G194:G198)</f>
        <v>0</v>
      </c>
      <c r="H193" s="59">
        <f>SUM(H194:H198)</f>
        <v>0</v>
      </c>
      <c r="I193" s="59">
        <f>+G193+H193</f>
        <v>0</v>
      </c>
      <c r="J193" s="59">
        <f>SUM(J194:J198)</f>
        <v>0</v>
      </c>
      <c r="K193" s="59">
        <f>SUM(K194:K198)</f>
        <v>0</v>
      </c>
      <c r="L193" s="59">
        <f t="shared" si="92"/>
        <v>0</v>
      </c>
      <c r="M193" s="59">
        <f t="shared" si="94"/>
        <v>0</v>
      </c>
      <c r="N193" s="58">
        <f>+F193-M193</f>
        <v>44044000</v>
      </c>
      <c r="P193" s="192"/>
      <c r="S193" s="282"/>
      <c r="T193" s="282"/>
      <c r="U193" s="249"/>
    </row>
    <row r="194" spans="1:21" s="86" customFormat="1" ht="18" customHeight="1" x14ac:dyDescent="0.25">
      <c r="A194" s="380"/>
      <c r="B194" s="352"/>
      <c r="C194" s="334"/>
      <c r="D194" s="335" t="s">
        <v>66</v>
      </c>
      <c r="E194" s="335" t="s">
        <v>67</v>
      </c>
      <c r="F194" s="337">
        <v>24037500</v>
      </c>
      <c r="G194" s="75"/>
      <c r="H194" s="75"/>
      <c r="I194" s="75">
        <f t="shared" ref="I194" si="96">+G194+H194</f>
        <v>0</v>
      </c>
      <c r="J194" s="75"/>
      <c r="K194" s="75"/>
      <c r="L194" s="75">
        <f t="shared" si="92"/>
        <v>0</v>
      </c>
      <c r="M194" s="140">
        <f t="shared" si="94"/>
        <v>0</v>
      </c>
      <c r="N194" s="63">
        <f t="shared" ref="N194:N198" si="97">+F194-M194</f>
        <v>24037500</v>
      </c>
      <c r="P194" s="194"/>
      <c r="S194" s="282"/>
      <c r="T194" s="282"/>
      <c r="U194" s="250"/>
    </row>
    <row r="195" spans="1:21" s="86" customFormat="1" ht="18" customHeight="1" x14ac:dyDescent="0.25">
      <c r="A195" s="380"/>
      <c r="B195" s="352"/>
      <c r="C195" s="334"/>
      <c r="D195" s="335" t="s">
        <v>337</v>
      </c>
      <c r="E195" s="335" t="s">
        <v>338</v>
      </c>
      <c r="F195" s="337">
        <v>12104000</v>
      </c>
      <c r="G195" s="75"/>
      <c r="H195" s="75"/>
      <c r="I195" s="75"/>
      <c r="J195" s="75"/>
      <c r="K195" s="75"/>
      <c r="L195" s="75">
        <f t="shared" si="92"/>
        <v>0</v>
      </c>
      <c r="M195" s="140">
        <f t="shared" si="94"/>
        <v>0</v>
      </c>
      <c r="N195" s="63">
        <f t="shared" si="97"/>
        <v>12104000</v>
      </c>
      <c r="P195" s="194"/>
      <c r="S195" s="282"/>
      <c r="T195" s="282"/>
      <c r="U195" s="250"/>
    </row>
    <row r="196" spans="1:21" s="86" customFormat="1" ht="18" customHeight="1" x14ac:dyDescent="0.25">
      <c r="A196" s="380"/>
      <c r="B196" s="352"/>
      <c r="C196" s="334"/>
      <c r="D196" s="335" t="s">
        <v>367</v>
      </c>
      <c r="E196" s="335" t="s">
        <v>368</v>
      </c>
      <c r="F196" s="337">
        <v>3142500</v>
      </c>
      <c r="G196" s="75"/>
      <c r="H196" s="75"/>
      <c r="I196" s="75"/>
      <c r="J196" s="75"/>
      <c r="K196" s="75"/>
      <c r="L196" s="75">
        <f t="shared" si="92"/>
        <v>0</v>
      </c>
      <c r="M196" s="140">
        <f t="shared" si="94"/>
        <v>0</v>
      </c>
      <c r="N196" s="63">
        <f t="shared" si="97"/>
        <v>3142500</v>
      </c>
      <c r="P196" s="194"/>
      <c r="S196" s="282"/>
      <c r="T196" s="282"/>
      <c r="U196" s="250"/>
    </row>
    <row r="197" spans="1:21" s="86" customFormat="1" ht="18" customHeight="1" x14ac:dyDescent="0.25">
      <c r="A197" s="380"/>
      <c r="B197" s="352"/>
      <c r="C197" s="334"/>
      <c r="D197" s="335" t="s">
        <v>373</v>
      </c>
      <c r="E197" s="335" t="s">
        <v>392</v>
      </c>
      <c r="F197" s="337">
        <v>560000</v>
      </c>
      <c r="G197" s="75"/>
      <c r="H197" s="75"/>
      <c r="I197" s="75"/>
      <c r="J197" s="75"/>
      <c r="K197" s="75"/>
      <c r="L197" s="75">
        <f t="shared" si="92"/>
        <v>0</v>
      </c>
      <c r="M197" s="140">
        <f t="shared" si="94"/>
        <v>0</v>
      </c>
      <c r="N197" s="63">
        <f t="shared" si="97"/>
        <v>560000</v>
      </c>
      <c r="P197" s="194"/>
      <c r="S197" s="282"/>
      <c r="T197" s="282"/>
      <c r="U197" s="250"/>
    </row>
    <row r="198" spans="1:21" s="86" customFormat="1" ht="18" customHeight="1" x14ac:dyDescent="0.25">
      <c r="A198" s="380"/>
      <c r="B198" s="352"/>
      <c r="C198" s="334"/>
      <c r="D198" s="335" t="s">
        <v>70</v>
      </c>
      <c r="E198" s="335" t="s">
        <v>33</v>
      </c>
      <c r="F198" s="337">
        <v>4200000</v>
      </c>
      <c r="G198" s="75"/>
      <c r="H198" s="75"/>
      <c r="I198" s="75"/>
      <c r="J198" s="75"/>
      <c r="K198" s="75"/>
      <c r="L198" s="75">
        <f t="shared" si="92"/>
        <v>0</v>
      </c>
      <c r="M198" s="140">
        <f t="shared" si="94"/>
        <v>0</v>
      </c>
      <c r="N198" s="63">
        <f t="shared" si="97"/>
        <v>4200000</v>
      </c>
      <c r="P198" s="194"/>
      <c r="S198" s="282"/>
      <c r="T198" s="282"/>
      <c r="U198" s="250"/>
    </row>
    <row r="199" spans="1:21" s="55" customFormat="1" ht="18" customHeight="1" x14ac:dyDescent="0.25">
      <c r="A199" s="334"/>
      <c r="B199" s="335"/>
      <c r="C199" s="334"/>
      <c r="D199" s="365" t="s">
        <v>271</v>
      </c>
      <c r="E199" s="335" t="s">
        <v>272</v>
      </c>
      <c r="F199" s="337">
        <f t="shared" ref="F199" si="98">+F200</f>
        <v>78300000</v>
      </c>
      <c r="G199" s="72">
        <f>+G200</f>
        <v>0</v>
      </c>
      <c r="H199" s="72">
        <f>+H200</f>
        <v>0</v>
      </c>
      <c r="I199" s="72">
        <f>+G199+H199</f>
        <v>0</v>
      </c>
      <c r="J199" s="72">
        <f>+J200</f>
        <v>18880000</v>
      </c>
      <c r="K199" s="72">
        <f>+K200</f>
        <v>12800000</v>
      </c>
      <c r="L199" s="72">
        <f>+J199+K199</f>
        <v>31680000</v>
      </c>
      <c r="M199" s="72">
        <f t="shared" si="94"/>
        <v>31680000</v>
      </c>
      <c r="N199" s="53">
        <f>+F199-M199</f>
        <v>46620000</v>
      </c>
      <c r="P199" s="195"/>
      <c r="S199" s="282"/>
      <c r="T199" s="282"/>
      <c r="U199" s="243"/>
    </row>
    <row r="200" spans="1:21" s="67" customFormat="1" ht="18" customHeight="1" x14ac:dyDescent="0.25">
      <c r="A200" s="380"/>
      <c r="B200" s="352"/>
      <c r="C200" s="334"/>
      <c r="D200" s="335" t="s">
        <v>81</v>
      </c>
      <c r="E200" s="335" t="s">
        <v>31</v>
      </c>
      <c r="F200" s="337">
        <f>SUM(F201:F202)</f>
        <v>78300000</v>
      </c>
      <c r="G200" s="59">
        <f>SUM(G202:G202)</f>
        <v>0</v>
      </c>
      <c r="H200" s="59">
        <f>+H202</f>
        <v>0</v>
      </c>
      <c r="I200" s="59">
        <f>+G200+H200</f>
        <v>0</v>
      </c>
      <c r="J200" s="59">
        <f>SUM(J202:J202)</f>
        <v>18880000</v>
      </c>
      <c r="K200" s="59">
        <f>+K202</f>
        <v>12800000</v>
      </c>
      <c r="L200" s="59">
        <f>+J200+K200</f>
        <v>31680000</v>
      </c>
      <c r="M200" s="59">
        <f t="shared" si="94"/>
        <v>31680000</v>
      </c>
      <c r="N200" s="58">
        <f>+F200-M200</f>
        <v>46620000</v>
      </c>
      <c r="P200" s="192"/>
      <c r="S200" s="282"/>
      <c r="T200" s="282"/>
      <c r="U200" s="249"/>
    </row>
    <row r="201" spans="1:21" s="86" customFormat="1" ht="18" customHeight="1" x14ac:dyDescent="0.25">
      <c r="A201" s="380"/>
      <c r="B201" s="352"/>
      <c r="C201" s="334"/>
      <c r="D201" s="335" t="s">
        <v>451</v>
      </c>
      <c r="E201" s="335" t="s">
        <v>452</v>
      </c>
      <c r="F201" s="337">
        <v>1500000</v>
      </c>
      <c r="G201" s="75"/>
      <c r="H201" s="75"/>
      <c r="I201" s="75">
        <f t="shared" ref="I201" si="99">+G201+H201</f>
        <v>0</v>
      </c>
      <c r="J201" s="75"/>
      <c r="K201" s="75"/>
      <c r="L201" s="75">
        <f t="shared" ref="L201" si="100">+J201+K201</f>
        <v>0</v>
      </c>
      <c r="M201" s="75">
        <f t="shared" si="94"/>
        <v>0</v>
      </c>
      <c r="N201" s="63">
        <f t="shared" ref="N201:N202" si="101">+F201-M201</f>
        <v>1500000</v>
      </c>
      <c r="P201" s="194"/>
      <c r="S201" s="282"/>
      <c r="T201" s="282"/>
      <c r="U201" s="250"/>
    </row>
    <row r="202" spans="1:21" s="86" customFormat="1" ht="18" customHeight="1" x14ac:dyDescent="0.25">
      <c r="A202" s="380"/>
      <c r="B202" s="352"/>
      <c r="C202" s="334"/>
      <c r="D202" s="335" t="s">
        <v>82</v>
      </c>
      <c r="E202" s="335" t="s">
        <v>83</v>
      </c>
      <c r="F202" s="337">
        <v>76800000</v>
      </c>
      <c r="G202" s="75"/>
      <c r="H202" s="75"/>
      <c r="I202" s="75">
        <f>+G202+H202</f>
        <v>0</v>
      </c>
      <c r="J202" s="75">
        <v>18880000</v>
      </c>
      <c r="K202" s="75">
        <f>6400000+6400000</f>
        <v>12800000</v>
      </c>
      <c r="L202" s="75">
        <f>+J202+K202</f>
        <v>31680000</v>
      </c>
      <c r="M202" s="75">
        <f>+I202+L202</f>
        <v>31680000</v>
      </c>
      <c r="N202" s="63">
        <f t="shared" si="101"/>
        <v>45120000</v>
      </c>
      <c r="P202" s="194"/>
      <c r="S202" s="281">
        <f>6400000+6400000</f>
        <v>12800000</v>
      </c>
      <c r="T202" s="282"/>
      <c r="U202" s="250"/>
    </row>
    <row r="203" spans="1:21" s="55" customFormat="1" ht="18" customHeight="1" x14ac:dyDescent="0.25">
      <c r="A203" s="334"/>
      <c r="B203" s="335"/>
      <c r="C203" s="334"/>
      <c r="D203" s="365" t="s">
        <v>275</v>
      </c>
      <c r="E203" s="335" t="s">
        <v>276</v>
      </c>
      <c r="F203" s="337">
        <f>+F204</f>
        <v>52500000</v>
      </c>
      <c r="G203" s="72">
        <f>+G204</f>
        <v>0</v>
      </c>
      <c r="H203" s="72">
        <f>+H204</f>
        <v>0</v>
      </c>
      <c r="I203" s="72">
        <f>+G203+H203</f>
        <v>0</v>
      </c>
      <c r="J203" s="72">
        <f>+J204</f>
        <v>0</v>
      </c>
      <c r="K203" s="72">
        <f>+K204</f>
        <v>0</v>
      </c>
      <c r="L203" s="72">
        <f>+J203+K203</f>
        <v>0</v>
      </c>
      <c r="M203" s="72">
        <f t="shared" ref="M203:M210" si="102">+I203+L203</f>
        <v>0</v>
      </c>
      <c r="N203" s="53">
        <f>+F203-M203</f>
        <v>52500000</v>
      </c>
      <c r="P203" s="195"/>
      <c r="S203" s="282"/>
      <c r="T203" s="282"/>
      <c r="U203" s="243"/>
    </row>
    <row r="204" spans="1:21" s="67" customFormat="1" ht="18" customHeight="1" x14ac:dyDescent="0.25">
      <c r="A204" s="380"/>
      <c r="B204" s="352"/>
      <c r="C204" s="334"/>
      <c r="D204" s="335" t="s">
        <v>150</v>
      </c>
      <c r="E204" s="335" t="s">
        <v>32</v>
      </c>
      <c r="F204" s="337">
        <f>+F205</f>
        <v>52500000</v>
      </c>
      <c r="G204" s="59">
        <f>SUM(G206:G206)</f>
        <v>0</v>
      </c>
      <c r="H204" s="59">
        <f>+H206</f>
        <v>0</v>
      </c>
      <c r="I204" s="59">
        <f>+G204+H204</f>
        <v>0</v>
      </c>
      <c r="J204" s="59">
        <f>SUM(J206:J206)</f>
        <v>0</v>
      </c>
      <c r="K204" s="59">
        <f>+K206</f>
        <v>0</v>
      </c>
      <c r="L204" s="59">
        <f>+J204+K204</f>
        <v>0</v>
      </c>
      <c r="M204" s="59">
        <f t="shared" si="102"/>
        <v>0</v>
      </c>
      <c r="N204" s="58">
        <f>+F204-M204</f>
        <v>52500000</v>
      </c>
      <c r="P204" s="192"/>
      <c r="S204" s="282"/>
      <c r="T204" s="282"/>
      <c r="U204" s="249"/>
    </row>
    <row r="205" spans="1:21" s="86" customFormat="1" ht="36" customHeight="1" x14ac:dyDescent="0.25">
      <c r="A205" s="380"/>
      <c r="B205" s="352"/>
      <c r="C205" s="334"/>
      <c r="D205" s="335" t="s">
        <v>462</v>
      </c>
      <c r="E205" s="391" t="s">
        <v>463</v>
      </c>
      <c r="F205" s="337">
        <v>52500000</v>
      </c>
      <c r="G205" s="75"/>
      <c r="H205" s="75"/>
      <c r="I205" s="75">
        <f t="shared" ref="I205" si="103">+G205+H205</f>
        <v>0</v>
      </c>
      <c r="J205" s="75"/>
      <c r="K205" s="75"/>
      <c r="L205" s="75">
        <f t="shared" ref="L205" si="104">+J205+K205</f>
        <v>0</v>
      </c>
      <c r="M205" s="75">
        <f t="shared" si="102"/>
        <v>0</v>
      </c>
      <c r="N205" s="63">
        <f t="shared" ref="N205" si="105">+F205-M205</f>
        <v>52500000</v>
      </c>
      <c r="P205" s="194"/>
      <c r="S205" s="282"/>
      <c r="T205" s="282"/>
      <c r="U205" s="250"/>
    </row>
    <row r="206" spans="1:21" s="42" customFormat="1" ht="18" customHeight="1" x14ac:dyDescent="0.25">
      <c r="A206" s="380"/>
      <c r="B206" s="383"/>
      <c r="C206" s="384"/>
      <c r="D206" s="365" t="s">
        <v>267</v>
      </c>
      <c r="E206" s="335" t="s">
        <v>268</v>
      </c>
      <c r="F206" s="337">
        <f t="shared" ref="F206:H208" si="106">+F207</f>
        <v>26000000</v>
      </c>
      <c r="G206" s="41">
        <f t="shared" si="106"/>
        <v>0</v>
      </c>
      <c r="H206" s="41">
        <f t="shared" si="106"/>
        <v>0</v>
      </c>
      <c r="I206" s="41">
        <f>+G206+H206</f>
        <v>0</v>
      </c>
      <c r="J206" s="41">
        <f t="shared" ref="J206:K209" si="107">+J207</f>
        <v>0</v>
      </c>
      <c r="K206" s="41">
        <f t="shared" si="107"/>
        <v>0</v>
      </c>
      <c r="L206" s="41">
        <f>+J206+K206</f>
        <v>0</v>
      </c>
      <c r="M206" s="41">
        <f t="shared" si="102"/>
        <v>0</v>
      </c>
      <c r="N206" s="40">
        <f>+F206-M206</f>
        <v>26000000</v>
      </c>
      <c r="P206" s="199"/>
      <c r="R206" s="43"/>
      <c r="S206" s="282"/>
      <c r="T206" s="282"/>
      <c r="U206" s="251"/>
    </row>
    <row r="207" spans="1:21" s="67" customFormat="1" ht="18" customHeight="1" x14ac:dyDescent="0.25">
      <c r="A207" s="380"/>
      <c r="B207" s="352"/>
      <c r="C207" s="334"/>
      <c r="D207" s="335" t="s">
        <v>78</v>
      </c>
      <c r="E207" s="335" t="s">
        <v>75</v>
      </c>
      <c r="F207" s="337">
        <f t="shared" si="106"/>
        <v>26000000</v>
      </c>
      <c r="G207" s="70">
        <f t="shared" si="106"/>
        <v>0</v>
      </c>
      <c r="H207" s="70">
        <f t="shared" si="106"/>
        <v>0</v>
      </c>
      <c r="I207" s="70">
        <f t="shared" ref="I207:I210" si="108">+G207+H207</f>
        <v>0</v>
      </c>
      <c r="J207" s="70">
        <f t="shared" si="107"/>
        <v>0</v>
      </c>
      <c r="K207" s="70">
        <f t="shared" si="107"/>
        <v>0</v>
      </c>
      <c r="L207" s="70">
        <f t="shared" ref="L207:L208" si="109">+J207+K207</f>
        <v>0</v>
      </c>
      <c r="M207" s="70">
        <f t="shared" si="102"/>
        <v>0</v>
      </c>
      <c r="N207" s="47">
        <f>+F207-M207</f>
        <v>26000000</v>
      </c>
      <c r="P207" s="192"/>
      <c r="S207" s="282"/>
      <c r="T207" s="282"/>
      <c r="U207" s="249"/>
    </row>
    <row r="208" spans="1:21" s="55" customFormat="1" ht="18" customHeight="1" x14ac:dyDescent="0.25">
      <c r="A208" s="334"/>
      <c r="B208" s="335"/>
      <c r="C208" s="334"/>
      <c r="D208" s="365" t="s">
        <v>269</v>
      </c>
      <c r="E208" s="335" t="s">
        <v>270</v>
      </c>
      <c r="F208" s="337">
        <f t="shared" si="106"/>
        <v>26000000</v>
      </c>
      <c r="G208" s="72">
        <f>+G209</f>
        <v>0</v>
      </c>
      <c r="H208" s="72">
        <f>+H209</f>
        <v>0</v>
      </c>
      <c r="I208" s="72">
        <f t="shared" si="108"/>
        <v>0</v>
      </c>
      <c r="J208" s="72">
        <f t="shared" si="107"/>
        <v>0</v>
      </c>
      <c r="K208" s="72">
        <f t="shared" si="107"/>
        <v>0</v>
      </c>
      <c r="L208" s="72">
        <f t="shared" si="109"/>
        <v>0</v>
      </c>
      <c r="M208" s="72">
        <f t="shared" si="102"/>
        <v>0</v>
      </c>
      <c r="N208" s="53">
        <f>+F208-M208</f>
        <v>26000000</v>
      </c>
      <c r="P208" s="195"/>
      <c r="S208" s="282"/>
      <c r="T208" s="282"/>
      <c r="U208" s="243"/>
    </row>
    <row r="209" spans="1:21" s="67" customFormat="1" ht="18" customHeight="1" x14ac:dyDescent="0.25">
      <c r="A209" s="380"/>
      <c r="B209" s="352"/>
      <c r="C209" s="334"/>
      <c r="D209" s="335" t="s">
        <v>76</v>
      </c>
      <c r="E209" s="335" t="s">
        <v>77</v>
      </c>
      <c r="F209" s="337">
        <f>SUM(F210)</f>
        <v>26000000</v>
      </c>
      <c r="G209" s="59">
        <f>+G210</f>
        <v>0</v>
      </c>
      <c r="H209" s="59">
        <f>+H210</f>
        <v>0</v>
      </c>
      <c r="I209" s="59">
        <f>+G209+H209</f>
        <v>0</v>
      </c>
      <c r="J209" s="59">
        <f t="shared" si="107"/>
        <v>0</v>
      </c>
      <c r="K209" s="59">
        <f t="shared" si="107"/>
        <v>0</v>
      </c>
      <c r="L209" s="59">
        <f>+J209+K209</f>
        <v>0</v>
      </c>
      <c r="M209" s="59">
        <f t="shared" si="102"/>
        <v>0</v>
      </c>
      <c r="N209" s="58">
        <f>+F209-M209</f>
        <v>26000000</v>
      </c>
      <c r="P209" s="192"/>
      <c r="S209" s="282"/>
      <c r="T209" s="282"/>
      <c r="U209" s="249"/>
    </row>
    <row r="210" spans="1:21" s="144" customFormat="1" ht="18" customHeight="1" x14ac:dyDescent="0.25">
      <c r="A210" s="386"/>
      <c r="B210" s="387"/>
      <c r="C210" s="353"/>
      <c r="D210" s="355" t="s">
        <v>393</v>
      </c>
      <c r="E210" s="355" t="s">
        <v>394</v>
      </c>
      <c r="F210" s="356">
        <v>26000000</v>
      </c>
      <c r="G210" s="140"/>
      <c r="H210" s="140"/>
      <c r="I210" s="140">
        <f t="shared" si="108"/>
        <v>0</v>
      </c>
      <c r="J210" s="140"/>
      <c r="K210" s="140"/>
      <c r="L210" s="140">
        <f t="shared" ref="L210" si="110">+J210+K210</f>
        <v>0</v>
      </c>
      <c r="M210" s="140">
        <f t="shared" si="102"/>
        <v>0</v>
      </c>
      <c r="N210" s="125">
        <f t="shared" ref="N210" si="111">+F210-M210</f>
        <v>26000000</v>
      </c>
      <c r="P210" s="196"/>
      <c r="S210" s="286"/>
      <c r="T210" s="286"/>
      <c r="U210" s="252"/>
    </row>
    <row r="211" spans="1:21" s="121" customFormat="1" ht="18" customHeight="1" x14ac:dyDescent="0.25">
      <c r="A211" s="276">
        <v>10</v>
      </c>
      <c r="B211" s="305"/>
      <c r="C211" s="390" t="s">
        <v>112</v>
      </c>
      <c r="D211" s="363"/>
      <c r="E211" s="364" t="s">
        <v>113</v>
      </c>
      <c r="F211" s="307">
        <f>+F212+F226</f>
        <v>810211500</v>
      </c>
      <c r="G211" s="120">
        <f>G212+G226</f>
        <v>0</v>
      </c>
      <c r="H211" s="120">
        <f>H212+H226</f>
        <v>0</v>
      </c>
      <c r="I211" s="120">
        <f>+G211+H211</f>
        <v>0</v>
      </c>
      <c r="J211" s="120">
        <f>J212+J226</f>
        <v>8375000</v>
      </c>
      <c r="K211" s="120">
        <f>K212+K226</f>
        <v>3200000</v>
      </c>
      <c r="L211" s="120">
        <f>+J211+K211</f>
        <v>11575000</v>
      </c>
      <c r="M211" s="120">
        <f>+I211+L211</f>
        <v>11575000</v>
      </c>
      <c r="N211" s="119">
        <f>+F211-M211</f>
        <v>798636500</v>
      </c>
      <c r="P211" s="190"/>
      <c r="R211" s="122"/>
      <c r="S211" s="283"/>
      <c r="T211" s="283"/>
      <c r="U211" s="246"/>
    </row>
    <row r="212" spans="1:21" s="107" customFormat="1" ht="18" customHeight="1" x14ac:dyDescent="0.25">
      <c r="A212" s="323"/>
      <c r="B212" s="324"/>
      <c r="C212" s="379"/>
      <c r="D212" s="325" t="s">
        <v>207</v>
      </c>
      <c r="E212" s="326" t="s">
        <v>262</v>
      </c>
      <c r="F212" s="327">
        <f>+F213</f>
        <v>441471500</v>
      </c>
      <c r="G212" s="106">
        <f>+G213</f>
        <v>0</v>
      </c>
      <c r="H212" s="106">
        <f>+H213</f>
        <v>0</v>
      </c>
      <c r="I212" s="106">
        <f>+G212+H212</f>
        <v>0</v>
      </c>
      <c r="J212" s="106">
        <f>+J213</f>
        <v>8375000</v>
      </c>
      <c r="K212" s="106">
        <f>+K213</f>
        <v>3200000</v>
      </c>
      <c r="L212" s="106">
        <f>+J212+K212</f>
        <v>11575000</v>
      </c>
      <c r="M212" s="106">
        <f t="shared" ref="M212:M225" si="112">+I212+L212</f>
        <v>11575000</v>
      </c>
      <c r="N212" s="105">
        <f>+F212-M212</f>
        <v>429896500</v>
      </c>
      <c r="P212" s="191"/>
      <c r="R212" s="108"/>
      <c r="S212" s="284"/>
      <c r="T212" s="284"/>
      <c r="U212" s="241"/>
    </row>
    <row r="213" spans="1:21" s="67" customFormat="1" ht="18" customHeight="1" x14ac:dyDescent="0.25">
      <c r="A213" s="380"/>
      <c r="B213" s="352"/>
      <c r="C213" s="334"/>
      <c r="D213" s="335" t="s">
        <v>63</v>
      </c>
      <c r="E213" s="335" t="s">
        <v>30</v>
      </c>
      <c r="F213" s="337">
        <f>+F214+F217+F221</f>
        <v>441471500</v>
      </c>
      <c r="G213" s="70">
        <f>+G214+G217+G221</f>
        <v>0</v>
      </c>
      <c r="H213" s="70">
        <f>+H214+H217+H221</f>
        <v>0</v>
      </c>
      <c r="I213" s="70">
        <f t="shared" ref="I213:I223" si="113">+G213+H213</f>
        <v>0</v>
      </c>
      <c r="J213" s="70">
        <f>+J214+J217+J221</f>
        <v>8375000</v>
      </c>
      <c r="K213" s="70">
        <f>+K214+K217+K221</f>
        <v>3200000</v>
      </c>
      <c r="L213" s="70">
        <f t="shared" ref="L213:L214" si="114">+J213+K213</f>
        <v>11575000</v>
      </c>
      <c r="M213" s="70">
        <f t="shared" si="112"/>
        <v>11575000</v>
      </c>
      <c r="N213" s="47">
        <f>+F213-M213</f>
        <v>429896500</v>
      </c>
      <c r="P213" s="192"/>
      <c r="S213" s="282"/>
      <c r="T213" s="282"/>
      <c r="U213" s="249"/>
    </row>
    <row r="214" spans="1:21" s="55" customFormat="1" ht="18" customHeight="1" x14ac:dyDescent="0.25">
      <c r="A214" s="334"/>
      <c r="B214" s="335"/>
      <c r="C214" s="334"/>
      <c r="D214" s="365" t="s">
        <v>263</v>
      </c>
      <c r="E214" s="335" t="s">
        <v>264</v>
      </c>
      <c r="F214" s="337">
        <f t="shared" ref="F214:H214" si="115">+F215</f>
        <v>4031500</v>
      </c>
      <c r="G214" s="72">
        <f>+G215</f>
        <v>0</v>
      </c>
      <c r="H214" s="72">
        <f t="shared" si="115"/>
        <v>0</v>
      </c>
      <c r="I214" s="72">
        <f t="shared" si="113"/>
        <v>0</v>
      </c>
      <c r="J214" s="72">
        <f>+J215</f>
        <v>0</v>
      </c>
      <c r="K214" s="72">
        <f t="shared" ref="K214" si="116">+K215</f>
        <v>0</v>
      </c>
      <c r="L214" s="72">
        <f t="shared" si="114"/>
        <v>0</v>
      </c>
      <c r="M214" s="72">
        <f t="shared" si="112"/>
        <v>0</v>
      </c>
      <c r="N214" s="53">
        <f>+F214-M214</f>
        <v>4031500</v>
      </c>
      <c r="P214" s="195"/>
      <c r="S214" s="282"/>
      <c r="T214" s="282"/>
      <c r="U214" s="243"/>
    </row>
    <row r="215" spans="1:21" s="67" customFormat="1" ht="18" customHeight="1" x14ac:dyDescent="0.25">
      <c r="A215" s="380"/>
      <c r="B215" s="352"/>
      <c r="C215" s="334"/>
      <c r="D215" s="335" t="s">
        <v>64</v>
      </c>
      <c r="E215" s="335" t="s">
        <v>65</v>
      </c>
      <c r="F215" s="337">
        <f>F216</f>
        <v>4031500</v>
      </c>
      <c r="G215" s="59">
        <f>SUM(G216:G216)</f>
        <v>0</v>
      </c>
      <c r="H215" s="59">
        <f>SUM(H216:H216)</f>
        <v>0</v>
      </c>
      <c r="I215" s="59">
        <f>+G215+H215</f>
        <v>0</v>
      </c>
      <c r="J215" s="59">
        <f>SUM(J216:J216)</f>
        <v>0</v>
      </c>
      <c r="K215" s="59">
        <f>SUM(K216:K216)</f>
        <v>0</v>
      </c>
      <c r="L215" s="59">
        <f>+J215+K215</f>
        <v>0</v>
      </c>
      <c r="M215" s="59">
        <f t="shared" si="112"/>
        <v>0</v>
      </c>
      <c r="N215" s="58">
        <f>+F215-M215</f>
        <v>4031500</v>
      </c>
      <c r="P215" s="192"/>
      <c r="S215" s="282"/>
      <c r="T215" s="282"/>
      <c r="U215" s="249"/>
    </row>
    <row r="216" spans="1:21" s="86" customFormat="1" ht="18" customHeight="1" x14ac:dyDescent="0.25">
      <c r="A216" s="380"/>
      <c r="B216" s="352"/>
      <c r="C216" s="334"/>
      <c r="D216" s="335" t="s">
        <v>339</v>
      </c>
      <c r="E216" s="335" t="s">
        <v>340</v>
      </c>
      <c r="F216" s="337">
        <v>4031500</v>
      </c>
      <c r="G216" s="75"/>
      <c r="H216" s="75"/>
      <c r="I216" s="75">
        <f t="shared" si="113"/>
        <v>0</v>
      </c>
      <c r="J216" s="75"/>
      <c r="K216" s="75"/>
      <c r="L216" s="75">
        <f t="shared" ref="L216" si="117">+J216+K216</f>
        <v>0</v>
      </c>
      <c r="M216" s="75">
        <f t="shared" si="112"/>
        <v>0</v>
      </c>
      <c r="N216" s="63">
        <f t="shared" ref="N216" si="118">+F216-M216</f>
        <v>4031500</v>
      </c>
      <c r="P216" s="194"/>
      <c r="S216" s="282"/>
      <c r="T216" s="282"/>
      <c r="U216" s="250"/>
    </row>
    <row r="217" spans="1:21" s="55" customFormat="1" ht="18" customHeight="1" x14ac:dyDescent="0.25">
      <c r="A217" s="334"/>
      <c r="B217" s="335"/>
      <c r="C217" s="334"/>
      <c r="D217" s="365" t="s">
        <v>271</v>
      </c>
      <c r="E217" s="335" t="s">
        <v>272</v>
      </c>
      <c r="F217" s="337">
        <f t="shared" ref="F217:H217" si="119">+F218</f>
        <v>98700000</v>
      </c>
      <c r="G217" s="72">
        <f>+G218</f>
        <v>0</v>
      </c>
      <c r="H217" s="72">
        <f t="shared" si="119"/>
        <v>0</v>
      </c>
      <c r="I217" s="72">
        <f t="shared" si="113"/>
        <v>0</v>
      </c>
      <c r="J217" s="72">
        <f>+J218</f>
        <v>4800000</v>
      </c>
      <c r="K217" s="72">
        <f t="shared" ref="K217" si="120">+K218</f>
        <v>3200000</v>
      </c>
      <c r="L217" s="72">
        <f>+J217+K217</f>
        <v>8000000</v>
      </c>
      <c r="M217" s="72">
        <f t="shared" si="112"/>
        <v>8000000</v>
      </c>
      <c r="N217" s="53">
        <f>+F217-M217</f>
        <v>90700000</v>
      </c>
      <c r="P217" s="195"/>
      <c r="S217" s="282"/>
      <c r="T217" s="282"/>
      <c r="U217" s="243"/>
    </row>
    <row r="218" spans="1:21" s="67" customFormat="1" ht="18" customHeight="1" x14ac:dyDescent="0.25">
      <c r="A218" s="380"/>
      <c r="B218" s="352"/>
      <c r="C218" s="334"/>
      <c r="D218" s="335" t="s">
        <v>81</v>
      </c>
      <c r="E218" s="335" t="s">
        <v>31</v>
      </c>
      <c r="F218" s="337">
        <f>SUM(F219:F220)</f>
        <v>98700000</v>
      </c>
      <c r="G218" s="59">
        <f>SUM(G219:G220)</f>
        <v>0</v>
      </c>
      <c r="H218" s="59">
        <f>SUM(H219:H220)</f>
        <v>0</v>
      </c>
      <c r="I218" s="59">
        <f t="shared" si="113"/>
        <v>0</v>
      </c>
      <c r="J218" s="59">
        <f>SUM(J219:J220)</f>
        <v>4800000</v>
      </c>
      <c r="K218" s="59">
        <f>SUM(K219:K220)</f>
        <v>3200000</v>
      </c>
      <c r="L218" s="59">
        <f>+J218+K218</f>
        <v>8000000</v>
      </c>
      <c r="M218" s="59">
        <f t="shared" si="112"/>
        <v>8000000</v>
      </c>
      <c r="N218" s="58">
        <f>+F218-M218</f>
        <v>90700000</v>
      </c>
      <c r="P218" s="192"/>
      <c r="S218" s="282"/>
      <c r="T218" s="282"/>
      <c r="U218" s="249"/>
    </row>
    <row r="219" spans="1:21" s="86" customFormat="1" ht="18" customHeight="1" x14ac:dyDescent="0.25">
      <c r="A219" s="392"/>
      <c r="B219" s="339"/>
      <c r="C219" s="366"/>
      <c r="D219" s="367" t="s">
        <v>82</v>
      </c>
      <c r="E219" s="367" t="s">
        <v>83</v>
      </c>
      <c r="F219" s="370">
        <v>38400000</v>
      </c>
      <c r="G219" s="163"/>
      <c r="H219" s="163"/>
      <c r="I219" s="163">
        <f t="shared" si="113"/>
        <v>0</v>
      </c>
      <c r="J219" s="163">
        <v>4800000</v>
      </c>
      <c r="K219" s="163">
        <f>1600000+1600000</f>
        <v>3200000</v>
      </c>
      <c r="L219" s="163">
        <f>+J219+K219</f>
        <v>8000000</v>
      </c>
      <c r="M219" s="163">
        <f>+I219+L219</f>
        <v>8000000</v>
      </c>
      <c r="N219" s="173">
        <f>+F219-M219</f>
        <v>30400000</v>
      </c>
      <c r="P219" s="194"/>
      <c r="S219" s="281">
        <f>1600000+1600000</f>
        <v>3200000</v>
      </c>
      <c r="T219" s="282"/>
      <c r="U219" s="250"/>
    </row>
    <row r="220" spans="1:21" s="86" customFormat="1" ht="18" customHeight="1" x14ac:dyDescent="0.25">
      <c r="A220" s="392"/>
      <c r="B220" s="339"/>
      <c r="C220" s="366"/>
      <c r="D220" s="367" t="s">
        <v>111</v>
      </c>
      <c r="E220" s="367" t="s">
        <v>44</v>
      </c>
      <c r="F220" s="370">
        <v>60300000</v>
      </c>
      <c r="G220" s="163"/>
      <c r="H220" s="163"/>
      <c r="I220" s="163">
        <f t="shared" si="113"/>
        <v>0</v>
      </c>
      <c r="J220" s="163"/>
      <c r="K220" s="163"/>
      <c r="L220" s="163">
        <f t="shared" ref="L220" si="121">+J220+K220</f>
        <v>0</v>
      </c>
      <c r="M220" s="163">
        <f t="shared" si="112"/>
        <v>0</v>
      </c>
      <c r="N220" s="173">
        <f t="shared" ref="N220" si="122">+F220-M220</f>
        <v>60300000</v>
      </c>
      <c r="P220" s="194"/>
      <c r="S220" s="282"/>
      <c r="T220" s="282"/>
      <c r="U220" s="250"/>
    </row>
    <row r="221" spans="1:21" s="55" customFormat="1" ht="18" customHeight="1" x14ac:dyDescent="0.25">
      <c r="A221" s="334"/>
      <c r="B221" s="335"/>
      <c r="C221" s="334"/>
      <c r="D221" s="365" t="s">
        <v>275</v>
      </c>
      <c r="E221" s="335" t="s">
        <v>276</v>
      </c>
      <c r="F221" s="337">
        <f t="shared" ref="F221:H221" si="123">+F222</f>
        <v>338740000</v>
      </c>
      <c r="G221" s="72">
        <f>+G222</f>
        <v>0</v>
      </c>
      <c r="H221" s="72">
        <f t="shared" si="123"/>
        <v>0</v>
      </c>
      <c r="I221" s="72">
        <f t="shared" si="113"/>
        <v>0</v>
      </c>
      <c r="J221" s="72">
        <f>+J222</f>
        <v>3575000</v>
      </c>
      <c r="K221" s="72">
        <f t="shared" ref="K221" si="124">+K222</f>
        <v>0</v>
      </c>
      <c r="L221" s="72">
        <f>+J221+K221</f>
        <v>3575000</v>
      </c>
      <c r="M221" s="72">
        <f t="shared" si="112"/>
        <v>3575000</v>
      </c>
      <c r="N221" s="53">
        <f>+F221-M221</f>
        <v>335165000</v>
      </c>
      <c r="P221" s="195"/>
      <c r="S221" s="282"/>
      <c r="T221" s="282"/>
      <c r="U221" s="243"/>
    </row>
    <row r="222" spans="1:21" s="67" customFormat="1" ht="18" customHeight="1" x14ac:dyDescent="0.25">
      <c r="A222" s="380"/>
      <c r="B222" s="352"/>
      <c r="C222" s="334"/>
      <c r="D222" s="335" t="s">
        <v>114</v>
      </c>
      <c r="E222" s="335" t="s">
        <v>43</v>
      </c>
      <c r="F222" s="337">
        <f>SUM(F223:F225)</f>
        <v>338740000</v>
      </c>
      <c r="G222" s="59">
        <f>SUM(G223:G225)</f>
        <v>0</v>
      </c>
      <c r="H222" s="59">
        <f>SUM(H223:H225)</f>
        <v>0</v>
      </c>
      <c r="I222" s="59">
        <f t="shared" si="113"/>
        <v>0</v>
      </c>
      <c r="J222" s="59">
        <f>SUM(J223:J225)</f>
        <v>3575000</v>
      </c>
      <c r="K222" s="59">
        <f>SUM(K223:K225)</f>
        <v>0</v>
      </c>
      <c r="L222" s="59">
        <f>+J222+K222</f>
        <v>3575000</v>
      </c>
      <c r="M222" s="59">
        <f t="shared" si="112"/>
        <v>3575000</v>
      </c>
      <c r="N222" s="58">
        <f>+F222-M222</f>
        <v>335165000</v>
      </c>
      <c r="P222" s="192"/>
      <c r="S222" s="282"/>
      <c r="T222" s="282"/>
      <c r="U222" s="249"/>
    </row>
    <row r="223" spans="1:21" s="86" customFormat="1" ht="21" customHeight="1" x14ac:dyDescent="0.25">
      <c r="A223" s="392"/>
      <c r="B223" s="339"/>
      <c r="C223" s="366"/>
      <c r="D223" s="367" t="s">
        <v>349</v>
      </c>
      <c r="E223" s="369" t="s">
        <v>350</v>
      </c>
      <c r="F223" s="370">
        <v>21240000</v>
      </c>
      <c r="G223" s="163"/>
      <c r="H223" s="163"/>
      <c r="I223" s="163">
        <f t="shared" si="113"/>
        <v>0</v>
      </c>
      <c r="J223" s="163">
        <v>3575000</v>
      </c>
      <c r="K223" s="163"/>
      <c r="L223" s="163">
        <f t="shared" ref="L223" si="125">+J223+K223</f>
        <v>3575000</v>
      </c>
      <c r="M223" s="163">
        <f t="shared" si="112"/>
        <v>3575000</v>
      </c>
      <c r="N223" s="173">
        <f>+F223-M223</f>
        <v>17665000</v>
      </c>
      <c r="P223" s="194"/>
      <c r="S223" s="282"/>
      <c r="T223" s="282"/>
      <c r="U223" s="250"/>
    </row>
    <row r="224" spans="1:21" s="86" customFormat="1" ht="30.75" customHeight="1" x14ac:dyDescent="0.25">
      <c r="A224" s="392"/>
      <c r="B224" s="339"/>
      <c r="C224" s="366"/>
      <c r="D224" s="367" t="s">
        <v>395</v>
      </c>
      <c r="E224" s="369" t="s">
        <v>396</v>
      </c>
      <c r="F224" s="370">
        <v>2500000</v>
      </c>
      <c r="G224" s="163"/>
      <c r="H224" s="163"/>
      <c r="I224" s="163"/>
      <c r="J224" s="163"/>
      <c r="K224" s="163"/>
      <c r="L224" s="163">
        <f>+J224+K224</f>
        <v>0</v>
      </c>
      <c r="M224" s="163">
        <f t="shared" si="112"/>
        <v>0</v>
      </c>
      <c r="N224" s="173">
        <f>+F224-M224</f>
        <v>2500000</v>
      </c>
      <c r="P224" s="194"/>
      <c r="S224" s="282"/>
      <c r="T224" s="282"/>
      <c r="U224" s="250"/>
    </row>
    <row r="225" spans="1:21" s="86" customFormat="1" ht="18" customHeight="1" x14ac:dyDescent="0.25">
      <c r="A225" s="392"/>
      <c r="B225" s="339"/>
      <c r="C225" s="366"/>
      <c r="D225" s="367" t="s">
        <v>354</v>
      </c>
      <c r="E225" s="369" t="s">
        <v>355</v>
      </c>
      <c r="F225" s="370">
        <v>315000000</v>
      </c>
      <c r="G225" s="163"/>
      <c r="H225" s="163"/>
      <c r="I225" s="163">
        <f>+G225+H225</f>
        <v>0</v>
      </c>
      <c r="J225" s="163"/>
      <c r="K225" s="163"/>
      <c r="L225" s="163"/>
      <c r="M225" s="163">
        <f t="shared" si="112"/>
        <v>0</v>
      </c>
      <c r="N225" s="173">
        <f t="shared" ref="N225" si="126">+F225-M225</f>
        <v>315000000</v>
      </c>
      <c r="P225" s="194"/>
      <c r="S225" s="282"/>
      <c r="T225" s="282"/>
      <c r="U225" s="250"/>
    </row>
    <row r="226" spans="1:21" s="42" customFormat="1" ht="18" customHeight="1" x14ac:dyDescent="0.25">
      <c r="A226" s="380"/>
      <c r="B226" s="383"/>
      <c r="C226" s="384"/>
      <c r="D226" s="365" t="s">
        <v>267</v>
      </c>
      <c r="E226" s="335" t="s">
        <v>268</v>
      </c>
      <c r="F226" s="337">
        <f>+F227+F239</f>
        <v>368740000</v>
      </c>
      <c r="G226" s="41">
        <f>+G227+G239</f>
        <v>0</v>
      </c>
      <c r="H226" s="41">
        <f>+H227+H239</f>
        <v>0</v>
      </c>
      <c r="I226" s="41">
        <f>+G226+H226</f>
        <v>0</v>
      </c>
      <c r="J226" s="41">
        <f>+J227</f>
        <v>0</v>
      </c>
      <c r="K226" s="41">
        <f>+K227</f>
        <v>0</v>
      </c>
      <c r="L226" s="41">
        <f>+J226+K226</f>
        <v>0</v>
      </c>
      <c r="M226" s="41">
        <f>+I226+L226</f>
        <v>0</v>
      </c>
      <c r="N226" s="40">
        <f>+F226-M226</f>
        <v>368740000</v>
      </c>
      <c r="P226" s="199"/>
      <c r="R226" s="43"/>
      <c r="S226" s="282"/>
      <c r="T226" s="282"/>
      <c r="U226" s="251"/>
    </row>
    <row r="227" spans="1:21" s="67" customFormat="1" ht="18" customHeight="1" x14ac:dyDescent="0.25">
      <c r="A227" s="380"/>
      <c r="B227" s="352"/>
      <c r="C227" s="334"/>
      <c r="D227" s="335" t="s">
        <v>78</v>
      </c>
      <c r="E227" s="335" t="s">
        <v>75</v>
      </c>
      <c r="F227" s="337">
        <f>+F228+F231+F236</f>
        <v>268740000</v>
      </c>
      <c r="G227" s="70">
        <f>+G228+G231</f>
        <v>0</v>
      </c>
      <c r="H227" s="70">
        <f>+H228+H231</f>
        <v>0</v>
      </c>
      <c r="I227" s="70">
        <f t="shared" ref="I227:I240" si="127">+G227+H227</f>
        <v>0</v>
      </c>
      <c r="J227" s="70">
        <f>+J228+J231</f>
        <v>0</v>
      </c>
      <c r="K227" s="70">
        <f t="shared" ref="K227:K228" si="128">+K228</f>
        <v>0</v>
      </c>
      <c r="L227" s="70">
        <f t="shared" ref="L227:L228" si="129">+J227+K227</f>
        <v>0</v>
      </c>
      <c r="M227" s="70">
        <f t="shared" ref="M227:M231" si="130">+I227+L227</f>
        <v>0</v>
      </c>
      <c r="N227" s="47">
        <f>+F227-M227</f>
        <v>268740000</v>
      </c>
      <c r="P227" s="192"/>
      <c r="S227" s="282"/>
      <c r="T227" s="282"/>
      <c r="U227" s="249"/>
    </row>
    <row r="228" spans="1:21" s="55" customFormat="1" ht="18" customHeight="1" x14ac:dyDescent="0.25">
      <c r="A228" s="334"/>
      <c r="B228" s="335"/>
      <c r="C228" s="334"/>
      <c r="D228" s="365" t="s">
        <v>269</v>
      </c>
      <c r="E228" s="335" t="s">
        <v>270</v>
      </c>
      <c r="F228" s="337">
        <f t="shared" ref="F228:H228" si="131">+F229</f>
        <v>32340000</v>
      </c>
      <c r="G228" s="72">
        <f>+G229</f>
        <v>0</v>
      </c>
      <c r="H228" s="72">
        <f t="shared" si="131"/>
        <v>0</v>
      </c>
      <c r="I228" s="72">
        <f t="shared" si="127"/>
        <v>0</v>
      </c>
      <c r="J228" s="72">
        <f>+J229</f>
        <v>0</v>
      </c>
      <c r="K228" s="72">
        <f t="shared" si="128"/>
        <v>0</v>
      </c>
      <c r="L228" s="72">
        <f t="shared" si="129"/>
        <v>0</v>
      </c>
      <c r="M228" s="72">
        <f t="shared" si="130"/>
        <v>0</v>
      </c>
      <c r="N228" s="53">
        <f>+F228-M228</f>
        <v>32340000</v>
      </c>
      <c r="P228" s="195"/>
      <c r="S228" s="282"/>
      <c r="T228" s="282"/>
      <c r="U228" s="243"/>
    </row>
    <row r="229" spans="1:21" s="67" customFormat="1" ht="18" customHeight="1" x14ac:dyDescent="0.25">
      <c r="A229" s="380"/>
      <c r="B229" s="352"/>
      <c r="C229" s="334"/>
      <c r="D229" s="335" t="s">
        <v>92</v>
      </c>
      <c r="E229" s="335" t="s">
        <v>94</v>
      </c>
      <c r="F229" s="337">
        <f>SUM(F230)</f>
        <v>32340000</v>
      </c>
      <c r="G229" s="59">
        <f>+G230</f>
        <v>0</v>
      </c>
      <c r="H229" s="59">
        <f>+H230</f>
        <v>0</v>
      </c>
      <c r="I229" s="59">
        <f>+G229+H229</f>
        <v>0</v>
      </c>
      <c r="J229" s="59">
        <f>+J230</f>
        <v>0</v>
      </c>
      <c r="K229" s="59">
        <f>+K230</f>
        <v>0</v>
      </c>
      <c r="L229" s="59">
        <f>+J229+K229</f>
        <v>0</v>
      </c>
      <c r="M229" s="59">
        <f t="shared" si="130"/>
        <v>0</v>
      </c>
      <c r="N229" s="58">
        <f>+F229-M229</f>
        <v>32340000</v>
      </c>
      <c r="P229" s="192"/>
      <c r="S229" s="282"/>
      <c r="T229" s="282"/>
      <c r="U229" s="249"/>
    </row>
    <row r="230" spans="1:21" s="86" customFormat="1" ht="18" customHeight="1" x14ac:dyDescent="0.25">
      <c r="A230" s="380"/>
      <c r="B230" s="352"/>
      <c r="C230" s="334"/>
      <c r="D230" s="335" t="s">
        <v>397</v>
      </c>
      <c r="E230" s="335" t="s">
        <v>398</v>
      </c>
      <c r="F230" s="337">
        <v>32340000</v>
      </c>
      <c r="G230" s="75"/>
      <c r="H230" s="75"/>
      <c r="I230" s="75">
        <f t="shared" si="127"/>
        <v>0</v>
      </c>
      <c r="J230" s="75"/>
      <c r="K230" s="75"/>
      <c r="L230" s="75">
        <f t="shared" ref="L230:L240" si="132">+J230+K230</f>
        <v>0</v>
      </c>
      <c r="M230" s="75">
        <f t="shared" si="130"/>
        <v>0</v>
      </c>
      <c r="N230" s="63">
        <f t="shared" ref="N230:N242" si="133">+F230-M230</f>
        <v>32340000</v>
      </c>
      <c r="P230" s="194"/>
      <c r="S230" s="282"/>
      <c r="T230" s="282"/>
      <c r="U230" s="250"/>
    </row>
    <row r="231" spans="1:21" s="55" customFormat="1" ht="18" customHeight="1" x14ac:dyDescent="0.25">
      <c r="A231" s="334"/>
      <c r="B231" s="335"/>
      <c r="C231" s="334"/>
      <c r="D231" s="365" t="s">
        <v>399</v>
      </c>
      <c r="E231" s="335" t="s">
        <v>400</v>
      </c>
      <c r="F231" s="337">
        <f t="shared" ref="F231:H231" si="134">+F232</f>
        <v>234600000</v>
      </c>
      <c r="G231" s="72">
        <f>+G232</f>
        <v>0</v>
      </c>
      <c r="H231" s="72">
        <f t="shared" si="134"/>
        <v>0</v>
      </c>
      <c r="I231" s="72">
        <f t="shared" si="127"/>
        <v>0</v>
      </c>
      <c r="J231" s="72">
        <f>+J232</f>
        <v>0</v>
      </c>
      <c r="K231" s="72">
        <f t="shared" ref="K231" si="135">+K232</f>
        <v>0</v>
      </c>
      <c r="L231" s="72">
        <f t="shared" si="132"/>
        <v>0</v>
      </c>
      <c r="M231" s="72">
        <f t="shared" si="130"/>
        <v>0</v>
      </c>
      <c r="N231" s="53">
        <f t="shared" si="133"/>
        <v>234600000</v>
      </c>
      <c r="P231" s="195"/>
      <c r="S231" s="282"/>
      <c r="T231" s="282"/>
      <c r="U231" s="243"/>
    </row>
    <row r="232" spans="1:21" s="67" customFormat="1" ht="18" customHeight="1" x14ac:dyDescent="0.25">
      <c r="A232" s="380"/>
      <c r="B232" s="352"/>
      <c r="C232" s="334"/>
      <c r="D232" s="335" t="s">
        <v>401</v>
      </c>
      <c r="E232" s="335" t="s">
        <v>402</v>
      </c>
      <c r="F232" s="337">
        <f>SUM(F233:F235)</f>
        <v>234600000</v>
      </c>
      <c r="G232" s="59">
        <f>SUM(G234:G234)</f>
        <v>0</v>
      </c>
      <c r="H232" s="59">
        <f>SUM(H234:H234)</f>
        <v>0</v>
      </c>
      <c r="I232" s="59">
        <f t="shared" si="127"/>
        <v>0</v>
      </c>
      <c r="J232" s="59">
        <f>SUM(J234:J234)</f>
        <v>0</v>
      </c>
      <c r="K232" s="59">
        <f>SUM(K234:K234)</f>
        <v>0</v>
      </c>
      <c r="L232" s="59">
        <f t="shared" si="132"/>
        <v>0</v>
      </c>
      <c r="M232" s="59">
        <f>+I232+L232</f>
        <v>0</v>
      </c>
      <c r="N232" s="58">
        <f t="shared" si="133"/>
        <v>234600000</v>
      </c>
      <c r="P232" s="192"/>
      <c r="S232" s="282"/>
      <c r="T232" s="282"/>
      <c r="U232" s="249"/>
    </row>
    <row r="233" spans="1:21" s="86" customFormat="1" ht="18" customHeight="1" x14ac:dyDescent="0.25">
      <c r="A233" s="380"/>
      <c r="B233" s="352"/>
      <c r="C233" s="334"/>
      <c r="D233" s="335" t="s">
        <v>464</v>
      </c>
      <c r="E233" s="335" t="s">
        <v>465</v>
      </c>
      <c r="F233" s="337">
        <v>3000000</v>
      </c>
      <c r="G233" s="75"/>
      <c r="H233" s="75"/>
      <c r="I233" s="75">
        <f t="shared" si="127"/>
        <v>0</v>
      </c>
      <c r="J233" s="75"/>
      <c r="K233" s="75"/>
      <c r="L233" s="75">
        <f t="shared" si="132"/>
        <v>0</v>
      </c>
      <c r="M233" s="75">
        <f>+I233+L233</f>
        <v>0</v>
      </c>
      <c r="N233" s="63">
        <f t="shared" si="133"/>
        <v>3000000</v>
      </c>
      <c r="O233" s="87"/>
      <c r="P233" s="194"/>
      <c r="S233" s="282"/>
      <c r="T233" s="282"/>
      <c r="U233" s="250"/>
    </row>
    <row r="234" spans="1:21" s="86" customFormat="1" ht="18" customHeight="1" x14ac:dyDescent="0.25">
      <c r="A234" s="380"/>
      <c r="B234" s="352"/>
      <c r="C234" s="334"/>
      <c r="D234" s="335" t="s">
        <v>403</v>
      </c>
      <c r="E234" s="335" t="s">
        <v>404</v>
      </c>
      <c r="F234" s="337">
        <v>36600000</v>
      </c>
      <c r="G234" s="75"/>
      <c r="H234" s="75"/>
      <c r="I234" s="75">
        <f t="shared" si="127"/>
        <v>0</v>
      </c>
      <c r="J234" s="75"/>
      <c r="K234" s="75"/>
      <c r="L234" s="75">
        <f t="shared" si="132"/>
        <v>0</v>
      </c>
      <c r="M234" s="75">
        <f>+I234+L234</f>
        <v>0</v>
      </c>
      <c r="N234" s="63">
        <f t="shared" si="133"/>
        <v>36600000</v>
      </c>
      <c r="O234" s="87"/>
      <c r="P234" s="194"/>
      <c r="S234" s="282"/>
      <c r="T234" s="282"/>
      <c r="U234" s="250"/>
    </row>
    <row r="235" spans="1:21" s="86" customFormat="1" ht="18" customHeight="1" x14ac:dyDescent="0.25">
      <c r="A235" s="380"/>
      <c r="B235" s="352"/>
      <c r="C235" s="334"/>
      <c r="D235" s="335" t="s">
        <v>459</v>
      </c>
      <c r="E235" s="335" t="s">
        <v>460</v>
      </c>
      <c r="F235" s="337">
        <v>195000000</v>
      </c>
      <c r="G235" s="75"/>
      <c r="H235" s="75"/>
      <c r="I235" s="75">
        <f t="shared" si="127"/>
        <v>0</v>
      </c>
      <c r="J235" s="75"/>
      <c r="K235" s="75"/>
      <c r="L235" s="75">
        <f t="shared" si="132"/>
        <v>0</v>
      </c>
      <c r="M235" s="75">
        <f>+I235+L235</f>
        <v>0</v>
      </c>
      <c r="N235" s="63">
        <f t="shared" si="133"/>
        <v>195000000</v>
      </c>
      <c r="O235" s="87"/>
      <c r="P235" s="194"/>
      <c r="S235" s="282"/>
      <c r="T235" s="282"/>
      <c r="U235" s="250"/>
    </row>
    <row r="236" spans="1:21" s="55" customFormat="1" ht="18" customHeight="1" x14ac:dyDescent="0.25">
      <c r="A236" s="334"/>
      <c r="B236" s="335"/>
      <c r="C236" s="334"/>
      <c r="D236" s="365" t="s">
        <v>273</v>
      </c>
      <c r="E236" s="335" t="s">
        <v>274</v>
      </c>
      <c r="F236" s="337">
        <f>+F237</f>
        <v>1800000</v>
      </c>
      <c r="G236" s="72">
        <f>+G237</f>
        <v>0</v>
      </c>
      <c r="H236" s="72">
        <f t="shared" ref="H236" si="136">+H237</f>
        <v>0</v>
      </c>
      <c r="I236" s="72">
        <f t="shared" si="127"/>
        <v>0</v>
      </c>
      <c r="J236" s="72">
        <f>+J237</f>
        <v>0</v>
      </c>
      <c r="K236" s="72">
        <f t="shared" ref="K236" si="137">+K237</f>
        <v>0</v>
      </c>
      <c r="L236" s="72">
        <f t="shared" si="132"/>
        <v>0</v>
      </c>
      <c r="M236" s="72">
        <f t="shared" ref="M236" si="138">+I236+L236</f>
        <v>0</v>
      </c>
      <c r="N236" s="53">
        <f t="shared" si="133"/>
        <v>1800000</v>
      </c>
      <c r="P236" s="195"/>
      <c r="S236" s="282"/>
      <c r="T236" s="282"/>
      <c r="U236" s="243"/>
    </row>
    <row r="237" spans="1:21" s="67" customFormat="1" ht="18" customHeight="1" x14ac:dyDescent="0.25">
      <c r="A237" s="380"/>
      <c r="B237" s="352"/>
      <c r="C237" s="334"/>
      <c r="D237" s="335" t="s">
        <v>382</v>
      </c>
      <c r="E237" s="335" t="s">
        <v>383</v>
      </c>
      <c r="F237" s="337">
        <f>+F238</f>
        <v>1800000</v>
      </c>
      <c r="G237" s="59">
        <f>SUM(G239:G239)</f>
        <v>0</v>
      </c>
      <c r="H237" s="59">
        <f>SUM(H239:H239)</f>
        <v>0</v>
      </c>
      <c r="I237" s="59">
        <f t="shared" si="127"/>
        <v>0</v>
      </c>
      <c r="J237" s="59">
        <f>SUM(J239:J239)</f>
        <v>0</v>
      </c>
      <c r="K237" s="59">
        <f>SUM(K239:K239)</f>
        <v>0</v>
      </c>
      <c r="L237" s="59">
        <f t="shared" si="132"/>
        <v>0</v>
      </c>
      <c r="M237" s="59">
        <f>+I237+L237</f>
        <v>0</v>
      </c>
      <c r="N237" s="58">
        <f t="shared" si="133"/>
        <v>1800000</v>
      </c>
      <c r="P237" s="192"/>
      <c r="S237" s="282"/>
      <c r="T237" s="282"/>
      <c r="U237" s="249"/>
    </row>
    <row r="238" spans="1:21" s="86" customFormat="1" ht="18" customHeight="1" x14ac:dyDescent="0.25">
      <c r="A238" s="380"/>
      <c r="B238" s="352"/>
      <c r="C238" s="334"/>
      <c r="D238" s="335" t="s">
        <v>386</v>
      </c>
      <c r="E238" s="335" t="s">
        <v>387</v>
      </c>
      <c r="F238" s="337">
        <v>1800000</v>
      </c>
      <c r="G238" s="75"/>
      <c r="H238" s="75"/>
      <c r="I238" s="75">
        <f t="shared" si="127"/>
        <v>0</v>
      </c>
      <c r="J238" s="75"/>
      <c r="K238" s="75"/>
      <c r="L238" s="75">
        <f t="shared" si="132"/>
        <v>0</v>
      </c>
      <c r="M238" s="75">
        <f>+I238+L238</f>
        <v>0</v>
      </c>
      <c r="N238" s="63">
        <f t="shared" si="133"/>
        <v>1800000</v>
      </c>
      <c r="O238" s="87"/>
      <c r="P238" s="194"/>
      <c r="S238" s="282"/>
      <c r="T238" s="282"/>
      <c r="U238" s="250"/>
    </row>
    <row r="239" spans="1:21" s="67" customFormat="1" ht="18" customHeight="1" x14ac:dyDescent="0.25">
      <c r="A239" s="380"/>
      <c r="B239" s="352"/>
      <c r="C239" s="334"/>
      <c r="D239" s="335" t="s">
        <v>466</v>
      </c>
      <c r="E239" s="335" t="s">
        <v>467</v>
      </c>
      <c r="F239" s="337">
        <f>+F240</f>
        <v>100000000</v>
      </c>
      <c r="G239" s="70">
        <f>+G240</f>
        <v>0</v>
      </c>
      <c r="H239" s="70">
        <f>+H240+H243</f>
        <v>0</v>
      </c>
      <c r="I239" s="70">
        <f t="shared" si="127"/>
        <v>0</v>
      </c>
      <c r="J239" s="70">
        <f>+J240</f>
        <v>0</v>
      </c>
      <c r="K239" s="70">
        <f t="shared" ref="K239:K240" si="139">+K240</f>
        <v>0</v>
      </c>
      <c r="L239" s="70">
        <f t="shared" si="132"/>
        <v>0</v>
      </c>
      <c r="M239" s="70">
        <f>+I239+L239</f>
        <v>0</v>
      </c>
      <c r="N239" s="47">
        <f t="shared" si="133"/>
        <v>100000000</v>
      </c>
      <c r="P239" s="192"/>
      <c r="S239" s="282"/>
      <c r="T239" s="282"/>
      <c r="U239" s="249"/>
    </row>
    <row r="240" spans="1:21" s="55" customFormat="1" ht="18" customHeight="1" x14ac:dyDescent="0.25">
      <c r="A240" s="334"/>
      <c r="B240" s="335"/>
      <c r="C240" s="334"/>
      <c r="D240" s="365" t="s">
        <v>468</v>
      </c>
      <c r="E240" s="335" t="s">
        <v>469</v>
      </c>
      <c r="F240" s="337">
        <f t="shared" ref="F240:H240" si="140">+F241</f>
        <v>100000000</v>
      </c>
      <c r="G240" s="72">
        <f>+G241</f>
        <v>0</v>
      </c>
      <c r="H240" s="72">
        <f t="shared" si="140"/>
        <v>0</v>
      </c>
      <c r="I240" s="72">
        <f t="shared" si="127"/>
        <v>0</v>
      </c>
      <c r="J240" s="72">
        <f>+J241</f>
        <v>0</v>
      </c>
      <c r="K240" s="72">
        <f t="shared" si="139"/>
        <v>0</v>
      </c>
      <c r="L240" s="72">
        <f t="shared" si="132"/>
        <v>0</v>
      </c>
      <c r="M240" s="72">
        <f t="shared" ref="M240:M241" si="141">+I240+L240</f>
        <v>0</v>
      </c>
      <c r="N240" s="53">
        <f t="shared" si="133"/>
        <v>100000000</v>
      </c>
      <c r="P240" s="195"/>
      <c r="S240" s="282"/>
      <c r="T240" s="282"/>
      <c r="U240" s="243"/>
    </row>
    <row r="241" spans="1:21" s="67" customFormat="1" ht="18" customHeight="1" x14ac:dyDescent="0.25">
      <c r="A241" s="380"/>
      <c r="B241" s="352"/>
      <c r="C241" s="334"/>
      <c r="D241" s="335" t="s">
        <v>470</v>
      </c>
      <c r="E241" s="335" t="s">
        <v>471</v>
      </c>
      <c r="F241" s="337">
        <f>SUM(F242)</f>
        <v>100000000</v>
      </c>
      <c r="G241" s="59">
        <f>+G242</f>
        <v>0</v>
      </c>
      <c r="H241" s="59">
        <f>+H242</f>
        <v>0</v>
      </c>
      <c r="I241" s="59">
        <f>+G241+H241</f>
        <v>0</v>
      </c>
      <c r="J241" s="59">
        <f>+J242</f>
        <v>0</v>
      </c>
      <c r="K241" s="59">
        <f>+K242</f>
        <v>0</v>
      </c>
      <c r="L241" s="59">
        <f>+J241+K241</f>
        <v>0</v>
      </c>
      <c r="M241" s="59">
        <f t="shared" si="141"/>
        <v>0</v>
      </c>
      <c r="N241" s="58">
        <f t="shared" si="133"/>
        <v>100000000</v>
      </c>
      <c r="P241" s="192"/>
      <c r="S241" s="282"/>
      <c r="T241" s="282"/>
      <c r="U241" s="249"/>
    </row>
    <row r="242" spans="1:21" s="86" customFormat="1" ht="18" customHeight="1" x14ac:dyDescent="0.25">
      <c r="A242" s="380"/>
      <c r="B242" s="352"/>
      <c r="C242" s="334"/>
      <c r="D242" s="335" t="s">
        <v>472</v>
      </c>
      <c r="E242" s="335" t="s">
        <v>473</v>
      </c>
      <c r="F242" s="337">
        <v>100000000</v>
      </c>
      <c r="G242" s="75"/>
      <c r="H242" s="75"/>
      <c r="I242" s="75">
        <f>+G242+H242</f>
        <v>0</v>
      </c>
      <c r="J242" s="75"/>
      <c r="K242" s="75"/>
      <c r="L242" s="75">
        <f t="shared" ref="L242" si="142">+J242+K242</f>
        <v>0</v>
      </c>
      <c r="M242" s="75">
        <f>+I242+L242</f>
        <v>0</v>
      </c>
      <c r="N242" s="63">
        <f t="shared" si="133"/>
        <v>100000000</v>
      </c>
      <c r="P242" s="194"/>
      <c r="S242" s="282"/>
      <c r="T242" s="282"/>
      <c r="U242" s="250"/>
    </row>
    <row r="243" spans="1:21" s="134" customFormat="1" ht="18" customHeight="1" x14ac:dyDescent="0.25">
      <c r="A243" s="353"/>
      <c r="B243" s="355"/>
      <c r="C243" s="355"/>
      <c r="D243" s="355"/>
      <c r="E243" s="355"/>
      <c r="F243" s="356"/>
      <c r="G243" s="133"/>
      <c r="H243" s="133"/>
      <c r="I243" s="133"/>
      <c r="J243" s="133"/>
      <c r="K243" s="133"/>
      <c r="L243" s="133"/>
      <c r="M243" s="133"/>
      <c r="N243" s="132"/>
      <c r="P243" s="197"/>
      <c r="S243" s="286"/>
      <c r="T243" s="286"/>
      <c r="U243" s="247"/>
    </row>
    <row r="244" spans="1:21" s="137" customFormat="1" ht="18" customHeight="1" x14ac:dyDescent="0.25">
      <c r="A244" s="276"/>
      <c r="B244" s="305" t="s">
        <v>357</v>
      </c>
      <c r="C244" s="305"/>
      <c r="D244" s="305"/>
      <c r="E244" s="305" t="s">
        <v>358</v>
      </c>
      <c r="F244" s="359">
        <f>+F246</f>
        <v>260000000</v>
      </c>
      <c r="G244" s="136">
        <f>+G245</f>
        <v>0</v>
      </c>
      <c r="H244" s="136">
        <f>+H245</f>
        <v>0</v>
      </c>
      <c r="I244" s="136">
        <f>+G244+H244</f>
        <v>0</v>
      </c>
      <c r="J244" s="136">
        <f>+J245</f>
        <v>0</v>
      </c>
      <c r="K244" s="136">
        <f>+K245</f>
        <v>0</v>
      </c>
      <c r="L244" s="136">
        <f>+J244+K244</f>
        <v>0</v>
      </c>
      <c r="M244" s="136">
        <f t="shared" ref="M244" si="143">+I244+L244</f>
        <v>0</v>
      </c>
      <c r="N244" s="135">
        <f t="shared" ref="N244:N250" si="144">+F244-M244</f>
        <v>260000000</v>
      </c>
      <c r="P244" s="198"/>
      <c r="R244" s="138"/>
      <c r="S244" s="287"/>
      <c r="T244" s="287"/>
      <c r="U244" s="248"/>
    </row>
    <row r="245" spans="1:21" s="121" customFormat="1" ht="18" customHeight="1" x14ac:dyDescent="0.25">
      <c r="A245" s="276">
        <v>11</v>
      </c>
      <c r="B245" s="305"/>
      <c r="C245" s="305" t="s">
        <v>119</v>
      </c>
      <c r="D245" s="363"/>
      <c r="E245" s="364" t="s">
        <v>120</v>
      </c>
      <c r="F245" s="307">
        <f>+F246</f>
        <v>260000000</v>
      </c>
      <c r="G245" s="120">
        <f>+G246</f>
        <v>0</v>
      </c>
      <c r="H245" s="120">
        <f>+H246</f>
        <v>0</v>
      </c>
      <c r="I245" s="120">
        <f>+G245+H245</f>
        <v>0</v>
      </c>
      <c r="J245" s="120">
        <f>+J246</f>
        <v>0</v>
      </c>
      <c r="K245" s="120">
        <f>+K246</f>
        <v>0</v>
      </c>
      <c r="L245" s="120">
        <f>+J245+K245</f>
        <v>0</v>
      </c>
      <c r="M245" s="120">
        <f>+I245+L245</f>
        <v>0</v>
      </c>
      <c r="N245" s="119">
        <f t="shared" si="144"/>
        <v>260000000</v>
      </c>
      <c r="P245" s="190"/>
      <c r="R245" s="122"/>
      <c r="S245" s="283"/>
      <c r="T245" s="283"/>
      <c r="U245" s="246"/>
    </row>
    <row r="246" spans="1:21" s="107" customFormat="1" ht="18" customHeight="1" x14ac:dyDescent="0.25">
      <c r="A246" s="323"/>
      <c r="B246" s="324"/>
      <c r="C246" s="324"/>
      <c r="D246" s="325" t="s">
        <v>267</v>
      </c>
      <c r="E246" s="326" t="s">
        <v>268</v>
      </c>
      <c r="F246" s="327">
        <f t="shared" ref="F246:H248" si="145">+F247</f>
        <v>260000000</v>
      </c>
      <c r="G246" s="106">
        <f>+G247</f>
        <v>0</v>
      </c>
      <c r="H246" s="106">
        <f t="shared" si="145"/>
        <v>0</v>
      </c>
      <c r="I246" s="106">
        <f t="shared" ref="I246:I250" si="146">+G246+H246</f>
        <v>0</v>
      </c>
      <c r="J246" s="106">
        <f>+J247</f>
        <v>0</v>
      </c>
      <c r="K246" s="106">
        <f t="shared" ref="K246:K248" si="147">+K247</f>
        <v>0</v>
      </c>
      <c r="L246" s="106">
        <f t="shared" ref="L246:L249" si="148">+J246+K246</f>
        <v>0</v>
      </c>
      <c r="M246" s="106">
        <f t="shared" ref="M246:M249" si="149">+I246+L246</f>
        <v>0</v>
      </c>
      <c r="N246" s="105">
        <f t="shared" si="144"/>
        <v>260000000</v>
      </c>
      <c r="P246" s="191"/>
      <c r="R246" s="108"/>
      <c r="S246" s="284"/>
      <c r="T246" s="284"/>
      <c r="U246" s="241"/>
    </row>
    <row r="247" spans="1:21" s="49" customFormat="1" ht="18" customHeight="1" x14ac:dyDescent="0.25">
      <c r="A247" s="334"/>
      <c r="B247" s="352"/>
      <c r="C247" s="334"/>
      <c r="D247" s="335" t="s">
        <v>78</v>
      </c>
      <c r="E247" s="335" t="s">
        <v>75</v>
      </c>
      <c r="F247" s="337">
        <f t="shared" si="145"/>
        <v>260000000</v>
      </c>
      <c r="G247" s="70">
        <f>+G248</f>
        <v>0</v>
      </c>
      <c r="H247" s="70">
        <f t="shared" si="145"/>
        <v>0</v>
      </c>
      <c r="I247" s="70">
        <f t="shared" si="146"/>
        <v>0</v>
      </c>
      <c r="J247" s="70">
        <f>+J248</f>
        <v>0</v>
      </c>
      <c r="K247" s="70">
        <f t="shared" si="147"/>
        <v>0</v>
      </c>
      <c r="L247" s="70">
        <f t="shared" si="148"/>
        <v>0</v>
      </c>
      <c r="M247" s="70">
        <f t="shared" si="149"/>
        <v>0</v>
      </c>
      <c r="N247" s="47">
        <f t="shared" si="144"/>
        <v>260000000</v>
      </c>
      <c r="P247" s="192"/>
      <c r="S247" s="282"/>
      <c r="T247" s="282"/>
      <c r="U247" s="242"/>
    </row>
    <row r="248" spans="1:21" s="55" customFormat="1" ht="18" customHeight="1" x14ac:dyDescent="0.25">
      <c r="A248" s="334"/>
      <c r="B248" s="335"/>
      <c r="C248" s="334"/>
      <c r="D248" s="365" t="s">
        <v>277</v>
      </c>
      <c r="E248" s="335" t="s">
        <v>278</v>
      </c>
      <c r="F248" s="337">
        <f t="shared" si="145"/>
        <v>260000000</v>
      </c>
      <c r="G248" s="72">
        <f>+G249</f>
        <v>0</v>
      </c>
      <c r="H248" s="72">
        <f t="shared" si="145"/>
        <v>0</v>
      </c>
      <c r="I248" s="72">
        <f t="shared" si="146"/>
        <v>0</v>
      </c>
      <c r="J248" s="72">
        <f>+J249</f>
        <v>0</v>
      </c>
      <c r="K248" s="72">
        <f t="shared" si="147"/>
        <v>0</v>
      </c>
      <c r="L248" s="72">
        <f t="shared" si="148"/>
        <v>0</v>
      </c>
      <c r="M248" s="72">
        <f t="shared" si="149"/>
        <v>0</v>
      </c>
      <c r="N248" s="53">
        <f t="shared" si="144"/>
        <v>260000000</v>
      </c>
      <c r="P248" s="195"/>
      <c r="S248" s="282"/>
      <c r="T248" s="282"/>
      <c r="U248" s="243"/>
    </row>
    <row r="249" spans="1:21" s="49" customFormat="1" ht="18" customHeight="1" x14ac:dyDescent="0.25">
      <c r="A249" s="334"/>
      <c r="B249" s="352"/>
      <c r="C249" s="334"/>
      <c r="D249" s="335" t="s">
        <v>121</v>
      </c>
      <c r="E249" s="335" t="s">
        <v>123</v>
      </c>
      <c r="F249" s="337">
        <f>F250</f>
        <v>260000000</v>
      </c>
      <c r="G249" s="59">
        <f>+G250</f>
        <v>0</v>
      </c>
      <c r="H249" s="59">
        <f>+H250</f>
        <v>0</v>
      </c>
      <c r="I249" s="59">
        <f t="shared" si="146"/>
        <v>0</v>
      </c>
      <c r="J249" s="59">
        <f>+J250</f>
        <v>0</v>
      </c>
      <c r="K249" s="59">
        <f>+K250</f>
        <v>0</v>
      </c>
      <c r="L249" s="59">
        <f t="shared" si="148"/>
        <v>0</v>
      </c>
      <c r="M249" s="59">
        <f t="shared" si="149"/>
        <v>0</v>
      </c>
      <c r="N249" s="58">
        <f t="shared" si="144"/>
        <v>260000000</v>
      </c>
      <c r="P249" s="192"/>
      <c r="S249" s="282"/>
      <c r="T249" s="282"/>
      <c r="U249" s="242"/>
    </row>
    <row r="250" spans="1:21" s="49" customFormat="1" ht="18" customHeight="1" x14ac:dyDescent="0.25">
      <c r="A250" s="334"/>
      <c r="B250" s="352"/>
      <c r="C250" s="334"/>
      <c r="D250" s="335" t="s">
        <v>122</v>
      </c>
      <c r="E250" s="335" t="s">
        <v>124</v>
      </c>
      <c r="F250" s="337">
        <v>260000000</v>
      </c>
      <c r="G250" s="75"/>
      <c r="H250" s="75"/>
      <c r="I250" s="75">
        <f t="shared" si="146"/>
        <v>0</v>
      </c>
      <c r="J250" s="75"/>
      <c r="K250" s="75"/>
      <c r="L250" s="75"/>
      <c r="M250" s="75">
        <f>+I250+L250</f>
        <v>0</v>
      </c>
      <c r="N250" s="63">
        <f t="shared" si="144"/>
        <v>260000000</v>
      </c>
      <c r="P250" s="192"/>
      <c r="S250" s="282"/>
      <c r="T250" s="282"/>
      <c r="U250" s="242"/>
    </row>
    <row r="251" spans="1:21" s="134" customFormat="1" ht="18" customHeight="1" x14ac:dyDescent="0.25">
      <c r="A251" s="353"/>
      <c r="B251" s="355"/>
      <c r="C251" s="355"/>
      <c r="D251" s="355"/>
      <c r="E251" s="355"/>
      <c r="F251" s="356"/>
      <c r="G251" s="133"/>
      <c r="H251" s="133"/>
      <c r="I251" s="133"/>
      <c r="J251" s="133"/>
      <c r="K251" s="133"/>
      <c r="L251" s="133"/>
      <c r="M251" s="133"/>
      <c r="N251" s="132"/>
      <c r="P251" s="197"/>
      <c r="S251" s="286"/>
      <c r="T251" s="286"/>
      <c r="U251" s="247"/>
    </row>
    <row r="252" spans="1:21" s="137" customFormat="1" ht="16.5" customHeight="1" x14ac:dyDescent="0.25">
      <c r="A252" s="276"/>
      <c r="B252" s="305" t="s">
        <v>359</v>
      </c>
      <c r="C252" s="305"/>
      <c r="D252" s="305"/>
      <c r="E252" s="305" t="s">
        <v>360</v>
      </c>
      <c r="F252" s="359">
        <f>+F253+F261+F274+F283</f>
        <v>39780847375</v>
      </c>
      <c r="G252" s="136">
        <f>+G253+G261+G274+G283</f>
        <v>12525085316</v>
      </c>
      <c r="H252" s="136">
        <f>+H253+H261+H274+H283</f>
        <v>0</v>
      </c>
      <c r="I252" s="136">
        <f>+G252+H252</f>
        <v>12525085316</v>
      </c>
      <c r="J252" s="136">
        <f>+J253+J261+J274+J283</f>
        <v>361105554</v>
      </c>
      <c r="K252" s="136">
        <f>+K253+K261+K274+K283</f>
        <v>239973309</v>
      </c>
      <c r="L252" s="136">
        <f>+J252+K252</f>
        <v>601078863</v>
      </c>
      <c r="M252" s="113">
        <f t="shared" ref="M252" si="150">+I252+L252</f>
        <v>13126164179</v>
      </c>
      <c r="N252" s="135">
        <f t="shared" ref="N252:N260" si="151">+F252-M252</f>
        <v>26654683196</v>
      </c>
      <c r="P252" s="198"/>
      <c r="R252" s="138"/>
      <c r="S252" s="287"/>
      <c r="T252" s="287"/>
      <c r="U252" s="248"/>
    </row>
    <row r="253" spans="1:21" s="121" customFormat="1" ht="18" customHeight="1" x14ac:dyDescent="0.25">
      <c r="A253" s="276">
        <v>12</v>
      </c>
      <c r="B253" s="305"/>
      <c r="C253" s="305" t="s">
        <v>125</v>
      </c>
      <c r="D253" s="363"/>
      <c r="E253" s="364" t="s">
        <v>34</v>
      </c>
      <c r="F253" s="307">
        <f>+F254</f>
        <v>219414700</v>
      </c>
      <c r="G253" s="120">
        <f>+G254</f>
        <v>149879620</v>
      </c>
      <c r="H253" s="120">
        <f>+H254</f>
        <v>0</v>
      </c>
      <c r="I253" s="120">
        <f>+G253+H253</f>
        <v>149879620</v>
      </c>
      <c r="J253" s="120">
        <f>+J254</f>
        <v>17089125</v>
      </c>
      <c r="K253" s="120">
        <f>+K254</f>
        <v>5356125</v>
      </c>
      <c r="L253" s="120">
        <f>+J253+K253</f>
        <v>22445250</v>
      </c>
      <c r="M253" s="120">
        <f>+I253+L253</f>
        <v>172324870</v>
      </c>
      <c r="N253" s="119">
        <f t="shared" si="151"/>
        <v>47089830</v>
      </c>
      <c r="P253" s="190"/>
      <c r="R253" s="122"/>
      <c r="S253" s="283"/>
      <c r="T253" s="283"/>
      <c r="U253" s="246"/>
    </row>
    <row r="254" spans="1:21" s="107" customFormat="1" ht="18" customHeight="1" x14ac:dyDescent="0.25">
      <c r="A254" s="323"/>
      <c r="B254" s="324"/>
      <c r="C254" s="379"/>
      <c r="D254" s="325" t="s">
        <v>207</v>
      </c>
      <c r="E254" s="326" t="s">
        <v>262</v>
      </c>
      <c r="F254" s="327">
        <f t="shared" ref="F254:H256" si="152">+F255</f>
        <v>219414700</v>
      </c>
      <c r="G254" s="106">
        <f>+G255</f>
        <v>149879620</v>
      </c>
      <c r="H254" s="106">
        <f t="shared" si="152"/>
        <v>0</v>
      </c>
      <c r="I254" s="106">
        <f t="shared" ref="I254:I258" si="153">+G254+H254</f>
        <v>149879620</v>
      </c>
      <c r="J254" s="106">
        <f t="shared" ref="J254:K256" si="154">+J255</f>
        <v>17089125</v>
      </c>
      <c r="K254" s="106">
        <f t="shared" si="154"/>
        <v>5356125</v>
      </c>
      <c r="L254" s="106">
        <f t="shared" ref="L254:L256" si="155">+J254+K254</f>
        <v>22445250</v>
      </c>
      <c r="M254" s="106">
        <f t="shared" ref="M254:M257" si="156">+I254+L254</f>
        <v>172324870</v>
      </c>
      <c r="N254" s="105">
        <f t="shared" si="151"/>
        <v>47089830</v>
      </c>
      <c r="P254" s="191"/>
      <c r="R254" s="108"/>
      <c r="S254" s="284"/>
      <c r="T254" s="284"/>
      <c r="U254" s="241"/>
    </row>
    <row r="255" spans="1:21" s="49" customFormat="1" ht="18" customHeight="1" x14ac:dyDescent="0.25">
      <c r="A255" s="334"/>
      <c r="B255" s="352"/>
      <c r="C255" s="334"/>
      <c r="D255" s="335" t="s">
        <v>63</v>
      </c>
      <c r="E255" s="335" t="s">
        <v>30</v>
      </c>
      <c r="F255" s="337">
        <f t="shared" si="152"/>
        <v>219414700</v>
      </c>
      <c r="G255" s="70">
        <f>+G256</f>
        <v>149879620</v>
      </c>
      <c r="H255" s="70">
        <f t="shared" si="152"/>
        <v>0</v>
      </c>
      <c r="I255" s="70">
        <f t="shared" si="153"/>
        <v>149879620</v>
      </c>
      <c r="J255" s="70">
        <f t="shared" si="154"/>
        <v>17089125</v>
      </c>
      <c r="K255" s="70">
        <f t="shared" si="154"/>
        <v>5356125</v>
      </c>
      <c r="L255" s="70">
        <f t="shared" si="155"/>
        <v>22445250</v>
      </c>
      <c r="M255" s="70">
        <f t="shared" si="156"/>
        <v>172324870</v>
      </c>
      <c r="N255" s="47">
        <f t="shared" si="151"/>
        <v>47089830</v>
      </c>
      <c r="P255" s="192"/>
      <c r="S255" s="282"/>
      <c r="T255" s="282"/>
      <c r="U255" s="242"/>
    </row>
    <row r="256" spans="1:21" s="55" customFormat="1" ht="18" customHeight="1" x14ac:dyDescent="0.25">
      <c r="A256" s="334"/>
      <c r="B256" s="335"/>
      <c r="C256" s="334"/>
      <c r="D256" s="365" t="s">
        <v>263</v>
      </c>
      <c r="E256" s="335" t="s">
        <v>264</v>
      </c>
      <c r="F256" s="337">
        <f t="shared" si="152"/>
        <v>219414700</v>
      </c>
      <c r="G256" s="72">
        <f>+G257</f>
        <v>149879620</v>
      </c>
      <c r="H256" s="72">
        <f t="shared" si="152"/>
        <v>0</v>
      </c>
      <c r="I256" s="72">
        <f t="shared" si="153"/>
        <v>149879620</v>
      </c>
      <c r="J256" s="72">
        <f t="shared" si="154"/>
        <v>17089125</v>
      </c>
      <c r="K256" s="72">
        <f t="shared" si="154"/>
        <v>5356125</v>
      </c>
      <c r="L256" s="72">
        <f t="shared" si="155"/>
        <v>22445250</v>
      </c>
      <c r="M256" s="72">
        <f t="shared" si="156"/>
        <v>172324870</v>
      </c>
      <c r="N256" s="53">
        <f t="shared" si="151"/>
        <v>47089830</v>
      </c>
      <c r="P256" s="195"/>
      <c r="S256" s="282"/>
      <c r="T256" s="282"/>
      <c r="U256" s="243"/>
    </row>
    <row r="257" spans="1:21" s="49" customFormat="1" ht="18" customHeight="1" x14ac:dyDescent="0.25">
      <c r="A257" s="334"/>
      <c r="B257" s="352"/>
      <c r="C257" s="334"/>
      <c r="D257" s="335" t="s">
        <v>64</v>
      </c>
      <c r="E257" s="335" t="s">
        <v>65</v>
      </c>
      <c r="F257" s="337">
        <f>SUM(F258:F260)</f>
        <v>219414700</v>
      </c>
      <c r="G257" s="59">
        <f>SUM(G258:G260)</f>
        <v>149879620</v>
      </c>
      <c r="H257" s="59">
        <f>SUM(H258:H260)</f>
        <v>0</v>
      </c>
      <c r="I257" s="59">
        <f t="shared" si="153"/>
        <v>149879620</v>
      </c>
      <c r="J257" s="59">
        <f>SUM(J258:J260)</f>
        <v>17089125</v>
      </c>
      <c r="K257" s="59">
        <f>SUM(K258:K260)</f>
        <v>5356125</v>
      </c>
      <c r="L257" s="59">
        <f>+J257+K257</f>
        <v>22445250</v>
      </c>
      <c r="M257" s="59">
        <f t="shared" si="156"/>
        <v>172324870</v>
      </c>
      <c r="N257" s="58">
        <f t="shared" si="151"/>
        <v>47089830</v>
      </c>
      <c r="P257" s="192"/>
      <c r="S257" s="282"/>
      <c r="T257" s="282"/>
      <c r="U257" s="242"/>
    </row>
    <row r="258" spans="1:21" s="65" customFormat="1" ht="18" customHeight="1" x14ac:dyDescent="0.25">
      <c r="A258" s="334"/>
      <c r="B258" s="352"/>
      <c r="C258" s="334"/>
      <c r="D258" s="335" t="s">
        <v>337</v>
      </c>
      <c r="E258" s="335" t="s">
        <v>338</v>
      </c>
      <c r="F258" s="337">
        <v>875000</v>
      </c>
      <c r="G258" s="75"/>
      <c r="H258" s="75"/>
      <c r="I258" s="75">
        <f t="shared" si="153"/>
        <v>0</v>
      </c>
      <c r="J258" s="75"/>
      <c r="K258" s="75"/>
      <c r="L258" s="75">
        <f>+J258+K258</f>
        <v>0</v>
      </c>
      <c r="M258" s="75">
        <f>+I258+L258</f>
        <v>0</v>
      </c>
      <c r="N258" s="63">
        <f t="shared" si="151"/>
        <v>875000</v>
      </c>
      <c r="P258" s="194"/>
      <c r="S258" s="282"/>
      <c r="T258" s="282"/>
      <c r="U258" s="244"/>
    </row>
    <row r="259" spans="1:21" s="65" customFormat="1" ht="18" customHeight="1" x14ac:dyDescent="0.25">
      <c r="A259" s="334"/>
      <c r="B259" s="352"/>
      <c r="C259" s="334"/>
      <c r="D259" s="335" t="s">
        <v>68</v>
      </c>
      <c r="E259" s="335" t="s">
        <v>69</v>
      </c>
      <c r="F259" s="337">
        <v>182539700</v>
      </c>
      <c r="G259" s="75">
        <v>149879620</v>
      </c>
      <c r="H259" s="75"/>
      <c r="I259" s="75">
        <f>+G259+H259</f>
        <v>149879620</v>
      </c>
      <c r="J259" s="75">
        <v>9889125</v>
      </c>
      <c r="K259" s="75">
        <f>961875+999375+994875</f>
        <v>2956125</v>
      </c>
      <c r="L259" s="75">
        <f>+J259+K259</f>
        <v>12845250</v>
      </c>
      <c r="M259" s="75">
        <f>+I259+L259</f>
        <v>162724870</v>
      </c>
      <c r="N259" s="63">
        <f t="shared" si="151"/>
        <v>19814830</v>
      </c>
      <c r="P259" s="194"/>
      <c r="S259" s="281">
        <f>961875+999375+994875</f>
        <v>2956125</v>
      </c>
      <c r="T259" s="282"/>
      <c r="U259" s="244"/>
    </row>
    <row r="260" spans="1:21" s="127" customFormat="1" ht="18" customHeight="1" x14ac:dyDescent="0.25">
      <c r="A260" s="353"/>
      <c r="B260" s="387"/>
      <c r="C260" s="353"/>
      <c r="D260" s="355" t="s">
        <v>126</v>
      </c>
      <c r="E260" s="355" t="s">
        <v>127</v>
      </c>
      <c r="F260" s="356">
        <v>36000000</v>
      </c>
      <c r="G260" s="140">
        <v>0</v>
      </c>
      <c r="H260" s="140"/>
      <c r="I260" s="140">
        <f>+G260+H260</f>
        <v>0</v>
      </c>
      <c r="J260" s="140">
        <v>7200000</v>
      </c>
      <c r="K260" s="140">
        <v>2400000</v>
      </c>
      <c r="L260" s="140">
        <f>+J260+K260</f>
        <v>9600000</v>
      </c>
      <c r="M260" s="140">
        <f>+I260+L260</f>
        <v>9600000</v>
      </c>
      <c r="N260" s="125">
        <f t="shared" si="151"/>
        <v>26400000</v>
      </c>
      <c r="P260" s="196"/>
      <c r="S260" s="285">
        <v>2400000</v>
      </c>
      <c r="T260" s="286"/>
      <c r="U260" s="245"/>
    </row>
    <row r="261" spans="1:21" s="121" customFormat="1" ht="18" customHeight="1" x14ac:dyDescent="0.25">
      <c r="A261" s="276">
        <v>13</v>
      </c>
      <c r="B261" s="305"/>
      <c r="C261" s="305" t="s">
        <v>128</v>
      </c>
      <c r="D261" s="363"/>
      <c r="E261" s="364" t="s">
        <v>46</v>
      </c>
      <c r="F261" s="307">
        <f>+F262</f>
        <v>38400620000</v>
      </c>
      <c r="G261" s="120">
        <f>+G262</f>
        <v>12220639966</v>
      </c>
      <c r="H261" s="120">
        <f>+H262</f>
        <v>0</v>
      </c>
      <c r="I261" s="120">
        <f>+G261+H261</f>
        <v>12220639966</v>
      </c>
      <c r="J261" s="120">
        <f>+J262</f>
        <v>101096429</v>
      </c>
      <c r="K261" s="120">
        <f>+K262</f>
        <v>52137184</v>
      </c>
      <c r="L261" s="120">
        <f>+J261+K261</f>
        <v>153233613</v>
      </c>
      <c r="M261" s="120">
        <f>+I261+L261</f>
        <v>12373873579</v>
      </c>
      <c r="N261" s="119">
        <f>+F261-M261</f>
        <v>26026746421</v>
      </c>
      <c r="P261" s="190"/>
      <c r="R261" s="122"/>
      <c r="S261" s="283"/>
      <c r="T261" s="283"/>
      <c r="U261" s="246"/>
    </row>
    <row r="262" spans="1:21" s="107" customFormat="1" ht="18" customHeight="1" x14ac:dyDescent="0.25">
      <c r="A262" s="323"/>
      <c r="B262" s="324"/>
      <c r="C262" s="379"/>
      <c r="D262" s="325" t="s">
        <v>207</v>
      </c>
      <c r="E262" s="326" t="s">
        <v>262</v>
      </c>
      <c r="F262" s="327">
        <f>+F263</f>
        <v>38400620000</v>
      </c>
      <c r="G262" s="106">
        <f>+G263</f>
        <v>12220639966</v>
      </c>
      <c r="H262" s="106">
        <f t="shared" ref="F262:H264" si="157">+H263</f>
        <v>0</v>
      </c>
      <c r="I262" s="106">
        <f t="shared" ref="I262:I267" si="158">+G262+H262</f>
        <v>12220639966</v>
      </c>
      <c r="J262" s="106">
        <f t="shared" ref="J262:K264" si="159">+J263</f>
        <v>101096429</v>
      </c>
      <c r="K262" s="106">
        <f t="shared" si="159"/>
        <v>52137184</v>
      </c>
      <c r="L262" s="106">
        <f t="shared" ref="L262:L265" si="160">+J262+K262</f>
        <v>153233613</v>
      </c>
      <c r="M262" s="106">
        <f t="shared" ref="M262:M265" si="161">+I262+L262</f>
        <v>12373873579</v>
      </c>
      <c r="N262" s="105">
        <f>+F262-M262</f>
        <v>26026746421</v>
      </c>
      <c r="P262" s="191"/>
      <c r="R262" s="108"/>
      <c r="S262" s="284"/>
      <c r="T262" s="284"/>
      <c r="U262" s="241"/>
    </row>
    <row r="263" spans="1:21" s="49" customFormat="1" ht="18" customHeight="1" x14ac:dyDescent="0.25">
      <c r="A263" s="334"/>
      <c r="B263" s="352"/>
      <c r="C263" s="334"/>
      <c r="D263" s="335" t="s">
        <v>63</v>
      </c>
      <c r="E263" s="335" t="s">
        <v>30</v>
      </c>
      <c r="F263" s="337">
        <f>+F264+F267</f>
        <v>38400620000</v>
      </c>
      <c r="G263" s="70">
        <f>+G264+G267</f>
        <v>12220639966</v>
      </c>
      <c r="H263" s="70">
        <f>+H264+H267</f>
        <v>0</v>
      </c>
      <c r="I263" s="70">
        <f t="shared" si="158"/>
        <v>12220639966</v>
      </c>
      <c r="J263" s="70">
        <f>+J264+J267</f>
        <v>101096429</v>
      </c>
      <c r="K263" s="70">
        <f>+K264+K267</f>
        <v>52137184</v>
      </c>
      <c r="L263" s="70">
        <f t="shared" si="160"/>
        <v>153233613</v>
      </c>
      <c r="M263" s="70">
        <f t="shared" si="161"/>
        <v>12373873579</v>
      </c>
      <c r="N263" s="47">
        <f>+F263-M263</f>
        <v>26026746421</v>
      </c>
      <c r="P263" s="192"/>
      <c r="S263" s="282"/>
      <c r="T263" s="282"/>
      <c r="U263" s="242"/>
    </row>
    <row r="264" spans="1:21" s="55" customFormat="1" ht="18" customHeight="1" x14ac:dyDescent="0.25">
      <c r="A264" s="334"/>
      <c r="B264" s="335"/>
      <c r="C264" s="334"/>
      <c r="D264" s="365" t="s">
        <v>263</v>
      </c>
      <c r="E264" s="335" t="s">
        <v>264</v>
      </c>
      <c r="F264" s="337">
        <f t="shared" si="157"/>
        <v>35000000</v>
      </c>
      <c r="G264" s="72">
        <f>+G265</f>
        <v>0</v>
      </c>
      <c r="H264" s="72">
        <f t="shared" si="157"/>
        <v>0</v>
      </c>
      <c r="I264" s="72">
        <f t="shared" si="158"/>
        <v>0</v>
      </c>
      <c r="J264" s="72">
        <f t="shared" si="159"/>
        <v>9269779</v>
      </c>
      <c r="K264" s="72">
        <f t="shared" si="159"/>
        <v>3000000</v>
      </c>
      <c r="L264" s="72">
        <f t="shared" si="160"/>
        <v>12269779</v>
      </c>
      <c r="M264" s="72">
        <f t="shared" si="161"/>
        <v>12269779</v>
      </c>
      <c r="N264" s="53">
        <f>+F264-M264</f>
        <v>22730221</v>
      </c>
      <c r="P264" s="195"/>
      <c r="S264" s="282"/>
      <c r="T264" s="282"/>
      <c r="U264" s="243"/>
    </row>
    <row r="265" spans="1:21" s="49" customFormat="1" ht="18" customHeight="1" x14ac:dyDescent="0.25">
      <c r="A265" s="334"/>
      <c r="B265" s="352"/>
      <c r="C265" s="334"/>
      <c r="D265" s="335" t="s">
        <v>64</v>
      </c>
      <c r="E265" s="335" t="s">
        <v>65</v>
      </c>
      <c r="F265" s="337">
        <f>+F266</f>
        <v>35000000</v>
      </c>
      <c r="G265" s="59">
        <f>+G266</f>
        <v>0</v>
      </c>
      <c r="H265" s="59">
        <f>+H266+H270</f>
        <v>0</v>
      </c>
      <c r="I265" s="59">
        <f t="shared" si="158"/>
        <v>0</v>
      </c>
      <c r="J265" s="59">
        <f>J266</f>
        <v>9269779</v>
      </c>
      <c r="K265" s="59">
        <f>+K266</f>
        <v>3000000</v>
      </c>
      <c r="L265" s="59">
        <f t="shared" si="160"/>
        <v>12269779</v>
      </c>
      <c r="M265" s="59">
        <f t="shared" si="161"/>
        <v>12269779</v>
      </c>
      <c r="N265" s="58">
        <f>+F265-M265</f>
        <v>22730221</v>
      </c>
      <c r="P265" s="192"/>
      <c r="S265" s="282"/>
      <c r="T265" s="282"/>
      <c r="U265" s="242"/>
    </row>
    <row r="266" spans="1:21" s="65" customFormat="1" ht="18" customHeight="1" x14ac:dyDescent="0.25">
      <c r="A266" s="334"/>
      <c r="B266" s="352"/>
      <c r="C266" s="334"/>
      <c r="D266" s="335" t="s">
        <v>129</v>
      </c>
      <c r="E266" s="335" t="s">
        <v>130</v>
      </c>
      <c r="F266" s="337">
        <v>35000000</v>
      </c>
      <c r="G266" s="75"/>
      <c r="H266" s="75"/>
      <c r="I266" s="75">
        <f t="shared" si="158"/>
        <v>0</v>
      </c>
      <c r="J266" s="75">
        <v>9269779</v>
      </c>
      <c r="K266" s="75">
        <v>3000000</v>
      </c>
      <c r="L266" s="75">
        <f>+J266+K266</f>
        <v>12269779</v>
      </c>
      <c r="M266" s="75">
        <f>+I266+L266</f>
        <v>12269779</v>
      </c>
      <c r="N266" s="63">
        <f t="shared" ref="N266" si="162">+F266-M266</f>
        <v>22730221</v>
      </c>
      <c r="P266" s="194"/>
      <c r="S266" s="281">
        <v>3000000</v>
      </c>
      <c r="T266" s="282"/>
      <c r="U266" s="244"/>
    </row>
    <row r="267" spans="1:21" s="55" customFormat="1" ht="18" customHeight="1" x14ac:dyDescent="0.25">
      <c r="A267" s="334"/>
      <c r="B267" s="335"/>
      <c r="C267" s="334"/>
      <c r="D267" s="365" t="s">
        <v>271</v>
      </c>
      <c r="E267" s="335" t="s">
        <v>272</v>
      </c>
      <c r="F267" s="337">
        <f t="shared" ref="F267:H267" si="163">+F268</f>
        <v>38365620000</v>
      </c>
      <c r="G267" s="72">
        <f>+G268</f>
        <v>12220639966</v>
      </c>
      <c r="H267" s="72">
        <f t="shared" si="163"/>
        <v>0</v>
      </c>
      <c r="I267" s="72">
        <f t="shared" si="158"/>
        <v>12220639966</v>
      </c>
      <c r="J267" s="72">
        <f>+J268</f>
        <v>91826650</v>
      </c>
      <c r="K267" s="72">
        <f t="shared" ref="K267" si="164">+K268</f>
        <v>49137184</v>
      </c>
      <c r="L267" s="72">
        <f t="shared" ref="L267" si="165">+J267+K267</f>
        <v>140963834</v>
      </c>
      <c r="M267" s="72">
        <f t="shared" ref="M267:M268" si="166">+I267+L267</f>
        <v>12361603800</v>
      </c>
      <c r="N267" s="53">
        <f>+F267-M267</f>
        <v>26004016200</v>
      </c>
      <c r="P267" s="195"/>
      <c r="S267" s="282"/>
      <c r="T267" s="282"/>
      <c r="U267" s="243"/>
    </row>
    <row r="268" spans="1:21" s="49" customFormat="1" ht="18" customHeight="1" x14ac:dyDescent="0.25">
      <c r="A268" s="334"/>
      <c r="B268" s="352"/>
      <c r="C268" s="334"/>
      <c r="D268" s="335" t="s">
        <v>81</v>
      </c>
      <c r="E268" s="335" t="s">
        <v>31</v>
      </c>
      <c r="F268" s="337">
        <f>SUM(F269:F273)</f>
        <v>38365620000</v>
      </c>
      <c r="G268" s="59">
        <f>SUM(G269:G273)</f>
        <v>12220639966</v>
      </c>
      <c r="H268" s="59">
        <f>SUM(H269:H273)</f>
        <v>0</v>
      </c>
      <c r="I268" s="59">
        <f>+G268+H268</f>
        <v>12220639966</v>
      </c>
      <c r="J268" s="59">
        <f>SUM(J269:J273)</f>
        <v>91826650</v>
      </c>
      <c r="K268" s="59">
        <f>SUM(K269:K273)</f>
        <v>49137184</v>
      </c>
      <c r="L268" s="59">
        <f>+J268+K268</f>
        <v>140963834</v>
      </c>
      <c r="M268" s="59">
        <f t="shared" si="166"/>
        <v>12361603800</v>
      </c>
      <c r="N268" s="58">
        <f>+F268-M268</f>
        <v>26004016200</v>
      </c>
      <c r="P268" s="192"/>
      <c r="S268" s="282"/>
      <c r="T268" s="282"/>
      <c r="U268" s="242"/>
    </row>
    <row r="269" spans="1:21" s="65" customFormat="1" ht="18" customHeight="1" x14ac:dyDescent="0.25">
      <c r="A269" s="334"/>
      <c r="B269" s="352"/>
      <c r="C269" s="334"/>
      <c r="D269" s="335" t="s">
        <v>131</v>
      </c>
      <c r="E269" s="335" t="s">
        <v>132</v>
      </c>
      <c r="F269" s="337">
        <v>16800000</v>
      </c>
      <c r="G269" s="75"/>
      <c r="H269" s="75"/>
      <c r="I269" s="75">
        <f t="shared" ref="I269:I273" si="167">+G269+H269</f>
        <v>0</v>
      </c>
      <c r="J269" s="75">
        <v>675821</v>
      </c>
      <c r="K269" s="75">
        <f>34912+34357+34357</f>
        <v>103626</v>
      </c>
      <c r="L269" s="75">
        <f>+J269+K269</f>
        <v>779447</v>
      </c>
      <c r="M269" s="75">
        <f>+I269+L269</f>
        <v>779447</v>
      </c>
      <c r="N269" s="63">
        <f t="shared" ref="N269:N273" si="168">+F269-M269</f>
        <v>16020553</v>
      </c>
      <c r="P269" s="194"/>
      <c r="S269" s="281">
        <f>34912+34357+34357</f>
        <v>103626</v>
      </c>
      <c r="T269" s="282"/>
      <c r="U269" s="244"/>
    </row>
    <row r="270" spans="1:21" s="65" customFormat="1" ht="18" customHeight="1" x14ac:dyDescent="0.25">
      <c r="A270" s="334"/>
      <c r="B270" s="352"/>
      <c r="C270" s="334"/>
      <c r="D270" s="335" t="s">
        <v>133</v>
      </c>
      <c r="E270" s="335" t="s">
        <v>134</v>
      </c>
      <c r="F270" s="337">
        <v>42000000</v>
      </c>
      <c r="G270" s="75">
        <v>0</v>
      </c>
      <c r="H270" s="75"/>
      <c r="I270" s="75">
        <f t="shared" si="167"/>
        <v>0</v>
      </c>
      <c r="J270" s="75">
        <v>9996200</v>
      </c>
      <c r="K270" s="75">
        <f>2199800</f>
        <v>2199800</v>
      </c>
      <c r="L270" s="75">
        <f>+J270+K270</f>
        <v>12196000</v>
      </c>
      <c r="M270" s="75">
        <f>+I270+L270</f>
        <v>12196000</v>
      </c>
      <c r="N270" s="63">
        <f t="shared" si="168"/>
        <v>29804000</v>
      </c>
      <c r="P270" s="194"/>
      <c r="S270" s="281">
        <v>2199800</v>
      </c>
      <c r="T270" s="282"/>
      <c r="U270" s="244"/>
    </row>
    <row r="271" spans="1:21" s="65" customFormat="1" ht="18" customHeight="1" x14ac:dyDescent="0.25">
      <c r="A271" s="334"/>
      <c r="B271" s="352"/>
      <c r="C271" s="334"/>
      <c r="D271" s="335" t="s">
        <v>135</v>
      </c>
      <c r="E271" s="335" t="s">
        <v>136</v>
      </c>
      <c r="F271" s="337">
        <v>37992800000</v>
      </c>
      <c r="G271" s="75">
        <v>12220639966</v>
      </c>
      <c r="H271" s="75"/>
      <c r="I271" s="75">
        <f t="shared" si="167"/>
        <v>12220639966</v>
      </c>
      <c r="J271" s="75">
        <v>64183</v>
      </c>
      <c r="K271" s="75">
        <f>25403758</f>
        <v>25403758</v>
      </c>
      <c r="L271" s="75">
        <f>+J271+K271</f>
        <v>25467941</v>
      </c>
      <c r="M271" s="75">
        <f>+I271+L271</f>
        <v>12246107907</v>
      </c>
      <c r="N271" s="63">
        <f t="shared" si="168"/>
        <v>25746692093</v>
      </c>
      <c r="P271" s="194"/>
      <c r="S271" s="281">
        <v>25403758</v>
      </c>
      <c r="T271" s="282"/>
      <c r="U271" s="244"/>
    </row>
    <row r="272" spans="1:21" s="65" customFormat="1" ht="18" customHeight="1" x14ac:dyDescent="0.25">
      <c r="A272" s="334"/>
      <c r="B272" s="352"/>
      <c r="C272" s="334"/>
      <c r="D272" s="335" t="s">
        <v>137</v>
      </c>
      <c r="E272" s="335" t="s">
        <v>138</v>
      </c>
      <c r="F272" s="337">
        <v>12820000</v>
      </c>
      <c r="G272" s="75"/>
      <c r="H272" s="75"/>
      <c r="I272" s="75">
        <f t="shared" si="167"/>
        <v>0</v>
      </c>
      <c r="J272" s="75">
        <v>1520000</v>
      </c>
      <c r="K272" s="75">
        <v>230000</v>
      </c>
      <c r="L272" s="75">
        <f t="shared" ref="L272:L277" si="169">+J272+K272</f>
        <v>1750000</v>
      </c>
      <c r="M272" s="75">
        <f t="shared" ref="M272:M273" si="170">+I272+L272</f>
        <v>1750000</v>
      </c>
      <c r="N272" s="63">
        <f t="shared" si="168"/>
        <v>11070000</v>
      </c>
      <c r="P272" s="194"/>
      <c r="S272" s="281">
        <v>230000</v>
      </c>
      <c r="T272" s="282"/>
      <c r="U272" s="244"/>
    </row>
    <row r="273" spans="1:21" s="65" customFormat="1" ht="18" customHeight="1" x14ac:dyDescent="0.25">
      <c r="A273" s="334"/>
      <c r="B273" s="352"/>
      <c r="C273" s="334"/>
      <c r="D273" s="335" t="s">
        <v>139</v>
      </c>
      <c r="E273" s="335" t="s">
        <v>140</v>
      </c>
      <c r="F273" s="337">
        <v>301200000</v>
      </c>
      <c r="G273" s="75"/>
      <c r="H273" s="75"/>
      <c r="I273" s="75">
        <f t="shared" si="167"/>
        <v>0</v>
      </c>
      <c r="J273" s="75">
        <v>79570446</v>
      </c>
      <c r="K273" s="75">
        <f>19850000+1350000</f>
        <v>21200000</v>
      </c>
      <c r="L273" s="75">
        <f t="shared" si="169"/>
        <v>100770446</v>
      </c>
      <c r="M273" s="75">
        <f t="shared" si="170"/>
        <v>100770446</v>
      </c>
      <c r="N273" s="63">
        <f t="shared" si="168"/>
        <v>200429554</v>
      </c>
      <c r="P273" s="194"/>
      <c r="S273" s="281">
        <f>1350000+19850000</f>
        <v>21200000</v>
      </c>
      <c r="T273" s="282"/>
      <c r="U273" s="244"/>
    </row>
    <row r="274" spans="1:21" s="121" customFormat="1" ht="18" customHeight="1" x14ac:dyDescent="0.25">
      <c r="A274" s="276">
        <v>14</v>
      </c>
      <c r="B274" s="305"/>
      <c r="C274" s="305" t="s">
        <v>141</v>
      </c>
      <c r="D274" s="363"/>
      <c r="E274" s="364" t="s">
        <v>142</v>
      </c>
      <c r="F274" s="307">
        <f>+F275</f>
        <v>100000000</v>
      </c>
      <c r="G274" s="120">
        <f>+G275</f>
        <v>99545055</v>
      </c>
      <c r="H274" s="120">
        <f>+H275</f>
        <v>0</v>
      </c>
      <c r="I274" s="120">
        <f>+G274+H274</f>
        <v>99545055</v>
      </c>
      <c r="J274" s="120">
        <f>+J275</f>
        <v>0</v>
      </c>
      <c r="K274" s="120">
        <f>+K275</f>
        <v>0</v>
      </c>
      <c r="L274" s="120">
        <f t="shared" si="169"/>
        <v>0</v>
      </c>
      <c r="M274" s="120">
        <f>+I274+L274</f>
        <v>99545055</v>
      </c>
      <c r="N274" s="119">
        <f>+F274-M274</f>
        <v>454945</v>
      </c>
      <c r="P274" s="190"/>
      <c r="R274" s="122"/>
      <c r="S274" s="283"/>
      <c r="T274" s="283"/>
      <c r="U274" s="246"/>
    </row>
    <row r="275" spans="1:21" s="107" customFormat="1" ht="16.5" customHeight="1" x14ac:dyDescent="0.25">
      <c r="A275" s="323"/>
      <c r="B275" s="324"/>
      <c r="C275" s="324"/>
      <c r="D275" s="325" t="s">
        <v>207</v>
      </c>
      <c r="E275" s="326" t="s">
        <v>262</v>
      </c>
      <c r="F275" s="327">
        <f>+F276</f>
        <v>100000000</v>
      </c>
      <c r="G275" s="106">
        <f>+G276</f>
        <v>99545055</v>
      </c>
      <c r="H275" s="106">
        <f t="shared" ref="F275:H277" si="171">+H276</f>
        <v>0</v>
      </c>
      <c r="I275" s="106">
        <f t="shared" ref="I275:I281" si="172">+G275+H275</f>
        <v>99545055</v>
      </c>
      <c r="J275" s="106">
        <f t="shared" ref="J275:J277" si="173">+J276</f>
        <v>0</v>
      </c>
      <c r="K275" s="106">
        <f>+K276</f>
        <v>0</v>
      </c>
      <c r="L275" s="106">
        <f t="shared" si="169"/>
        <v>0</v>
      </c>
      <c r="M275" s="106">
        <f t="shared" ref="M275:M278" si="174">+I275+L275</f>
        <v>99545055</v>
      </c>
      <c r="N275" s="105">
        <f>+F275-M275</f>
        <v>454945</v>
      </c>
      <c r="P275" s="191"/>
      <c r="R275" s="108"/>
      <c r="S275" s="284"/>
      <c r="T275" s="284"/>
      <c r="U275" s="241"/>
    </row>
    <row r="276" spans="1:21" s="49" customFormat="1" ht="16.5" customHeight="1" x14ac:dyDescent="0.25">
      <c r="A276" s="334"/>
      <c r="B276" s="352"/>
      <c r="C276" s="334"/>
      <c r="D276" s="335" t="s">
        <v>63</v>
      </c>
      <c r="E276" s="335" t="s">
        <v>30</v>
      </c>
      <c r="F276" s="337">
        <f>F277</f>
        <v>100000000</v>
      </c>
      <c r="G276" s="70">
        <f>+G277</f>
        <v>99545055</v>
      </c>
      <c r="H276" s="70">
        <f t="shared" si="171"/>
        <v>0</v>
      </c>
      <c r="I276" s="70">
        <f t="shared" si="172"/>
        <v>99545055</v>
      </c>
      <c r="J276" s="70">
        <f t="shared" si="173"/>
        <v>0</v>
      </c>
      <c r="K276" s="70">
        <f>+K277</f>
        <v>0</v>
      </c>
      <c r="L276" s="70">
        <f t="shared" si="169"/>
        <v>0</v>
      </c>
      <c r="M276" s="70">
        <f t="shared" si="174"/>
        <v>99545055</v>
      </c>
      <c r="N276" s="47">
        <f>+F276-M276</f>
        <v>454945</v>
      </c>
      <c r="P276" s="192"/>
      <c r="S276" s="282"/>
      <c r="T276" s="282"/>
      <c r="U276" s="242"/>
    </row>
    <row r="277" spans="1:21" s="55" customFormat="1" ht="16.5" customHeight="1" x14ac:dyDescent="0.25">
      <c r="A277" s="334"/>
      <c r="B277" s="335"/>
      <c r="C277" s="334"/>
      <c r="D277" s="365" t="s">
        <v>263</v>
      </c>
      <c r="E277" s="335" t="s">
        <v>264</v>
      </c>
      <c r="F277" s="337">
        <f t="shared" si="171"/>
        <v>100000000</v>
      </c>
      <c r="G277" s="72">
        <f>+G278</f>
        <v>99545055</v>
      </c>
      <c r="H277" s="72">
        <f t="shared" si="171"/>
        <v>0</v>
      </c>
      <c r="I277" s="72">
        <f t="shared" si="172"/>
        <v>99545055</v>
      </c>
      <c r="J277" s="72">
        <f t="shared" si="173"/>
        <v>0</v>
      </c>
      <c r="K277" s="72">
        <f>+K278</f>
        <v>0</v>
      </c>
      <c r="L277" s="72">
        <f t="shared" si="169"/>
        <v>0</v>
      </c>
      <c r="M277" s="72">
        <f t="shared" si="174"/>
        <v>99545055</v>
      </c>
      <c r="N277" s="53">
        <f>+F277-M277</f>
        <v>454945</v>
      </c>
      <c r="P277" s="195"/>
      <c r="S277" s="282"/>
      <c r="T277" s="282"/>
      <c r="U277" s="243"/>
    </row>
    <row r="278" spans="1:21" s="49" customFormat="1" ht="16.5" customHeight="1" x14ac:dyDescent="0.25">
      <c r="A278" s="334"/>
      <c r="B278" s="352"/>
      <c r="C278" s="334"/>
      <c r="D278" s="335" t="s">
        <v>64</v>
      </c>
      <c r="E278" s="335" t="s">
        <v>65</v>
      </c>
      <c r="F278" s="337">
        <f>SUM(F279:F282)</f>
        <v>100000000</v>
      </c>
      <c r="G278" s="59">
        <f>SUM(G279:G282)</f>
        <v>99545055</v>
      </c>
      <c r="H278" s="59">
        <f>SUM(H279:H282)</f>
        <v>0</v>
      </c>
      <c r="I278" s="59">
        <f>+G278+H278</f>
        <v>99545055</v>
      </c>
      <c r="J278" s="59">
        <f>SUM(J279:J282)</f>
        <v>0</v>
      </c>
      <c r="K278" s="59">
        <f>SUM(K279:K282)</f>
        <v>0</v>
      </c>
      <c r="L278" s="59">
        <f>+J278+K278</f>
        <v>0</v>
      </c>
      <c r="M278" s="59">
        <f t="shared" si="174"/>
        <v>99545055</v>
      </c>
      <c r="N278" s="58">
        <f>+F278-M278</f>
        <v>454945</v>
      </c>
      <c r="P278" s="192"/>
      <c r="S278" s="282"/>
      <c r="T278" s="282"/>
      <c r="U278" s="242"/>
    </row>
    <row r="279" spans="1:21" s="65" customFormat="1" ht="16.5" customHeight="1" x14ac:dyDescent="0.25">
      <c r="A279" s="334"/>
      <c r="B279" s="352"/>
      <c r="C279" s="334"/>
      <c r="D279" s="335" t="s">
        <v>66</v>
      </c>
      <c r="E279" s="335" t="s">
        <v>67</v>
      </c>
      <c r="F279" s="337">
        <v>57982150</v>
      </c>
      <c r="G279" s="75">
        <v>57659915</v>
      </c>
      <c r="H279" s="75"/>
      <c r="I279" s="75">
        <f t="shared" si="172"/>
        <v>57659915</v>
      </c>
      <c r="J279" s="75"/>
      <c r="K279" s="75"/>
      <c r="L279" s="75">
        <f>+J279+K279</f>
        <v>0</v>
      </c>
      <c r="M279" s="75">
        <f>+I279+L279</f>
        <v>57659915</v>
      </c>
      <c r="N279" s="63">
        <f t="shared" ref="N279:N282" si="175">+F279-M279</f>
        <v>322235</v>
      </c>
      <c r="P279" s="194"/>
      <c r="S279" s="282"/>
      <c r="T279" s="282"/>
      <c r="U279" s="244"/>
    </row>
    <row r="280" spans="1:21" s="65" customFormat="1" ht="18" customHeight="1" x14ac:dyDescent="0.25">
      <c r="A280" s="334"/>
      <c r="B280" s="352"/>
      <c r="C280" s="334"/>
      <c r="D280" s="335" t="s">
        <v>337</v>
      </c>
      <c r="E280" s="335" t="s">
        <v>338</v>
      </c>
      <c r="F280" s="337">
        <v>29743300</v>
      </c>
      <c r="G280" s="75">
        <v>29686975</v>
      </c>
      <c r="H280" s="75"/>
      <c r="I280" s="75">
        <f t="shared" si="172"/>
        <v>29686975</v>
      </c>
      <c r="J280" s="75"/>
      <c r="K280" s="75"/>
      <c r="L280" s="75"/>
      <c r="M280" s="75">
        <f t="shared" ref="M280:M281" si="176">+I280+L280</f>
        <v>29686975</v>
      </c>
      <c r="N280" s="63">
        <f t="shared" si="175"/>
        <v>56325</v>
      </c>
      <c r="P280" s="194"/>
      <c r="S280" s="282"/>
      <c r="T280" s="282"/>
      <c r="U280" s="244"/>
    </row>
    <row r="281" spans="1:21" s="65" customFormat="1" ht="18" customHeight="1" x14ac:dyDescent="0.25">
      <c r="A281" s="334"/>
      <c r="B281" s="352"/>
      <c r="C281" s="334"/>
      <c r="D281" s="335" t="s">
        <v>339</v>
      </c>
      <c r="E281" s="335" t="s">
        <v>340</v>
      </c>
      <c r="F281" s="337">
        <v>8842500</v>
      </c>
      <c r="G281" s="75">
        <v>8822700</v>
      </c>
      <c r="H281" s="75"/>
      <c r="I281" s="75">
        <f t="shared" si="172"/>
        <v>8822700</v>
      </c>
      <c r="J281" s="75"/>
      <c r="K281" s="75"/>
      <c r="L281" s="75"/>
      <c r="M281" s="75">
        <f t="shared" si="176"/>
        <v>8822700</v>
      </c>
      <c r="N281" s="63">
        <f t="shared" si="175"/>
        <v>19800</v>
      </c>
      <c r="P281" s="194"/>
      <c r="S281" s="282"/>
      <c r="T281" s="282"/>
      <c r="U281" s="244"/>
    </row>
    <row r="282" spans="1:21" s="127" customFormat="1" ht="18" customHeight="1" x14ac:dyDescent="0.25">
      <c r="A282" s="353"/>
      <c r="B282" s="387"/>
      <c r="C282" s="353"/>
      <c r="D282" s="355" t="s">
        <v>361</v>
      </c>
      <c r="E282" s="355" t="s">
        <v>362</v>
      </c>
      <c r="F282" s="356">
        <v>3432050</v>
      </c>
      <c r="G282" s="140">
        <v>3375465</v>
      </c>
      <c r="H282" s="140"/>
      <c r="I282" s="140">
        <f>+G282+H282</f>
        <v>3375465</v>
      </c>
      <c r="J282" s="140"/>
      <c r="K282" s="140"/>
      <c r="L282" s="140">
        <f>+J282+K282</f>
        <v>0</v>
      </c>
      <c r="M282" s="140">
        <f>+I282+L282</f>
        <v>3375465</v>
      </c>
      <c r="N282" s="125">
        <f t="shared" si="175"/>
        <v>56585</v>
      </c>
      <c r="P282" s="196"/>
      <c r="S282" s="286"/>
      <c r="T282" s="286"/>
      <c r="U282" s="245"/>
    </row>
    <row r="283" spans="1:21" s="121" customFormat="1" ht="18" customHeight="1" x14ac:dyDescent="0.25">
      <c r="A283" s="275">
        <v>15</v>
      </c>
      <c r="B283" s="305"/>
      <c r="C283" s="305" t="s">
        <v>363</v>
      </c>
      <c r="D283" s="363"/>
      <c r="E283" s="364" t="s">
        <v>364</v>
      </c>
      <c r="F283" s="307">
        <f t="shared" ref="F283:H284" si="177">+F284</f>
        <v>1060812675</v>
      </c>
      <c r="G283" s="120">
        <f t="shared" si="177"/>
        <v>55020675</v>
      </c>
      <c r="H283" s="120">
        <f t="shared" si="177"/>
        <v>0</v>
      </c>
      <c r="I283" s="120">
        <f>+G283+H283</f>
        <v>55020675</v>
      </c>
      <c r="J283" s="120">
        <f>+J284</f>
        <v>242920000</v>
      </c>
      <c r="K283" s="120">
        <f>+K284</f>
        <v>182480000</v>
      </c>
      <c r="L283" s="120">
        <f>+J283+K283</f>
        <v>425400000</v>
      </c>
      <c r="M283" s="120">
        <f>+I283+L283</f>
        <v>480420675</v>
      </c>
      <c r="N283" s="119">
        <f>+F283-M283</f>
        <v>580392000</v>
      </c>
      <c r="P283" s="190"/>
      <c r="R283" s="122"/>
      <c r="S283" s="283"/>
      <c r="T283" s="283"/>
      <c r="U283" s="246"/>
    </row>
    <row r="284" spans="1:21" s="107" customFormat="1" ht="18" customHeight="1" x14ac:dyDescent="0.25">
      <c r="A284" s="323"/>
      <c r="B284" s="324"/>
      <c r="C284" s="324"/>
      <c r="D284" s="325" t="s">
        <v>207</v>
      </c>
      <c r="E284" s="326" t="s">
        <v>262</v>
      </c>
      <c r="F284" s="327">
        <f t="shared" si="177"/>
        <v>1060812675</v>
      </c>
      <c r="G284" s="106">
        <f t="shared" si="177"/>
        <v>55020675</v>
      </c>
      <c r="H284" s="106">
        <f t="shared" si="177"/>
        <v>0</v>
      </c>
      <c r="I284" s="106">
        <f t="shared" ref="I284:I288" si="178">+G284+H284</f>
        <v>55020675</v>
      </c>
      <c r="J284" s="106">
        <f>+J285</f>
        <v>242920000</v>
      </c>
      <c r="K284" s="106">
        <f>+K285</f>
        <v>182480000</v>
      </c>
      <c r="L284" s="106">
        <f t="shared" ref="L284:L286" si="179">+J284+K284</f>
        <v>425400000</v>
      </c>
      <c r="M284" s="106">
        <f t="shared" ref="M284:M287" si="180">+I284+L284</f>
        <v>480420675</v>
      </c>
      <c r="N284" s="105">
        <f>+F284-M284</f>
        <v>580392000</v>
      </c>
      <c r="P284" s="191"/>
      <c r="R284" s="108"/>
      <c r="S284" s="284"/>
      <c r="T284" s="284"/>
      <c r="U284" s="241"/>
    </row>
    <row r="285" spans="1:21" s="49" customFormat="1" ht="18" customHeight="1" x14ac:dyDescent="0.25">
      <c r="A285" s="334"/>
      <c r="B285" s="352"/>
      <c r="C285" s="334"/>
      <c r="D285" s="335" t="s">
        <v>63</v>
      </c>
      <c r="E285" s="335" t="s">
        <v>30</v>
      </c>
      <c r="F285" s="337">
        <f>+F286+F296</f>
        <v>1060812675</v>
      </c>
      <c r="G285" s="70">
        <f>+G286+G296</f>
        <v>55020675</v>
      </c>
      <c r="H285" s="70">
        <f>+H286+H296</f>
        <v>0</v>
      </c>
      <c r="I285" s="70">
        <f t="shared" si="178"/>
        <v>55020675</v>
      </c>
      <c r="J285" s="70">
        <f>+J286+J296</f>
        <v>242920000</v>
      </c>
      <c r="K285" s="70">
        <f>+K286+K296</f>
        <v>182480000</v>
      </c>
      <c r="L285" s="70">
        <f t="shared" si="179"/>
        <v>425400000</v>
      </c>
      <c r="M285" s="70">
        <f t="shared" si="180"/>
        <v>480420675</v>
      </c>
      <c r="N285" s="47">
        <f>+F285-M285</f>
        <v>580392000</v>
      </c>
      <c r="P285" s="192"/>
      <c r="S285" s="282"/>
      <c r="T285" s="282"/>
      <c r="U285" s="242"/>
    </row>
    <row r="286" spans="1:21" s="55" customFormat="1" ht="18" customHeight="1" x14ac:dyDescent="0.25">
      <c r="A286" s="334"/>
      <c r="B286" s="335"/>
      <c r="C286" s="334"/>
      <c r="D286" s="365" t="s">
        <v>263</v>
      </c>
      <c r="E286" s="335" t="s">
        <v>264</v>
      </c>
      <c r="F286" s="337">
        <f>+F287</f>
        <v>105412675</v>
      </c>
      <c r="G286" s="72">
        <f t="shared" ref="G286:J286" si="181">+G287</f>
        <v>55020675</v>
      </c>
      <c r="H286" s="72">
        <f>+H287</f>
        <v>0</v>
      </c>
      <c r="I286" s="72">
        <f t="shared" si="178"/>
        <v>55020675</v>
      </c>
      <c r="J286" s="72">
        <f t="shared" si="181"/>
        <v>0</v>
      </c>
      <c r="K286" s="72">
        <f>+K287</f>
        <v>0</v>
      </c>
      <c r="L286" s="72">
        <f t="shared" si="179"/>
        <v>0</v>
      </c>
      <c r="M286" s="72">
        <f t="shared" si="180"/>
        <v>55020675</v>
      </c>
      <c r="N286" s="53">
        <f>+F286-M286</f>
        <v>50392000</v>
      </c>
      <c r="P286" s="195"/>
      <c r="S286" s="282"/>
      <c r="T286" s="282"/>
      <c r="U286" s="243"/>
    </row>
    <row r="287" spans="1:21" s="49" customFormat="1" ht="18" customHeight="1" x14ac:dyDescent="0.25">
      <c r="A287" s="334"/>
      <c r="B287" s="352"/>
      <c r="C287" s="334"/>
      <c r="D287" s="335" t="s">
        <v>64</v>
      </c>
      <c r="E287" s="335" t="s">
        <v>65</v>
      </c>
      <c r="F287" s="337">
        <f>SUM(F288:F295)</f>
        <v>105412675</v>
      </c>
      <c r="G287" s="59">
        <f>SUM(G288:G295)</f>
        <v>55020675</v>
      </c>
      <c r="H287" s="59">
        <f>SUM(H288:H295)</f>
        <v>0</v>
      </c>
      <c r="I287" s="59">
        <f>+G287+H287</f>
        <v>55020675</v>
      </c>
      <c r="J287" s="59">
        <f>SUM(J288:J295)</f>
        <v>0</v>
      </c>
      <c r="K287" s="59">
        <f>SUM(K288:K295)</f>
        <v>0</v>
      </c>
      <c r="L287" s="59">
        <f>+J287+K287</f>
        <v>0</v>
      </c>
      <c r="M287" s="59">
        <f t="shared" si="180"/>
        <v>55020675</v>
      </c>
      <c r="N287" s="58">
        <f>+F287-M287</f>
        <v>50392000</v>
      </c>
      <c r="P287" s="192"/>
      <c r="S287" s="282"/>
      <c r="T287" s="282"/>
      <c r="U287" s="242"/>
    </row>
    <row r="288" spans="1:21" s="65" customFormat="1" ht="18" customHeight="1" x14ac:dyDescent="0.25">
      <c r="A288" s="366"/>
      <c r="B288" s="339"/>
      <c r="C288" s="366"/>
      <c r="D288" s="367" t="s">
        <v>365</v>
      </c>
      <c r="E288" s="367" t="s">
        <v>366</v>
      </c>
      <c r="F288" s="370">
        <v>9228650</v>
      </c>
      <c r="G288" s="163"/>
      <c r="H288" s="163"/>
      <c r="I288" s="163">
        <f t="shared" si="178"/>
        <v>0</v>
      </c>
      <c r="J288" s="163"/>
      <c r="K288" s="163"/>
      <c r="L288" s="163">
        <f>+J288+K288</f>
        <v>0</v>
      </c>
      <c r="M288" s="163">
        <f>+I288+L288</f>
        <v>0</v>
      </c>
      <c r="N288" s="173">
        <f t="shared" ref="N288:N295" si="182">+F288-M288</f>
        <v>9228650</v>
      </c>
      <c r="P288" s="194"/>
      <c r="S288" s="282"/>
      <c r="T288" s="282"/>
      <c r="U288" s="244"/>
    </row>
    <row r="289" spans="1:21" s="65" customFormat="1" ht="18" customHeight="1" x14ac:dyDescent="0.25">
      <c r="A289" s="366"/>
      <c r="B289" s="339"/>
      <c r="C289" s="366"/>
      <c r="D289" s="367" t="s">
        <v>66</v>
      </c>
      <c r="E289" s="367" t="s">
        <v>67</v>
      </c>
      <c r="F289" s="370">
        <v>4831925</v>
      </c>
      <c r="G289" s="163"/>
      <c r="H289" s="163"/>
      <c r="I289" s="163"/>
      <c r="J289" s="163"/>
      <c r="K289" s="163"/>
      <c r="L289" s="163">
        <f t="shared" ref="L289:L301" si="183">+J289+K289</f>
        <v>0</v>
      </c>
      <c r="M289" s="163">
        <f t="shared" ref="M289:M297" si="184">+I289+L289</f>
        <v>0</v>
      </c>
      <c r="N289" s="173">
        <f t="shared" si="182"/>
        <v>4831925</v>
      </c>
      <c r="P289" s="194"/>
      <c r="S289" s="282"/>
      <c r="T289" s="282"/>
      <c r="U289" s="244"/>
    </row>
    <row r="290" spans="1:21" s="65" customFormat="1" ht="18" customHeight="1" x14ac:dyDescent="0.25">
      <c r="A290" s="366"/>
      <c r="B290" s="339"/>
      <c r="C290" s="366"/>
      <c r="D290" s="367" t="s">
        <v>337</v>
      </c>
      <c r="E290" s="367" t="s">
        <v>338</v>
      </c>
      <c r="F290" s="370">
        <v>18985000</v>
      </c>
      <c r="G290" s="163"/>
      <c r="H290" s="163"/>
      <c r="I290" s="163"/>
      <c r="J290" s="163"/>
      <c r="K290" s="163"/>
      <c r="L290" s="163">
        <f t="shared" si="183"/>
        <v>0</v>
      </c>
      <c r="M290" s="163">
        <f t="shared" si="184"/>
        <v>0</v>
      </c>
      <c r="N290" s="173">
        <f t="shared" si="182"/>
        <v>18985000</v>
      </c>
      <c r="P290" s="194"/>
      <c r="S290" s="282"/>
      <c r="T290" s="282"/>
      <c r="U290" s="244"/>
    </row>
    <row r="291" spans="1:21" s="65" customFormat="1" ht="18" customHeight="1" x14ac:dyDescent="0.25">
      <c r="A291" s="366"/>
      <c r="B291" s="339"/>
      <c r="C291" s="366"/>
      <c r="D291" s="367" t="s">
        <v>339</v>
      </c>
      <c r="E291" s="367" t="s">
        <v>340</v>
      </c>
      <c r="F291" s="370">
        <v>2175000</v>
      </c>
      <c r="G291" s="163"/>
      <c r="H291" s="163"/>
      <c r="I291" s="163"/>
      <c r="J291" s="163"/>
      <c r="K291" s="163"/>
      <c r="L291" s="163">
        <f t="shared" si="183"/>
        <v>0</v>
      </c>
      <c r="M291" s="163">
        <f t="shared" si="184"/>
        <v>0</v>
      </c>
      <c r="N291" s="173">
        <f t="shared" si="182"/>
        <v>2175000</v>
      </c>
      <c r="P291" s="194"/>
      <c r="S291" s="282"/>
      <c r="T291" s="282"/>
      <c r="U291" s="244"/>
    </row>
    <row r="292" spans="1:21" s="65" customFormat="1" ht="18" customHeight="1" x14ac:dyDescent="0.25">
      <c r="A292" s="366"/>
      <c r="B292" s="339"/>
      <c r="C292" s="366"/>
      <c r="D292" s="367" t="s">
        <v>367</v>
      </c>
      <c r="E292" s="367" t="s">
        <v>368</v>
      </c>
      <c r="F292" s="370">
        <v>55592100</v>
      </c>
      <c r="G292" s="163">
        <v>55020675</v>
      </c>
      <c r="H292" s="163"/>
      <c r="I292" s="163">
        <f>+G292+H292</f>
        <v>55020675</v>
      </c>
      <c r="J292" s="163"/>
      <c r="K292" s="163"/>
      <c r="L292" s="163">
        <f t="shared" si="183"/>
        <v>0</v>
      </c>
      <c r="M292" s="163">
        <f t="shared" si="184"/>
        <v>55020675</v>
      </c>
      <c r="N292" s="173">
        <f t="shared" si="182"/>
        <v>571425</v>
      </c>
      <c r="P292" s="194"/>
      <c r="S292" s="282"/>
      <c r="T292" s="282"/>
      <c r="U292" s="244"/>
    </row>
    <row r="293" spans="1:21" s="65" customFormat="1" ht="22.5" customHeight="1" x14ac:dyDescent="0.25">
      <c r="A293" s="366"/>
      <c r="B293" s="339"/>
      <c r="C293" s="366"/>
      <c r="D293" s="367" t="s">
        <v>369</v>
      </c>
      <c r="E293" s="367" t="s">
        <v>370</v>
      </c>
      <c r="F293" s="370">
        <v>7200000</v>
      </c>
      <c r="G293" s="163"/>
      <c r="H293" s="163"/>
      <c r="I293" s="163"/>
      <c r="J293" s="163"/>
      <c r="K293" s="163"/>
      <c r="L293" s="163">
        <f t="shared" si="183"/>
        <v>0</v>
      </c>
      <c r="M293" s="163">
        <f t="shared" si="184"/>
        <v>0</v>
      </c>
      <c r="N293" s="173">
        <f t="shared" si="182"/>
        <v>7200000</v>
      </c>
      <c r="P293" s="194"/>
      <c r="S293" s="282"/>
      <c r="T293" s="282"/>
      <c r="U293" s="244"/>
    </row>
    <row r="294" spans="1:21" s="65" customFormat="1" ht="18" customHeight="1" x14ac:dyDescent="0.25">
      <c r="A294" s="366"/>
      <c r="B294" s="339"/>
      <c r="C294" s="366"/>
      <c r="D294" s="367" t="s">
        <v>70</v>
      </c>
      <c r="E294" s="367" t="s">
        <v>33</v>
      </c>
      <c r="F294" s="370">
        <v>5000000</v>
      </c>
      <c r="G294" s="163"/>
      <c r="H294" s="163"/>
      <c r="I294" s="163"/>
      <c r="J294" s="163"/>
      <c r="K294" s="163"/>
      <c r="L294" s="163">
        <f t="shared" si="183"/>
        <v>0</v>
      </c>
      <c r="M294" s="163">
        <f t="shared" si="184"/>
        <v>0</v>
      </c>
      <c r="N294" s="173">
        <f t="shared" si="182"/>
        <v>5000000</v>
      </c>
      <c r="P294" s="194"/>
      <c r="S294" s="282"/>
      <c r="T294" s="282"/>
      <c r="U294" s="244"/>
    </row>
    <row r="295" spans="1:21" s="65" customFormat="1" ht="18" customHeight="1" x14ac:dyDescent="0.25">
      <c r="A295" s="366"/>
      <c r="B295" s="339"/>
      <c r="C295" s="366"/>
      <c r="D295" s="367" t="s">
        <v>374</v>
      </c>
      <c r="E295" s="367" t="s">
        <v>375</v>
      </c>
      <c r="F295" s="370">
        <v>2400000</v>
      </c>
      <c r="G295" s="163"/>
      <c r="H295" s="163"/>
      <c r="I295" s="163"/>
      <c r="J295" s="163"/>
      <c r="K295" s="163"/>
      <c r="L295" s="163">
        <f t="shared" si="183"/>
        <v>0</v>
      </c>
      <c r="M295" s="163">
        <f t="shared" si="184"/>
        <v>0</v>
      </c>
      <c r="N295" s="173">
        <f t="shared" si="182"/>
        <v>2400000</v>
      </c>
      <c r="P295" s="194"/>
      <c r="S295" s="282"/>
      <c r="T295" s="282"/>
      <c r="U295" s="244"/>
    </row>
    <row r="296" spans="1:21" s="55" customFormat="1" ht="18" customHeight="1" x14ac:dyDescent="0.25">
      <c r="A296" s="334"/>
      <c r="B296" s="335"/>
      <c r="C296" s="334"/>
      <c r="D296" s="365" t="s">
        <v>271</v>
      </c>
      <c r="E296" s="335" t="s">
        <v>272</v>
      </c>
      <c r="F296" s="337">
        <f t="shared" ref="F296:J296" si="185">+F297</f>
        <v>955400000</v>
      </c>
      <c r="G296" s="72">
        <f t="shared" si="185"/>
        <v>0</v>
      </c>
      <c r="H296" s="72">
        <f>+H297</f>
        <v>0</v>
      </c>
      <c r="I296" s="72">
        <f>+G296+H296</f>
        <v>0</v>
      </c>
      <c r="J296" s="72">
        <f t="shared" si="185"/>
        <v>242920000</v>
      </c>
      <c r="K296" s="72">
        <f>+K297</f>
        <v>182480000</v>
      </c>
      <c r="L296" s="72">
        <f t="shared" si="183"/>
        <v>425400000</v>
      </c>
      <c r="M296" s="72">
        <f t="shared" si="184"/>
        <v>425400000</v>
      </c>
      <c r="N296" s="53">
        <f>+F296-M296</f>
        <v>530000000</v>
      </c>
      <c r="P296" s="195"/>
      <c r="S296" s="282"/>
      <c r="T296" s="282"/>
      <c r="U296" s="243"/>
    </row>
    <row r="297" spans="1:21" s="49" customFormat="1" ht="18" customHeight="1" x14ac:dyDescent="0.25">
      <c r="A297" s="334"/>
      <c r="B297" s="352"/>
      <c r="C297" s="334"/>
      <c r="D297" s="335" t="s">
        <v>81</v>
      </c>
      <c r="E297" s="335" t="s">
        <v>31</v>
      </c>
      <c r="F297" s="337">
        <f>SUM(F298:F301)</f>
        <v>955400000</v>
      </c>
      <c r="G297" s="59">
        <f>SUM(G298:G301)</f>
        <v>0</v>
      </c>
      <c r="H297" s="59">
        <f>SUM(H298:H301)</f>
        <v>0</v>
      </c>
      <c r="I297" s="59">
        <f>+G297+H297</f>
        <v>0</v>
      </c>
      <c r="J297" s="59">
        <f>SUM(J298:J301)</f>
        <v>242920000</v>
      </c>
      <c r="K297" s="59">
        <f>SUM(K298:K301)</f>
        <v>182480000</v>
      </c>
      <c r="L297" s="59">
        <f t="shared" si="183"/>
        <v>425400000</v>
      </c>
      <c r="M297" s="59">
        <f t="shared" si="184"/>
        <v>425400000</v>
      </c>
      <c r="N297" s="58">
        <f>+F297-M297</f>
        <v>530000000</v>
      </c>
      <c r="P297" s="192"/>
      <c r="S297" s="282"/>
      <c r="T297" s="282"/>
      <c r="U297" s="242"/>
    </row>
    <row r="298" spans="1:21" s="65" customFormat="1" ht="18" customHeight="1" x14ac:dyDescent="0.25">
      <c r="A298" s="334"/>
      <c r="B298" s="352"/>
      <c r="C298" s="334"/>
      <c r="D298" s="335" t="s">
        <v>100</v>
      </c>
      <c r="E298" s="335" t="s">
        <v>101</v>
      </c>
      <c r="F298" s="337">
        <v>336000000</v>
      </c>
      <c r="G298" s="75"/>
      <c r="H298" s="75"/>
      <c r="I298" s="75">
        <f t="shared" ref="I298:I299" si="186">+G298+H298</f>
        <v>0</v>
      </c>
      <c r="J298" s="75"/>
      <c r="K298" s="75"/>
      <c r="L298" s="75">
        <f t="shared" si="183"/>
        <v>0</v>
      </c>
      <c r="M298" s="75">
        <f>+I298+L298</f>
        <v>0</v>
      </c>
      <c r="N298" s="63">
        <f t="shared" ref="N298:N301" si="187">+F298-M298</f>
        <v>336000000</v>
      </c>
      <c r="P298" s="194"/>
      <c r="S298" s="282"/>
      <c r="T298" s="282"/>
      <c r="U298" s="244"/>
    </row>
    <row r="299" spans="1:21" s="65" customFormat="1" ht="18" customHeight="1" x14ac:dyDescent="0.25">
      <c r="A299" s="334"/>
      <c r="B299" s="352"/>
      <c r="C299" s="334"/>
      <c r="D299" s="335" t="s">
        <v>474</v>
      </c>
      <c r="E299" s="335" t="s">
        <v>475</v>
      </c>
      <c r="F299" s="337">
        <v>350000000</v>
      </c>
      <c r="G299" s="75"/>
      <c r="H299" s="75"/>
      <c r="I299" s="75">
        <f t="shared" si="186"/>
        <v>0</v>
      </c>
      <c r="J299" s="75"/>
      <c r="K299" s="75">
        <f>91800000+90680000</f>
        <v>182480000</v>
      </c>
      <c r="L299" s="75">
        <f t="shared" si="183"/>
        <v>182480000</v>
      </c>
      <c r="M299" s="75">
        <f>+I299+L299</f>
        <v>182480000</v>
      </c>
      <c r="N299" s="63">
        <f t="shared" si="187"/>
        <v>167520000</v>
      </c>
      <c r="P299" s="194"/>
      <c r="S299" s="281">
        <f>91800000+90680000</f>
        <v>182480000</v>
      </c>
      <c r="T299" s="282"/>
      <c r="U299" s="244"/>
    </row>
    <row r="300" spans="1:21" s="65" customFormat="1" ht="18" customHeight="1" x14ac:dyDescent="0.25">
      <c r="A300" s="334"/>
      <c r="B300" s="352"/>
      <c r="C300" s="334"/>
      <c r="D300" s="335" t="s">
        <v>376</v>
      </c>
      <c r="E300" s="335" t="s">
        <v>377</v>
      </c>
      <c r="F300" s="337">
        <v>268800000</v>
      </c>
      <c r="G300" s="75">
        <v>0</v>
      </c>
      <c r="H300" s="75"/>
      <c r="I300" s="75">
        <f>+G300+H300</f>
        <v>0</v>
      </c>
      <c r="J300" s="75">
        <v>242920000</v>
      </c>
      <c r="K300" s="75"/>
      <c r="L300" s="75">
        <f t="shared" si="183"/>
        <v>242920000</v>
      </c>
      <c r="M300" s="75">
        <f>+I300+L300</f>
        <v>242920000</v>
      </c>
      <c r="N300" s="63">
        <f t="shared" si="187"/>
        <v>25880000</v>
      </c>
      <c r="P300" s="194"/>
      <c r="S300" s="282"/>
      <c r="T300" s="282"/>
      <c r="U300" s="244"/>
    </row>
    <row r="301" spans="1:21" s="65" customFormat="1" ht="18" customHeight="1" x14ac:dyDescent="0.25">
      <c r="A301" s="334"/>
      <c r="B301" s="352"/>
      <c r="C301" s="334"/>
      <c r="D301" s="335" t="s">
        <v>378</v>
      </c>
      <c r="E301" s="335" t="s">
        <v>379</v>
      </c>
      <c r="F301" s="337">
        <v>600000</v>
      </c>
      <c r="G301" s="75"/>
      <c r="H301" s="75"/>
      <c r="I301" s="75"/>
      <c r="J301" s="75"/>
      <c r="K301" s="75"/>
      <c r="L301" s="75">
        <f t="shared" si="183"/>
        <v>0</v>
      </c>
      <c r="M301" s="75">
        <f>+I301+L301</f>
        <v>0</v>
      </c>
      <c r="N301" s="63">
        <f t="shared" si="187"/>
        <v>600000</v>
      </c>
      <c r="P301" s="194"/>
      <c r="S301" s="282"/>
      <c r="T301" s="282"/>
      <c r="U301" s="244"/>
    </row>
    <row r="302" spans="1:21" s="146" customFormat="1" ht="18" customHeight="1" x14ac:dyDescent="0.25">
      <c r="A302" s="393"/>
      <c r="B302" s="393"/>
      <c r="C302" s="393"/>
      <c r="D302" s="393"/>
      <c r="E302" s="393"/>
      <c r="F302" s="394"/>
      <c r="G302" s="149"/>
      <c r="H302" s="149"/>
      <c r="I302" s="149"/>
      <c r="J302" s="149"/>
      <c r="K302" s="149"/>
      <c r="L302" s="149"/>
      <c r="M302" s="149"/>
      <c r="N302" s="148"/>
      <c r="P302" s="197"/>
      <c r="S302" s="286"/>
      <c r="T302" s="286"/>
      <c r="U302" s="253"/>
    </row>
    <row r="303" spans="1:21" s="137" customFormat="1" ht="21" customHeight="1" x14ac:dyDescent="0.25">
      <c r="A303" s="276"/>
      <c r="B303" s="305" t="s">
        <v>342</v>
      </c>
      <c r="C303" s="305"/>
      <c r="D303" s="305"/>
      <c r="E303" s="396" t="s">
        <v>341</v>
      </c>
      <c r="F303" s="359">
        <f>+F304+F317+F336+F342+F348</f>
        <v>2394721000</v>
      </c>
      <c r="G303" s="136">
        <f>+G304+G317+G336+G342+G348</f>
        <v>0</v>
      </c>
      <c r="H303" s="136">
        <f>+H304+H317+H336+H342+H348</f>
        <v>0</v>
      </c>
      <c r="I303" s="136">
        <f t="shared" ref="I303:I308" si="188">+G303+H303</f>
        <v>0</v>
      </c>
      <c r="J303" s="136">
        <f>+J304+J317+J336+J342+J348</f>
        <v>260596608</v>
      </c>
      <c r="K303" s="136">
        <f>+K304+K317+K336+K342+K348</f>
        <v>72629657</v>
      </c>
      <c r="L303" s="136">
        <f>+J303+K303</f>
        <v>333226265</v>
      </c>
      <c r="M303" s="136">
        <f t="shared" ref="M303" si="189">+I303+L303</f>
        <v>333226265</v>
      </c>
      <c r="N303" s="135">
        <f t="shared" ref="N303" si="190">+F303-M303</f>
        <v>2061494735</v>
      </c>
      <c r="P303" s="198"/>
      <c r="S303" s="287"/>
      <c r="T303" s="287"/>
      <c r="U303" s="248"/>
    </row>
    <row r="304" spans="1:21" s="121" customFormat="1" ht="35.25" customHeight="1" x14ac:dyDescent="0.25">
      <c r="A304" s="275">
        <v>16</v>
      </c>
      <c r="B304" s="314"/>
      <c r="C304" s="314" t="s">
        <v>476</v>
      </c>
      <c r="D304" s="315"/>
      <c r="E304" s="348" t="s">
        <v>477</v>
      </c>
      <c r="F304" s="317">
        <f t="shared" ref="F304:H305" si="191">+F305</f>
        <v>690000000</v>
      </c>
      <c r="G304" s="159">
        <f t="shared" si="191"/>
        <v>0</v>
      </c>
      <c r="H304" s="159">
        <f t="shared" si="191"/>
        <v>0</v>
      </c>
      <c r="I304" s="159">
        <f t="shared" si="188"/>
        <v>0</v>
      </c>
      <c r="J304" s="159">
        <f>+J305</f>
        <v>109344608</v>
      </c>
      <c r="K304" s="159">
        <f>+K305</f>
        <v>34621657</v>
      </c>
      <c r="L304" s="159">
        <f>+J304+K304</f>
        <v>143966265</v>
      </c>
      <c r="M304" s="159">
        <f>+I304+L304</f>
        <v>143966265</v>
      </c>
      <c r="N304" s="158">
        <f>+F304-M304</f>
        <v>546033735</v>
      </c>
      <c r="P304" s="190"/>
      <c r="R304" s="122"/>
      <c r="S304" s="283"/>
      <c r="T304" s="283"/>
      <c r="U304" s="246"/>
    </row>
    <row r="305" spans="1:21" s="107" customFormat="1" ht="18" customHeight="1" x14ac:dyDescent="0.25">
      <c r="A305" s="323"/>
      <c r="B305" s="324"/>
      <c r="C305" s="324"/>
      <c r="D305" s="325" t="s">
        <v>207</v>
      </c>
      <c r="E305" s="326" t="s">
        <v>262</v>
      </c>
      <c r="F305" s="327">
        <f t="shared" si="191"/>
        <v>690000000</v>
      </c>
      <c r="G305" s="106">
        <f t="shared" si="191"/>
        <v>0</v>
      </c>
      <c r="H305" s="106">
        <f t="shared" si="191"/>
        <v>0</v>
      </c>
      <c r="I305" s="106">
        <f t="shared" si="188"/>
        <v>0</v>
      </c>
      <c r="J305" s="106">
        <f>+J306</f>
        <v>109344608</v>
      </c>
      <c r="K305" s="106">
        <f>+K306</f>
        <v>34621657</v>
      </c>
      <c r="L305" s="106">
        <f t="shared" ref="L305:L309" si="192">+J305+K305</f>
        <v>143966265</v>
      </c>
      <c r="M305" s="106">
        <f t="shared" ref="M305:M316" si="193">+I305+L305</f>
        <v>143966265</v>
      </c>
      <c r="N305" s="105">
        <f t="shared" ref="N305:N316" si="194">+F305-M305</f>
        <v>546033735</v>
      </c>
      <c r="P305" s="191"/>
      <c r="R305" s="108"/>
      <c r="S305" s="284"/>
      <c r="T305" s="284"/>
      <c r="U305" s="241"/>
    </row>
    <row r="306" spans="1:21" s="67" customFormat="1" ht="18" customHeight="1" x14ac:dyDescent="0.25">
      <c r="A306" s="384"/>
      <c r="B306" s="397"/>
      <c r="C306" s="384"/>
      <c r="D306" s="335" t="s">
        <v>63</v>
      </c>
      <c r="E306" s="335" t="s">
        <v>30</v>
      </c>
      <c r="F306" s="337">
        <f>+F307+F310+F314</f>
        <v>690000000</v>
      </c>
      <c r="G306" s="70">
        <f>+G307+G310+G314</f>
        <v>0</v>
      </c>
      <c r="H306" s="70">
        <f>+H307+H310+H314</f>
        <v>0</v>
      </c>
      <c r="I306" s="70">
        <f t="shared" si="188"/>
        <v>0</v>
      </c>
      <c r="J306" s="70">
        <f>+J307+J310+J314</f>
        <v>109344608</v>
      </c>
      <c r="K306" s="70">
        <f>+K307+K310+K314</f>
        <v>34621657</v>
      </c>
      <c r="L306" s="70">
        <f t="shared" si="192"/>
        <v>143966265</v>
      </c>
      <c r="M306" s="70">
        <f t="shared" si="193"/>
        <v>143966265</v>
      </c>
      <c r="N306" s="47">
        <f t="shared" si="194"/>
        <v>546033735</v>
      </c>
      <c r="P306" s="192"/>
      <c r="S306" s="282"/>
      <c r="T306" s="282"/>
      <c r="U306" s="249"/>
    </row>
    <row r="307" spans="1:21" s="55" customFormat="1" ht="18" customHeight="1" x14ac:dyDescent="0.25">
      <c r="A307" s="334"/>
      <c r="B307" s="335"/>
      <c r="C307" s="335"/>
      <c r="D307" s="365" t="s">
        <v>263</v>
      </c>
      <c r="E307" s="335" t="s">
        <v>264</v>
      </c>
      <c r="F307" s="337">
        <f>+F308</f>
        <v>435000000</v>
      </c>
      <c r="G307" s="72">
        <f>+G308</f>
        <v>0</v>
      </c>
      <c r="H307" s="72">
        <f>+H308</f>
        <v>0</v>
      </c>
      <c r="I307" s="72">
        <f t="shared" si="188"/>
        <v>0</v>
      </c>
      <c r="J307" s="72">
        <f>+J308</f>
        <v>44623280</v>
      </c>
      <c r="K307" s="72">
        <f>+K308</f>
        <v>14992921</v>
      </c>
      <c r="L307" s="72">
        <f t="shared" si="192"/>
        <v>59616201</v>
      </c>
      <c r="M307" s="72">
        <f t="shared" si="193"/>
        <v>59616201</v>
      </c>
      <c r="N307" s="53">
        <f t="shared" si="194"/>
        <v>375383799</v>
      </c>
      <c r="P307" s="195"/>
      <c r="S307" s="282"/>
      <c r="T307" s="282"/>
      <c r="U307" s="243"/>
    </row>
    <row r="308" spans="1:21" s="67" customFormat="1" ht="18" customHeight="1" x14ac:dyDescent="0.25">
      <c r="A308" s="384"/>
      <c r="B308" s="397"/>
      <c r="C308" s="384"/>
      <c r="D308" s="335" t="s">
        <v>64</v>
      </c>
      <c r="E308" s="335" t="s">
        <v>65</v>
      </c>
      <c r="F308" s="337">
        <f>F309</f>
        <v>435000000</v>
      </c>
      <c r="G308" s="59">
        <f>+G309</f>
        <v>0</v>
      </c>
      <c r="H308" s="59">
        <f>+H309</f>
        <v>0</v>
      </c>
      <c r="I308" s="59">
        <f t="shared" si="188"/>
        <v>0</v>
      </c>
      <c r="J308" s="59">
        <f>+J309</f>
        <v>44623280</v>
      </c>
      <c r="K308" s="59">
        <f>+K309</f>
        <v>14992921</v>
      </c>
      <c r="L308" s="59">
        <f t="shared" si="192"/>
        <v>59616201</v>
      </c>
      <c r="M308" s="59">
        <f t="shared" si="193"/>
        <v>59616201</v>
      </c>
      <c r="N308" s="58">
        <f t="shared" si="194"/>
        <v>375383799</v>
      </c>
      <c r="P308" s="192"/>
      <c r="S308" s="282"/>
      <c r="T308" s="282"/>
      <c r="U308" s="249"/>
    </row>
    <row r="309" spans="1:21" s="49" customFormat="1" ht="18" customHeight="1" x14ac:dyDescent="0.25">
      <c r="A309" s="384"/>
      <c r="B309" s="397"/>
      <c r="C309" s="334"/>
      <c r="D309" s="335" t="s">
        <v>129</v>
      </c>
      <c r="E309" s="335" t="s">
        <v>130</v>
      </c>
      <c r="F309" s="337">
        <v>435000000</v>
      </c>
      <c r="G309" s="94"/>
      <c r="H309" s="94"/>
      <c r="I309" s="94"/>
      <c r="J309" s="75">
        <v>44623280</v>
      </c>
      <c r="K309" s="75">
        <v>14992921</v>
      </c>
      <c r="L309" s="75">
        <f t="shared" si="192"/>
        <v>59616201</v>
      </c>
      <c r="M309" s="75">
        <f t="shared" si="193"/>
        <v>59616201</v>
      </c>
      <c r="N309" s="63">
        <f t="shared" si="194"/>
        <v>375383799</v>
      </c>
      <c r="P309" s="192"/>
      <c r="S309" s="281">
        <f>771400+532000+837900+465500+867905+287626+186200+891100+784700+600000+624390+159600+950000+900000+292600+800000+550000+186200+186200+547200+549200+552200+557200+558600+555200+800000</f>
        <v>14992921</v>
      </c>
      <c r="T309" s="282"/>
      <c r="U309" s="242"/>
    </row>
    <row r="310" spans="1:21" s="55" customFormat="1" ht="20.25" x14ac:dyDescent="0.25">
      <c r="A310" s="334"/>
      <c r="B310" s="335"/>
      <c r="C310" s="335"/>
      <c r="D310" s="365" t="s">
        <v>271</v>
      </c>
      <c r="E310" s="335" t="s">
        <v>272</v>
      </c>
      <c r="F310" s="337">
        <f>+F311</f>
        <v>79500000</v>
      </c>
      <c r="G310" s="72">
        <f>+G311</f>
        <v>0</v>
      </c>
      <c r="H310" s="72">
        <f>+H311</f>
        <v>0</v>
      </c>
      <c r="I310" s="72">
        <f t="shared" ref="I310:I321" si="195">+G310+H310</f>
        <v>0</v>
      </c>
      <c r="J310" s="72">
        <f>+J311</f>
        <v>11767200</v>
      </c>
      <c r="K310" s="72">
        <f>+K311</f>
        <v>2800000</v>
      </c>
      <c r="L310" s="72">
        <f>+J310+K310</f>
        <v>14567200</v>
      </c>
      <c r="M310" s="72">
        <f t="shared" si="193"/>
        <v>14567200</v>
      </c>
      <c r="N310" s="53">
        <f t="shared" si="194"/>
        <v>64932800</v>
      </c>
      <c r="P310" s="195"/>
      <c r="S310" s="282"/>
      <c r="T310" s="282"/>
      <c r="U310" s="243"/>
    </row>
    <row r="311" spans="1:21" s="67" customFormat="1" ht="18" customHeight="1" x14ac:dyDescent="0.25">
      <c r="A311" s="334"/>
      <c r="B311" s="352"/>
      <c r="C311" s="334"/>
      <c r="D311" s="335" t="s">
        <v>81</v>
      </c>
      <c r="E311" s="335" t="s">
        <v>31</v>
      </c>
      <c r="F311" s="337">
        <f>F313+F312</f>
        <v>79500000</v>
      </c>
      <c r="G311" s="59">
        <f>SUM(G312:G313)</f>
        <v>0</v>
      </c>
      <c r="H311" s="59">
        <f>SUM(H312:H313)</f>
        <v>0</v>
      </c>
      <c r="I311" s="59">
        <f t="shared" si="195"/>
        <v>0</v>
      </c>
      <c r="J311" s="59">
        <f>SUM(J312:J313)</f>
        <v>11767200</v>
      </c>
      <c r="K311" s="59">
        <f>SUM(K312:K313)</f>
        <v>2800000</v>
      </c>
      <c r="L311" s="59">
        <f>+J311+K311</f>
        <v>14567200</v>
      </c>
      <c r="M311" s="59">
        <f t="shared" si="193"/>
        <v>14567200</v>
      </c>
      <c r="N311" s="58">
        <f t="shared" si="194"/>
        <v>64932800</v>
      </c>
      <c r="P311" s="192"/>
      <c r="R311" s="68"/>
      <c r="S311" s="282"/>
      <c r="T311" s="282"/>
      <c r="U311" s="249"/>
    </row>
    <row r="312" spans="1:21" s="67" customFormat="1" ht="18" customHeight="1" x14ac:dyDescent="0.25">
      <c r="A312" s="334"/>
      <c r="B312" s="352"/>
      <c r="C312" s="334"/>
      <c r="D312" s="335" t="s">
        <v>82</v>
      </c>
      <c r="E312" s="335" t="s">
        <v>83</v>
      </c>
      <c r="F312" s="337">
        <v>18000000</v>
      </c>
      <c r="G312" s="75"/>
      <c r="H312" s="75"/>
      <c r="I312" s="75">
        <f t="shared" si="195"/>
        <v>0</v>
      </c>
      <c r="J312" s="75">
        <v>4200000</v>
      </c>
      <c r="K312" s="75">
        <f>1400000+1400000</f>
        <v>2800000</v>
      </c>
      <c r="L312" s="75">
        <f>J312+K312</f>
        <v>7000000</v>
      </c>
      <c r="M312" s="75">
        <f t="shared" si="193"/>
        <v>7000000</v>
      </c>
      <c r="N312" s="63">
        <f t="shared" si="194"/>
        <v>11000000</v>
      </c>
      <c r="P312" s="192"/>
      <c r="S312" s="281">
        <f>1400000+1400000</f>
        <v>2800000</v>
      </c>
      <c r="T312" s="282"/>
      <c r="U312" s="249"/>
    </row>
    <row r="313" spans="1:21" s="67" customFormat="1" ht="18" customHeight="1" x14ac:dyDescent="0.25">
      <c r="A313" s="334"/>
      <c r="B313" s="352"/>
      <c r="C313" s="334"/>
      <c r="D313" s="335" t="s">
        <v>343</v>
      </c>
      <c r="E313" s="335" t="s">
        <v>344</v>
      </c>
      <c r="F313" s="337">
        <v>61500000</v>
      </c>
      <c r="G313" s="75"/>
      <c r="H313" s="75"/>
      <c r="I313" s="75">
        <f t="shared" si="195"/>
        <v>0</v>
      </c>
      <c r="J313" s="75">
        <v>7567200</v>
      </c>
      <c r="K313" s="75"/>
      <c r="L313" s="75">
        <f>J313+K313</f>
        <v>7567200</v>
      </c>
      <c r="M313" s="75">
        <f t="shared" si="193"/>
        <v>7567200</v>
      </c>
      <c r="N313" s="63">
        <f t="shared" si="194"/>
        <v>53932800</v>
      </c>
      <c r="P313" s="192"/>
      <c r="S313" s="282"/>
      <c r="T313" s="282"/>
      <c r="U313" s="249"/>
    </row>
    <row r="314" spans="1:21" s="55" customFormat="1" ht="20.25" x14ac:dyDescent="0.25">
      <c r="A314" s="334"/>
      <c r="B314" s="335"/>
      <c r="C314" s="334"/>
      <c r="D314" s="365" t="s">
        <v>275</v>
      </c>
      <c r="E314" s="335" t="s">
        <v>276</v>
      </c>
      <c r="F314" s="337">
        <f>+F315</f>
        <v>175500000</v>
      </c>
      <c r="G314" s="72">
        <f>+G315</f>
        <v>0</v>
      </c>
      <c r="H314" s="72">
        <f>+H315</f>
        <v>0</v>
      </c>
      <c r="I314" s="72">
        <f t="shared" si="195"/>
        <v>0</v>
      </c>
      <c r="J314" s="72">
        <f>+J315</f>
        <v>52954128</v>
      </c>
      <c r="K314" s="72">
        <f>+K315</f>
        <v>16828736</v>
      </c>
      <c r="L314" s="72">
        <f>+J314+K314</f>
        <v>69782864</v>
      </c>
      <c r="M314" s="72">
        <f t="shared" si="193"/>
        <v>69782864</v>
      </c>
      <c r="N314" s="53">
        <f t="shared" si="194"/>
        <v>105717136</v>
      </c>
      <c r="P314" s="195"/>
      <c r="S314" s="282"/>
      <c r="T314" s="282"/>
      <c r="U314" s="243"/>
    </row>
    <row r="315" spans="1:21" s="67" customFormat="1" ht="18" customHeight="1" x14ac:dyDescent="0.25">
      <c r="A315" s="334"/>
      <c r="B315" s="352"/>
      <c r="C315" s="334"/>
      <c r="D315" s="335" t="s">
        <v>114</v>
      </c>
      <c r="E315" s="335" t="s">
        <v>43</v>
      </c>
      <c r="F315" s="337">
        <f>+F316</f>
        <v>175500000</v>
      </c>
      <c r="G315" s="59">
        <f>SUM(G316)</f>
        <v>0</v>
      </c>
      <c r="H315" s="59">
        <f>SUM(H316)</f>
        <v>0</v>
      </c>
      <c r="I315" s="59">
        <f t="shared" si="195"/>
        <v>0</v>
      </c>
      <c r="J315" s="59">
        <f>SUM(J316)</f>
        <v>52954128</v>
      </c>
      <c r="K315" s="59">
        <f>SUM(K316)</f>
        <v>16828736</v>
      </c>
      <c r="L315" s="59">
        <f>+J315+K315</f>
        <v>69782864</v>
      </c>
      <c r="M315" s="59">
        <f t="shared" si="193"/>
        <v>69782864</v>
      </c>
      <c r="N315" s="58">
        <f t="shared" si="194"/>
        <v>105717136</v>
      </c>
      <c r="P315" s="192"/>
      <c r="R315" s="68"/>
      <c r="S315" s="282"/>
      <c r="T315" s="282"/>
      <c r="U315" s="249"/>
    </row>
    <row r="316" spans="1:21" s="146" customFormat="1" ht="33.75" customHeight="1" x14ac:dyDescent="0.25">
      <c r="A316" s="372"/>
      <c r="B316" s="153"/>
      <c r="C316" s="372"/>
      <c r="D316" s="373" t="s">
        <v>345</v>
      </c>
      <c r="E316" s="375" t="s">
        <v>346</v>
      </c>
      <c r="F316" s="376">
        <v>175500000</v>
      </c>
      <c r="G316" s="169"/>
      <c r="H316" s="169"/>
      <c r="I316" s="163">
        <f t="shared" si="195"/>
        <v>0</v>
      </c>
      <c r="J316" s="169">
        <v>52954128</v>
      </c>
      <c r="K316" s="169">
        <f>7500000+9328736</f>
        <v>16828736</v>
      </c>
      <c r="L316" s="169">
        <f>J316+K316</f>
        <v>69782864</v>
      </c>
      <c r="M316" s="169">
        <f t="shared" si="193"/>
        <v>69782864</v>
      </c>
      <c r="N316" s="168">
        <f t="shared" si="194"/>
        <v>105717136</v>
      </c>
      <c r="P316" s="197"/>
      <c r="S316" s="285">
        <f>7500000+858736+2750000+1200000+1300000+1500000+860000+860000</f>
        <v>16828736</v>
      </c>
      <c r="T316" s="286"/>
      <c r="U316" s="253"/>
    </row>
    <row r="317" spans="1:21" s="121" customFormat="1" ht="22.5" customHeight="1" x14ac:dyDescent="0.25">
      <c r="A317" s="275">
        <v>17</v>
      </c>
      <c r="B317" s="314"/>
      <c r="C317" s="314" t="s">
        <v>143</v>
      </c>
      <c r="D317" s="315"/>
      <c r="E317" s="348" t="s">
        <v>144</v>
      </c>
      <c r="F317" s="317">
        <f t="shared" ref="F317:H318" si="196">+F318</f>
        <v>1024733000</v>
      </c>
      <c r="G317" s="159">
        <f t="shared" si="196"/>
        <v>0</v>
      </c>
      <c r="H317" s="159">
        <f t="shared" si="196"/>
        <v>0</v>
      </c>
      <c r="I317" s="159">
        <f t="shared" si="195"/>
        <v>0</v>
      </c>
      <c r="J317" s="159">
        <f>+J318</f>
        <v>131252000</v>
      </c>
      <c r="K317" s="159">
        <f>+K318</f>
        <v>30008000</v>
      </c>
      <c r="L317" s="159">
        <f>+J317+K317</f>
        <v>161260000</v>
      </c>
      <c r="M317" s="159">
        <f>+I317+L317</f>
        <v>161260000</v>
      </c>
      <c r="N317" s="158">
        <f>+F317-M317</f>
        <v>863473000</v>
      </c>
      <c r="P317" s="190"/>
      <c r="R317" s="122"/>
      <c r="S317" s="283"/>
      <c r="T317" s="283"/>
      <c r="U317" s="246"/>
    </row>
    <row r="318" spans="1:21" s="107" customFormat="1" ht="18" customHeight="1" x14ac:dyDescent="0.25">
      <c r="A318" s="323"/>
      <c r="B318" s="324"/>
      <c r="C318" s="324"/>
      <c r="D318" s="325" t="s">
        <v>207</v>
      </c>
      <c r="E318" s="326" t="s">
        <v>262</v>
      </c>
      <c r="F318" s="327">
        <f t="shared" si="196"/>
        <v>1024733000</v>
      </c>
      <c r="G318" s="106">
        <f t="shared" si="196"/>
        <v>0</v>
      </c>
      <c r="H318" s="106">
        <f t="shared" si="196"/>
        <v>0</v>
      </c>
      <c r="I318" s="106">
        <f t="shared" si="195"/>
        <v>0</v>
      </c>
      <c r="J318" s="106">
        <f>+J319</f>
        <v>131252000</v>
      </c>
      <c r="K318" s="106">
        <f>+K319</f>
        <v>30008000</v>
      </c>
      <c r="L318" s="106">
        <f>+J318+K318</f>
        <v>161260000</v>
      </c>
      <c r="M318" s="106">
        <f t="shared" ref="M318:M335" si="197">+I318+L318</f>
        <v>161260000</v>
      </c>
      <c r="N318" s="105">
        <f t="shared" ref="N318:N335" si="198">+F318-M318</f>
        <v>863473000</v>
      </c>
      <c r="P318" s="191"/>
      <c r="R318" s="108"/>
      <c r="S318" s="284"/>
      <c r="T318" s="284"/>
      <c r="U318" s="241"/>
    </row>
    <row r="319" spans="1:21" s="67" customFormat="1" ht="18" customHeight="1" x14ac:dyDescent="0.25">
      <c r="A319" s="384"/>
      <c r="B319" s="397"/>
      <c r="C319" s="384"/>
      <c r="D319" s="335" t="s">
        <v>63</v>
      </c>
      <c r="E319" s="335" t="s">
        <v>30</v>
      </c>
      <c r="F319" s="337">
        <f>+F320+F324+F327</f>
        <v>1024733000</v>
      </c>
      <c r="G319" s="70">
        <f>+G320+G324+G327</f>
        <v>0</v>
      </c>
      <c r="H319" s="70">
        <f>+H320+H324+H327</f>
        <v>0</v>
      </c>
      <c r="I319" s="70">
        <f t="shared" si="195"/>
        <v>0</v>
      </c>
      <c r="J319" s="70">
        <f>+J320+J324+J327</f>
        <v>131252000</v>
      </c>
      <c r="K319" s="70">
        <f>+K320+K324+K327</f>
        <v>30008000</v>
      </c>
      <c r="L319" s="70">
        <f>+J319+K319</f>
        <v>161260000</v>
      </c>
      <c r="M319" s="70">
        <f t="shared" si="197"/>
        <v>161260000</v>
      </c>
      <c r="N319" s="47">
        <f t="shared" si="198"/>
        <v>863473000</v>
      </c>
      <c r="P319" s="192"/>
      <c r="S319" s="282"/>
      <c r="T319" s="282"/>
      <c r="U319" s="249"/>
    </row>
    <row r="320" spans="1:21" s="55" customFormat="1" ht="18" customHeight="1" x14ac:dyDescent="0.25">
      <c r="A320" s="334"/>
      <c r="B320" s="335"/>
      <c r="C320" s="335"/>
      <c r="D320" s="365" t="s">
        <v>263</v>
      </c>
      <c r="E320" s="335" t="s">
        <v>264</v>
      </c>
      <c r="F320" s="337">
        <f>+F321</f>
        <v>160643000</v>
      </c>
      <c r="G320" s="72">
        <f>+G321</f>
        <v>0</v>
      </c>
      <c r="H320" s="72">
        <f>+H321</f>
        <v>0</v>
      </c>
      <c r="I320" s="72">
        <f t="shared" si="195"/>
        <v>0</v>
      </c>
      <c r="J320" s="72">
        <f>+J321</f>
        <v>40613000</v>
      </c>
      <c r="K320" s="72">
        <f>+K321</f>
        <v>10551000</v>
      </c>
      <c r="L320" s="72">
        <f>+J320+K320</f>
        <v>51164000</v>
      </c>
      <c r="M320" s="72">
        <f t="shared" si="197"/>
        <v>51164000</v>
      </c>
      <c r="N320" s="53">
        <f t="shared" si="198"/>
        <v>109479000</v>
      </c>
      <c r="P320" s="195"/>
      <c r="S320" s="282"/>
      <c r="T320" s="282"/>
      <c r="U320" s="243"/>
    </row>
    <row r="321" spans="1:21" s="67" customFormat="1" ht="18" customHeight="1" x14ac:dyDescent="0.25">
      <c r="A321" s="384"/>
      <c r="B321" s="397"/>
      <c r="C321" s="384"/>
      <c r="D321" s="335" t="s">
        <v>64</v>
      </c>
      <c r="E321" s="335" t="s">
        <v>65</v>
      </c>
      <c r="F321" s="337">
        <f>F322+F323</f>
        <v>160643000</v>
      </c>
      <c r="G321" s="59">
        <f>+G322</f>
        <v>0</v>
      </c>
      <c r="H321" s="59">
        <f>+H322</f>
        <v>0</v>
      </c>
      <c r="I321" s="59">
        <f t="shared" si="195"/>
        <v>0</v>
      </c>
      <c r="J321" s="59">
        <f>+J322</f>
        <v>40613000</v>
      </c>
      <c r="K321" s="59">
        <f>+K322+K323</f>
        <v>10551000</v>
      </c>
      <c r="L321" s="59">
        <f>+J321+K321</f>
        <v>51164000</v>
      </c>
      <c r="M321" s="59">
        <f t="shared" si="197"/>
        <v>51164000</v>
      </c>
      <c r="N321" s="58">
        <f t="shared" si="198"/>
        <v>109479000</v>
      </c>
      <c r="P321" s="192"/>
      <c r="S321" s="282"/>
      <c r="T321" s="282"/>
      <c r="U321" s="249"/>
    </row>
    <row r="322" spans="1:21" s="49" customFormat="1" ht="18" customHeight="1" x14ac:dyDescent="0.25">
      <c r="A322" s="384"/>
      <c r="B322" s="397"/>
      <c r="C322" s="334"/>
      <c r="D322" s="335" t="s">
        <v>339</v>
      </c>
      <c r="E322" s="335" t="s">
        <v>340</v>
      </c>
      <c r="F322" s="337">
        <v>99000000</v>
      </c>
      <c r="G322" s="94"/>
      <c r="H322" s="94"/>
      <c r="I322" s="94"/>
      <c r="J322" s="75">
        <v>40613000</v>
      </c>
      <c r="K322" s="75">
        <v>6680000</v>
      </c>
      <c r="L322" s="75">
        <f t="shared" ref="L322:L335" si="199">+J322+K322</f>
        <v>47293000</v>
      </c>
      <c r="M322" s="75">
        <f t="shared" si="197"/>
        <v>47293000</v>
      </c>
      <c r="N322" s="63">
        <f t="shared" si="198"/>
        <v>51707000</v>
      </c>
      <c r="P322" s="203"/>
      <c r="S322" s="281">
        <f>980000+940000+990000+950000+960000+910000+950000</f>
        <v>6680000</v>
      </c>
      <c r="T322" s="282"/>
      <c r="U322" s="242"/>
    </row>
    <row r="323" spans="1:21" s="49" customFormat="1" ht="18" customHeight="1" x14ac:dyDescent="0.25">
      <c r="A323" s="384"/>
      <c r="B323" s="397"/>
      <c r="C323" s="334"/>
      <c r="D323" s="335" t="s">
        <v>361</v>
      </c>
      <c r="E323" s="335" t="s">
        <v>362</v>
      </c>
      <c r="F323" s="337">
        <v>61643000</v>
      </c>
      <c r="G323" s="94"/>
      <c r="H323" s="94"/>
      <c r="I323" s="94"/>
      <c r="J323" s="75"/>
      <c r="K323" s="75">
        <v>3871000</v>
      </c>
      <c r="L323" s="75">
        <f t="shared" si="199"/>
        <v>3871000</v>
      </c>
      <c r="M323" s="75">
        <f t="shared" si="197"/>
        <v>3871000</v>
      </c>
      <c r="N323" s="63">
        <f t="shared" si="198"/>
        <v>57772000</v>
      </c>
      <c r="P323" s="203"/>
      <c r="S323" s="281">
        <f>966000+986000+975000+944000</f>
        <v>3871000</v>
      </c>
      <c r="T323" s="282"/>
      <c r="U323" s="242"/>
    </row>
    <row r="324" spans="1:21" s="55" customFormat="1" ht="18" customHeight="1" x14ac:dyDescent="0.25">
      <c r="A324" s="334"/>
      <c r="B324" s="335"/>
      <c r="C324" s="335"/>
      <c r="D324" s="365" t="s">
        <v>271</v>
      </c>
      <c r="E324" s="335" t="s">
        <v>272</v>
      </c>
      <c r="F324" s="337">
        <f>+F325</f>
        <v>36480000</v>
      </c>
      <c r="G324" s="72">
        <f>+G325</f>
        <v>0</v>
      </c>
      <c r="H324" s="72">
        <f>+H325</f>
        <v>0</v>
      </c>
      <c r="I324" s="72">
        <f>+G324+H324</f>
        <v>0</v>
      </c>
      <c r="J324" s="72">
        <f>+J325</f>
        <v>4800000</v>
      </c>
      <c r="K324" s="72">
        <f>+K325</f>
        <v>3200000</v>
      </c>
      <c r="L324" s="72">
        <f t="shared" si="199"/>
        <v>8000000</v>
      </c>
      <c r="M324" s="72">
        <f t="shared" si="197"/>
        <v>8000000</v>
      </c>
      <c r="N324" s="53">
        <f t="shared" si="198"/>
        <v>28480000</v>
      </c>
      <c r="P324" s="204"/>
      <c r="S324" s="282"/>
      <c r="T324" s="282"/>
      <c r="U324" s="243"/>
    </row>
    <row r="325" spans="1:21" s="67" customFormat="1" ht="18" customHeight="1" x14ac:dyDescent="0.25">
      <c r="A325" s="384"/>
      <c r="B325" s="397"/>
      <c r="C325" s="384"/>
      <c r="D325" s="335" t="s">
        <v>81</v>
      </c>
      <c r="E325" s="335" t="s">
        <v>31</v>
      </c>
      <c r="F325" s="337">
        <f>F326</f>
        <v>36480000</v>
      </c>
      <c r="G325" s="59">
        <f>+G326</f>
        <v>0</v>
      </c>
      <c r="H325" s="59">
        <f>+H326</f>
        <v>0</v>
      </c>
      <c r="I325" s="59">
        <f>+G325+H325</f>
        <v>0</v>
      </c>
      <c r="J325" s="59">
        <f>+J326</f>
        <v>4800000</v>
      </c>
      <c r="K325" s="59">
        <f>+K326</f>
        <v>3200000</v>
      </c>
      <c r="L325" s="59">
        <f t="shared" si="199"/>
        <v>8000000</v>
      </c>
      <c r="M325" s="59">
        <f t="shared" si="197"/>
        <v>8000000</v>
      </c>
      <c r="N325" s="58">
        <f t="shared" si="198"/>
        <v>28480000</v>
      </c>
      <c r="P325" s="203"/>
      <c r="S325" s="282"/>
      <c r="T325" s="282"/>
      <c r="U325" s="249"/>
    </row>
    <row r="326" spans="1:21" s="49" customFormat="1" ht="18" customHeight="1" x14ac:dyDescent="0.25">
      <c r="A326" s="384"/>
      <c r="B326" s="397"/>
      <c r="C326" s="334"/>
      <c r="D326" s="335" t="s">
        <v>82</v>
      </c>
      <c r="E326" s="335" t="s">
        <v>83</v>
      </c>
      <c r="F326" s="337">
        <v>36480000</v>
      </c>
      <c r="G326" s="94"/>
      <c r="H326" s="75"/>
      <c r="I326" s="94"/>
      <c r="J326" s="75">
        <v>4800000</v>
      </c>
      <c r="K326" s="75">
        <f>1600000+1600000</f>
        <v>3200000</v>
      </c>
      <c r="L326" s="75">
        <f t="shared" si="199"/>
        <v>8000000</v>
      </c>
      <c r="M326" s="75">
        <f t="shared" si="197"/>
        <v>8000000</v>
      </c>
      <c r="N326" s="63">
        <f t="shared" si="198"/>
        <v>28480000</v>
      </c>
      <c r="P326" s="203"/>
      <c r="S326" s="281">
        <f>1600000+1600000</f>
        <v>3200000</v>
      </c>
      <c r="T326" s="282"/>
      <c r="U326" s="242"/>
    </row>
    <row r="327" spans="1:21" s="55" customFormat="1" ht="18" customHeight="1" x14ac:dyDescent="0.25">
      <c r="A327" s="334"/>
      <c r="B327" s="335"/>
      <c r="C327" s="335"/>
      <c r="D327" s="365" t="s">
        <v>275</v>
      </c>
      <c r="E327" s="335" t="s">
        <v>276</v>
      </c>
      <c r="F327" s="337">
        <f>+F328</f>
        <v>827610000</v>
      </c>
      <c r="G327" s="72">
        <f>+G328</f>
        <v>0</v>
      </c>
      <c r="H327" s="72">
        <f>+H328</f>
        <v>0</v>
      </c>
      <c r="I327" s="72">
        <f>+G327+H327</f>
        <v>0</v>
      </c>
      <c r="J327" s="72">
        <f>+J328</f>
        <v>85839000</v>
      </c>
      <c r="K327" s="72">
        <f>+K328</f>
        <v>16257000</v>
      </c>
      <c r="L327" s="72">
        <f>+J327+K327</f>
        <v>102096000</v>
      </c>
      <c r="M327" s="72">
        <f t="shared" si="197"/>
        <v>102096000</v>
      </c>
      <c r="N327" s="53">
        <f t="shared" si="198"/>
        <v>725514000</v>
      </c>
      <c r="P327" s="204"/>
      <c r="S327" s="282"/>
      <c r="T327" s="282"/>
      <c r="U327" s="243"/>
    </row>
    <row r="328" spans="1:21" s="67" customFormat="1" ht="18" customHeight="1" x14ac:dyDescent="0.25">
      <c r="A328" s="384"/>
      <c r="B328" s="397"/>
      <c r="C328" s="384"/>
      <c r="D328" s="335" t="s">
        <v>114</v>
      </c>
      <c r="E328" s="335" t="s">
        <v>43</v>
      </c>
      <c r="F328" s="337">
        <f>SUM(F329:F335)</f>
        <v>827610000</v>
      </c>
      <c r="G328" s="59">
        <f>SUM(G330:G335)</f>
        <v>0</v>
      </c>
      <c r="H328" s="59">
        <f>SUM(H330:H335)</f>
        <v>0</v>
      </c>
      <c r="I328" s="59">
        <f>+G328+H328</f>
        <v>0</v>
      </c>
      <c r="J328" s="59">
        <f>SUM(J329:J335)</f>
        <v>85839000</v>
      </c>
      <c r="K328" s="59">
        <f>SUM(K329:K335)</f>
        <v>16257000</v>
      </c>
      <c r="L328" s="59">
        <f>+J328+K328</f>
        <v>102096000</v>
      </c>
      <c r="M328" s="59">
        <f t="shared" si="197"/>
        <v>102096000</v>
      </c>
      <c r="N328" s="58">
        <f t="shared" si="198"/>
        <v>725514000</v>
      </c>
      <c r="P328" s="203"/>
      <c r="S328" s="282"/>
      <c r="T328" s="282"/>
      <c r="U328" s="249"/>
    </row>
    <row r="329" spans="1:21" s="49" customFormat="1" ht="27" customHeight="1" x14ac:dyDescent="0.25">
      <c r="A329" s="399"/>
      <c r="B329" s="381"/>
      <c r="C329" s="366"/>
      <c r="D329" s="367" t="s">
        <v>478</v>
      </c>
      <c r="E329" s="369" t="s">
        <v>479</v>
      </c>
      <c r="F329" s="370">
        <v>31700000</v>
      </c>
      <c r="G329" s="174"/>
      <c r="H329" s="174"/>
      <c r="I329" s="174"/>
      <c r="J329" s="163">
        <v>5794000</v>
      </c>
      <c r="K329" s="163"/>
      <c r="L329" s="163">
        <f t="shared" ref="L329" si="200">+J329+K329</f>
        <v>5794000</v>
      </c>
      <c r="M329" s="163">
        <f t="shared" si="197"/>
        <v>5794000</v>
      </c>
      <c r="N329" s="173">
        <f t="shared" si="198"/>
        <v>25906000</v>
      </c>
      <c r="P329" s="203"/>
      <c r="S329" s="282"/>
      <c r="T329" s="282"/>
      <c r="U329" s="242"/>
    </row>
    <row r="330" spans="1:21" s="49" customFormat="1" ht="35.25" customHeight="1" x14ac:dyDescent="0.25">
      <c r="A330" s="399"/>
      <c r="B330" s="381"/>
      <c r="C330" s="366"/>
      <c r="D330" s="367" t="s">
        <v>347</v>
      </c>
      <c r="E330" s="369" t="s">
        <v>348</v>
      </c>
      <c r="F330" s="370">
        <v>8500000</v>
      </c>
      <c r="G330" s="174"/>
      <c r="H330" s="174"/>
      <c r="I330" s="174"/>
      <c r="J330" s="163">
        <v>0</v>
      </c>
      <c r="K330" s="163"/>
      <c r="L330" s="163">
        <f t="shared" si="199"/>
        <v>0</v>
      </c>
      <c r="M330" s="163">
        <f t="shared" si="197"/>
        <v>0</v>
      </c>
      <c r="N330" s="173">
        <f t="shared" si="198"/>
        <v>8500000</v>
      </c>
      <c r="P330" s="203"/>
      <c r="S330" s="282"/>
      <c r="T330" s="282"/>
      <c r="U330" s="242"/>
    </row>
    <row r="331" spans="1:21" s="49" customFormat="1" ht="29.25" customHeight="1" x14ac:dyDescent="0.25">
      <c r="A331" s="399"/>
      <c r="B331" s="381"/>
      <c r="C331" s="367"/>
      <c r="D331" s="367" t="s">
        <v>349</v>
      </c>
      <c r="E331" s="369" t="s">
        <v>350</v>
      </c>
      <c r="F331" s="370">
        <v>99960000</v>
      </c>
      <c r="G331" s="174"/>
      <c r="H331" s="174"/>
      <c r="I331" s="174"/>
      <c r="J331" s="163">
        <v>32755000</v>
      </c>
      <c r="K331" s="163">
        <v>7277000</v>
      </c>
      <c r="L331" s="163">
        <f t="shared" si="199"/>
        <v>40032000</v>
      </c>
      <c r="M331" s="163">
        <f t="shared" si="197"/>
        <v>40032000</v>
      </c>
      <c r="N331" s="173">
        <f>+F331-M331</f>
        <v>59928000</v>
      </c>
      <c r="P331" s="203"/>
      <c r="S331" s="281">
        <f>250000+219500+22500+115000+270000+140000+1700000+710000+990000+980000+970000+910000</f>
        <v>7277000</v>
      </c>
      <c r="T331" s="282"/>
      <c r="U331" s="242"/>
    </row>
    <row r="332" spans="1:21" s="49" customFormat="1" ht="35.25" customHeight="1" x14ac:dyDescent="0.25">
      <c r="A332" s="399"/>
      <c r="B332" s="381"/>
      <c r="C332" s="367"/>
      <c r="D332" s="367" t="s">
        <v>145</v>
      </c>
      <c r="E332" s="369" t="s">
        <v>351</v>
      </c>
      <c r="F332" s="370">
        <v>73200000</v>
      </c>
      <c r="G332" s="174"/>
      <c r="H332" s="174"/>
      <c r="I332" s="174"/>
      <c r="J332" s="163">
        <v>20440000</v>
      </c>
      <c r="K332" s="163">
        <v>6550000</v>
      </c>
      <c r="L332" s="163">
        <f t="shared" si="199"/>
        <v>26990000</v>
      </c>
      <c r="M332" s="163">
        <f t="shared" si="197"/>
        <v>26990000</v>
      </c>
      <c r="N332" s="173">
        <f>+F332-M332</f>
        <v>46210000</v>
      </c>
      <c r="P332" s="203"/>
      <c r="S332" s="281">
        <f>800000+525000+300000+725000+900000+1200000+1125000+975000</f>
        <v>6550000</v>
      </c>
      <c r="T332" s="282"/>
      <c r="U332" s="242"/>
    </row>
    <row r="333" spans="1:21" s="49" customFormat="1" ht="18.75" customHeight="1" x14ac:dyDescent="0.25">
      <c r="A333" s="399"/>
      <c r="B333" s="381"/>
      <c r="C333" s="367"/>
      <c r="D333" s="367" t="s">
        <v>115</v>
      </c>
      <c r="E333" s="369" t="s">
        <v>116</v>
      </c>
      <c r="F333" s="370">
        <v>109500000</v>
      </c>
      <c r="G333" s="174"/>
      <c r="H333" s="174"/>
      <c r="I333" s="174"/>
      <c r="J333" s="163">
        <v>20445000</v>
      </c>
      <c r="K333" s="163">
        <v>2430000</v>
      </c>
      <c r="L333" s="163">
        <f t="shared" si="199"/>
        <v>22875000</v>
      </c>
      <c r="M333" s="163">
        <f t="shared" si="197"/>
        <v>22875000</v>
      </c>
      <c r="N333" s="173">
        <f>+F333-M333</f>
        <v>86625000</v>
      </c>
      <c r="P333" s="192"/>
      <c r="S333" s="281">
        <f>250000+850000+1000000+330000</f>
        <v>2430000</v>
      </c>
      <c r="T333" s="282"/>
      <c r="U333" s="242"/>
    </row>
    <row r="334" spans="1:21" s="49" customFormat="1" ht="21" customHeight="1" x14ac:dyDescent="0.25">
      <c r="A334" s="399"/>
      <c r="B334" s="381"/>
      <c r="C334" s="367"/>
      <c r="D334" s="367" t="s">
        <v>352</v>
      </c>
      <c r="E334" s="369" t="s">
        <v>353</v>
      </c>
      <c r="F334" s="370">
        <v>108500000</v>
      </c>
      <c r="G334" s="174"/>
      <c r="H334" s="174"/>
      <c r="I334" s="174"/>
      <c r="J334" s="163">
        <v>6405000</v>
      </c>
      <c r="K334" s="163"/>
      <c r="L334" s="163">
        <f t="shared" si="199"/>
        <v>6405000</v>
      </c>
      <c r="M334" s="163">
        <f t="shared" si="197"/>
        <v>6405000</v>
      </c>
      <c r="N334" s="173">
        <f t="shared" si="198"/>
        <v>102095000</v>
      </c>
      <c r="P334" s="192"/>
      <c r="S334" s="282"/>
      <c r="T334" s="282"/>
      <c r="U334" s="242"/>
    </row>
    <row r="335" spans="1:21" s="134" customFormat="1" ht="18" customHeight="1" x14ac:dyDescent="0.25">
      <c r="A335" s="393"/>
      <c r="B335" s="401"/>
      <c r="C335" s="355"/>
      <c r="D335" s="355" t="s">
        <v>354</v>
      </c>
      <c r="E335" s="402" t="s">
        <v>355</v>
      </c>
      <c r="F335" s="356">
        <v>396250000</v>
      </c>
      <c r="G335" s="140"/>
      <c r="H335" s="140"/>
      <c r="I335" s="140">
        <f t="shared" ref="I335:I352" si="201">+G335+H335</f>
        <v>0</v>
      </c>
      <c r="J335" s="140"/>
      <c r="K335" s="140"/>
      <c r="L335" s="140">
        <f t="shared" si="199"/>
        <v>0</v>
      </c>
      <c r="M335" s="140">
        <f t="shared" si="197"/>
        <v>0</v>
      </c>
      <c r="N335" s="125">
        <f t="shared" si="198"/>
        <v>396250000</v>
      </c>
      <c r="P335" s="197"/>
      <c r="S335" s="286"/>
      <c r="T335" s="286"/>
      <c r="U335" s="247"/>
    </row>
    <row r="336" spans="1:21" s="121" customFormat="1" ht="22.5" customHeight="1" x14ac:dyDescent="0.25">
      <c r="A336" s="275">
        <v>18</v>
      </c>
      <c r="B336" s="314"/>
      <c r="C336" s="314" t="s">
        <v>146</v>
      </c>
      <c r="D336" s="315"/>
      <c r="E336" s="348" t="s">
        <v>356</v>
      </c>
      <c r="F336" s="317">
        <f t="shared" ref="F336:H339" si="202">+F337</f>
        <v>399988000</v>
      </c>
      <c r="G336" s="159">
        <f t="shared" si="202"/>
        <v>0</v>
      </c>
      <c r="H336" s="159">
        <f t="shared" si="202"/>
        <v>0</v>
      </c>
      <c r="I336" s="159">
        <f t="shared" si="201"/>
        <v>0</v>
      </c>
      <c r="J336" s="159">
        <f t="shared" ref="J336:K340" si="203">+J337</f>
        <v>0</v>
      </c>
      <c r="K336" s="159">
        <f t="shared" si="203"/>
        <v>0</v>
      </c>
      <c r="L336" s="159">
        <f>+J336+K336</f>
        <v>0</v>
      </c>
      <c r="M336" s="159">
        <f>+I336+L336</f>
        <v>0</v>
      </c>
      <c r="N336" s="158">
        <f>+F336-M336</f>
        <v>399988000</v>
      </c>
      <c r="P336" s="190"/>
      <c r="R336" s="122"/>
      <c r="S336" s="283"/>
      <c r="T336" s="283"/>
      <c r="U336" s="246"/>
    </row>
    <row r="337" spans="1:21" s="107" customFormat="1" ht="18" customHeight="1" x14ac:dyDescent="0.25">
      <c r="A337" s="323"/>
      <c r="B337" s="324"/>
      <c r="C337" s="324"/>
      <c r="D337" s="325" t="s">
        <v>207</v>
      </c>
      <c r="E337" s="326" t="s">
        <v>262</v>
      </c>
      <c r="F337" s="327">
        <f t="shared" si="202"/>
        <v>399988000</v>
      </c>
      <c r="G337" s="106">
        <f t="shared" si="202"/>
        <v>0</v>
      </c>
      <c r="H337" s="106">
        <f t="shared" si="202"/>
        <v>0</v>
      </c>
      <c r="I337" s="106">
        <f t="shared" si="201"/>
        <v>0</v>
      </c>
      <c r="J337" s="106">
        <f t="shared" si="203"/>
        <v>0</v>
      </c>
      <c r="K337" s="106">
        <f t="shared" si="203"/>
        <v>0</v>
      </c>
      <c r="L337" s="106">
        <f>+J337+K337</f>
        <v>0</v>
      </c>
      <c r="M337" s="106">
        <f t="shared" ref="M337:M341" si="204">+I337+L337</f>
        <v>0</v>
      </c>
      <c r="N337" s="105">
        <f>+F337-M337</f>
        <v>399988000</v>
      </c>
      <c r="P337" s="191"/>
      <c r="R337" s="108"/>
      <c r="S337" s="284"/>
      <c r="T337" s="284"/>
      <c r="U337" s="241"/>
    </row>
    <row r="338" spans="1:21" s="67" customFormat="1" ht="18" customHeight="1" x14ac:dyDescent="0.25">
      <c r="A338" s="384"/>
      <c r="B338" s="397"/>
      <c r="C338" s="384"/>
      <c r="D338" s="335" t="s">
        <v>63</v>
      </c>
      <c r="E338" s="335" t="s">
        <v>30</v>
      </c>
      <c r="F338" s="337">
        <f t="shared" si="202"/>
        <v>399988000</v>
      </c>
      <c r="G338" s="70">
        <f t="shared" si="202"/>
        <v>0</v>
      </c>
      <c r="H338" s="70">
        <f t="shared" si="202"/>
        <v>0</v>
      </c>
      <c r="I338" s="70">
        <f t="shared" si="201"/>
        <v>0</v>
      </c>
      <c r="J338" s="70">
        <f t="shared" si="203"/>
        <v>0</v>
      </c>
      <c r="K338" s="70">
        <f t="shared" si="203"/>
        <v>0</v>
      </c>
      <c r="L338" s="70">
        <f>+J338+K338</f>
        <v>0</v>
      </c>
      <c r="M338" s="70">
        <f t="shared" si="204"/>
        <v>0</v>
      </c>
      <c r="N338" s="47">
        <f t="shared" ref="N338:N341" si="205">+F338-M338</f>
        <v>399988000</v>
      </c>
      <c r="P338" s="192"/>
      <c r="S338" s="282"/>
      <c r="T338" s="282"/>
      <c r="U338" s="249"/>
    </row>
    <row r="339" spans="1:21" s="55" customFormat="1" ht="18" customHeight="1" x14ac:dyDescent="0.25">
      <c r="A339" s="334"/>
      <c r="B339" s="335"/>
      <c r="C339" s="335"/>
      <c r="D339" s="365" t="s">
        <v>275</v>
      </c>
      <c r="E339" s="335" t="s">
        <v>276</v>
      </c>
      <c r="F339" s="337">
        <f t="shared" si="202"/>
        <v>399988000</v>
      </c>
      <c r="G339" s="72">
        <f t="shared" si="202"/>
        <v>0</v>
      </c>
      <c r="H339" s="72">
        <f t="shared" si="202"/>
        <v>0</v>
      </c>
      <c r="I339" s="72">
        <f t="shared" si="201"/>
        <v>0</v>
      </c>
      <c r="J339" s="72">
        <f t="shared" si="203"/>
        <v>0</v>
      </c>
      <c r="K339" s="72">
        <f t="shared" si="203"/>
        <v>0</v>
      </c>
      <c r="L339" s="72">
        <f>+J339+K339</f>
        <v>0</v>
      </c>
      <c r="M339" s="72">
        <f t="shared" si="204"/>
        <v>0</v>
      </c>
      <c r="N339" s="53">
        <f t="shared" si="205"/>
        <v>399988000</v>
      </c>
      <c r="P339" s="195"/>
      <c r="S339" s="282"/>
      <c r="T339" s="282"/>
      <c r="U339" s="243"/>
    </row>
    <row r="340" spans="1:21" s="67" customFormat="1" ht="18" customHeight="1" x14ac:dyDescent="0.25">
      <c r="A340" s="384"/>
      <c r="B340" s="397"/>
      <c r="C340" s="384"/>
      <c r="D340" s="335" t="s">
        <v>147</v>
      </c>
      <c r="E340" s="335" t="s">
        <v>35</v>
      </c>
      <c r="F340" s="337">
        <f>F341</f>
        <v>399988000</v>
      </c>
      <c r="G340" s="59">
        <f>+G341</f>
        <v>0</v>
      </c>
      <c r="H340" s="59">
        <f>+H341</f>
        <v>0</v>
      </c>
      <c r="I340" s="59">
        <f t="shared" si="201"/>
        <v>0</v>
      </c>
      <c r="J340" s="59">
        <f t="shared" si="203"/>
        <v>0</v>
      </c>
      <c r="K340" s="59">
        <f t="shared" si="203"/>
        <v>0</v>
      </c>
      <c r="L340" s="59">
        <f>+J340+K340</f>
        <v>0</v>
      </c>
      <c r="M340" s="59">
        <f t="shared" si="204"/>
        <v>0</v>
      </c>
      <c r="N340" s="58">
        <f t="shared" si="205"/>
        <v>399988000</v>
      </c>
      <c r="P340" s="192"/>
      <c r="S340" s="282"/>
      <c r="T340" s="282"/>
      <c r="U340" s="249"/>
    </row>
    <row r="341" spans="1:21" s="134" customFormat="1" ht="33.75" customHeight="1" x14ac:dyDescent="0.25">
      <c r="A341" s="403"/>
      <c r="B341" s="388"/>
      <c r="C341" s="372"/>
      <c r="D341" s="373" t="s">
        <v>148</v>
      </c>
      <c r="E341" s="375" t="s">
        <v>149</v>
      </c>
      <c r="F341" s="376">
        <v>399988000</v>
      </c>
      <c r="G341" s="266"/>
      <c r="H341" s="169"/>
      <c r="I341" s="169">
        <f t="shared" si="201"/>
        <v>0</v>
      </c>
      <c r="J341" s="169"/>
      <c r="K341" s="169"/>
      <c r="L341" s="169">
        <f t="shared" ref="L341" si="206">+J341+K341</f>
        <v>0</v>
      </c>
      <c r="M341" s="169">
        <f t="shared" si="204"/>
        <v>0</v>
      </c>
      <c r="N341" s="168">
        <f t="shared" si="205"/>
        <v>399988000</v>
      </c>
      <c r="P341" s="197"/>
      <c r="S341" s="286"/>
      <c r="T341" s="286"/>
      <c r="U341" s="247"/>
    </row>
    <row r="342" spans="1:21" s="121" customFormat="1" ht="34.5" customHeight="1" x14ac:dyDescent="0.25">
      <c r="A342" s="275">
        <v>19</v>
      </c>
      <c r="B342" s="314"/>
      <c r="C342" s="314" t="s">
        <v>151</v>
      </c>
      <c r="D342" s="315"/>
      <c r="E342" s="348" t="s">
        <v>152</v>
      </c>
      <c r="F342" s="317">
        <f t="shared" ref="F342:H345" si="207">+F343</f>
        <v>200000000</v>
      </c>
      <c r="G342" s="159">
        <f t="shared" si="207"/>
        <v>0</v>
      </c>
      <c r="H342" s="159">
        <f t="shared" si="207"/>
        <v>0</v>
      </c>
      <c r="I342" s="159">
        <f t="shared" si="201"/>
        <v>0</v>
      </c>
      <c r="J342" s="159">
        <f t="shared" ref="J342:K346" si="208">+J343</f>
        <v>0</v>
      </c>
      <c r="K342" s="159">
        <f t="shared" si="208"/>
        <v>0</v>
      </c>
      <c r="L342" s="159">
        <f>+J342+K342</f>
        <v>0</v>
      </c>
      <c r="M342" s="159">
        <f>+I342+L342</f>
        <v>0</v>
      </c>
      <c r="N342" s="158">
        <f>+F342-M342</f>
        <v>200000000</v>
      </c>
      <c r="P342" s="190"/>
      <c r="R342" s="122"/>
      <c r="S342" s="283"/>
      <c r="T342" s="283"/>
      <c r="U342" s="246"/>
    </row>
    <row r="343" spans="1:21" s="107" customFormat="1" ht="18" customHeight="1" x14ac:dyDescent="0.25">
      <c r="A343" s="323"/>
      <c r="B343" s="324"/>
      <c r="C343" s="324"/>
      <c r="D343" s="325" t="s">
        <v>207</v>
      </c>
      <c r="E343" s="326" t="s">
        <v>262</v>
      </c>
      <c r="F343" s="327">
        <f t="shared" si="207"/>
        <v>200000000</v>
      </c>
      <c r="G343" s="106">
        <f t="shared" si="207"/>
        <v>0</v>
      </c>
      <c r="H343" s="106">
        <f t="shared" si="207"/>
        <v>0</v>
      </c>
      <c r="I343" s="106">
        <f t="shared" si="201"/>
        <v>0</v>
      </c>
      <c r="J343" s="106">
        <f t="shared" si="208"/>
        <v>0</v>
      </c>
      <c r="K343" s="106">
        <f t="shared" si="208"/>
        <v>0</v>
      </c>
      <c r="L343" s="106">
        <f>+J343+K343</f>
        <v>0</v>
      </c>
      <c r="M343" s="106">
        <f t="shared" ref="M343:M347" si="209">+I343+L343</f>
        <v>0</v>
      </c>
      <c r="N343" s="105">
        <f t="shared" ref="N343:N347" si="210">+F343-M343</f>
        <v>200000000</v>
      </c>
      <c r="P343" s="191"/>
      <c r="R343" s="108"/>
      <c r="S343" s="284"/>
      <c r="T343" s="284"/>
      <c r="U343" s="241"/>
    </row>
    <row r="344" spans="1:21" s="67" customFormat="1" ht="18" customHeight="1" x14ac:dyDescent="0.25">
      <c r="A344" s="384"/>
      <c r="B344" s="397"/>
      <c r="C344" s="384"/>
      <c r="D344" s="335" t="s">
        <v>63</v>
      </c>
      <c r="E344" s="335" t="s">
        <v>30</v>
      </c>
      <c r="F344" s="337">
        <f t="shared" si="207"/>
        <v>200000000</v>
      </c>
      <c r="G344" s="70">
        <f t="shared" si="207"/>
        <v>0</v>
      </c>
      <c r="H344" s="70">
        <f t="shared" si="207"/>
        <v>0</v>
      </c>
      <c r="I344" s="70">
        <f t="shared" si="201"/>
        <v>0</v>
      </c>
      <c r="J344" s="70">
        <f t="shared" si="208"/>
        <v>0</v>
      </c>
      <c r="K344" s="70">
        <f t="shared" si="208"/>
        <v>0</v>
      </c>
      <c r="L344" s="70">
        <f>+J344+K344</f>
        <v>0</v>
      </c>
      <c r="M344" s="70">
        <f t="shared" si="209"/>
        <v>0</v>
      </c>
      <c r="N344" s="47">
        <f t="shared" si="210"/>
        <v>200000000</v>
      </c>
      <c r="P344" s="192"/>
      <c r="S344" s="282"/>
      <c r="T344" s="282"/>
      <c r="U344" s="249"/>
    </row>
    <row r="345" spans="1:21" s="55" customFormat="1" ht="18" customHeight="1" x14ac:dyDescent="0.25">
      <c r="A345" s="334"/>
      <c r="B345" s="335"/>
      <c r="C345" s="335"/>
      <c r="D345" s="365" t="s">
        <v>275</v>
      </c>
      <c r="E345" s="335" t="s">
        <v>276</v>
      </c>
      <c r="F345" s="337">
        <f t="shared" si="207"/>
        <v>200000000</v>
      </c>
      <c r="G345" s="72">
        <f t="shared" si="207"/>
        <v>0</v>
      </c>
      <c r="H345" s="72">
        <f t="shared" si="207"/>
        <v>0</v>
      </c>
      <c r="I345" s="72">
        <f t="shared" si="201"/>
        <v>0</v>
      </c>
      <c r="J345" s="72">
        <f t="shared" si="208"/>
        <v>0</v>
      </c>
      <c r="K345" s="72">
        <f t="shared" si="208"/>
        <v>0</v>
      </c>
      <c r="L345" s="72">
        <f>+J345+K345</f>
        <v>0</v>
      </c>
      <c r="M345" s="72">
        <f t="shared" si="209"/>
        <v>0</v>
      </c>
      <c r="N345" s="53">
        <f t="shared" si="210"/>
        <v>200000000</v>
      </c>
      <c r="P345" s="195"/>
      <c r="S345" s="282"/>
      <c r="T345" s="282"/>
      <c r="U345" s="243"/>
    </row>
    <row r="346" spans="1:21" s="67" customFormat="1" ht="18" customHeight="1" x14ac:dyDescent="0.25">
      <c r="A346" s="384"/>
      <c r="B346" s="397"/>
      <c r="C346" s="384"/>
      <c r="D346" s="335" t="s">
        <v>147</v>
      </c>
      <c r="E346" s="335" t="s">
        <v>35</v>
      </c>
      <c r="F346" s="337">
        <f>F347</f>
        <v>200000000</v>
      </c>
      <c r="G346" s="59">
        <f>+G347</f>
        <v>0</v>
      </c>
      <c r="H346" s="59">
        <f>+H347</f>
        <v>0</v>
      </c>
      <c r="I346" s="59">
        <f t="shared" si="201"/>
        <v>0</v>
      </c>
      <c r="J346" s="59">
        <f t="shared" si="208"/>
        <v>0</v>
      </c>
      <c r="K346" s="59">
        <f t="shared" si="208"/>
        <v>0</v>
      </c>
      <c r="L346" s="59">
        <f>+J346+K346</f>
        <v>0</v>
      </c>
      <c r="M346" s="59">
        <f t="shared" si="209"/>
        <v>0</v>
      </c>
      <c r="N346" s="58">
        <f t="shared" si="210"/>
        <v>200000000</v>
      </c>
      <c r="P346" s="192"/>
      <c r="S346" s="282"/>
      <c r="T346" s="282"/>
      <c r="U346" s="249"/>
    </row>
    <row r="347" spans="1:21" s="134" customFormat="1" ht="33.75" customHeight="1" x14ac:dyDescent="0.25">
      <c r="A347" s="403"/>
      <c r="B347" s="388"/>
      <c r="C347" s="372"/>
      <c r="D347" s="373" t="s">
        <v>148</v>
      </c>
      <c r="E347" s="375" t="s">
        <v>149</v>
      </c>
      <c r="F347" s="376">
        <v>200000000</v>
      </c>
      <c r="G347" s="266"/>
      <c r="H347" s="169"/>
      <c r="I347" s="169">
        <f t="shared" si="201"/>
        <v>0</v>
      </c>
      <c r="J347" s="169"/>
      <c r="K347" s="169"/>
      <c r="L347" s="169">
        <f t="shared" ref="L347" si="211">+J347+K347</f>
        <v>0</v>
      </c>
      <c r="M347" s="169">
        <f t="shared" si="209"/>
        <v>0</v>
      </c>
      <c r="N347" s="168">
        <f t="shared" si="210"/>
        <v>200000000</v>
      </c>
      <c r="P347" s="197"/>
      <c r="S347" s="286"/>
      <c r="T347" s="286"/>
      <c r="U347" s="247"/>
    </row>
    <row r="348" spans="1:21" s="121" customFormat="1" ht="34.5" customHeight="1" x14ac:dyDescent="0.25">
      <c r="A348" s="275">
        <v>20</v>
      </c>
      <c r="B348" s="314"/>
      <c r="C348" s="314" t="s">
        <v>153</v>
      </c>
      <c r="D348" s="315"/>
      <c r="E348" s="348" t="s">
        <v>154</v>
      </c>
      <c r="F348" s="317">
        <f t="shared" ref="F348:H351" si="212">+F349</f>
        <v>80000000</v>
      </c>
      <c r="G348" s="159">
        <f t="shared" si="212"/>
        <v>0</v>
      </c>
      <c r="H348" s="159">
        <f t="shared" si="212"/>
        <v>0</v>
      </c>
      <c r="I348" s="159">
        <f t="shared" si="201"/>
        <v>0</v>
      </c>
      <c r="J348" s="159">
        <f t="shared" ref="J348:K352" si="213">+J349</f>
        <v>20000000</v>
      </c>
      <c r="K348" s="159">
        <f t="shared" si="213"/>
        <v>8000000</v>
      </c>
      <c r="L348" s="159">
        <f>+J348+K348</f>
        <v>28000000</v>
      </c>
      <c r="M348" s="159">
        <f>+I348+L348</f>
        <v>28000000</v>
      </c>
      <c r="N348" s="158">
        <f>+F348-M348</f>
        <v>52000000</v>
      </c>
      <c r="P348" s="190"/>
      <c r="R348" s="122"/>
      <c r="S348" s="283"/>
      <c r="T348" s="283"/>
      <c r="U348" s="246"/>
    </row>
    <row r="349" spans="1:21" s="107" customFormat="1" ht="18" customHeight="1" x14ac:dyDescent="0.25">
      <c r="A349" s="323"/>
      <c r="B349" s="324"/>
      <c r="C349" s="324"/>
      <c r="D349" s="325" t="s">
        <v>207</v>
      </c>
      <c r="E349" s="326" t="s">
        <v>262</v>
      </c>
      <c r="F349" s="327">
        <f t="shared" si="212"/>
        <v>80000000</v>
      </c>
      <c r="G349" s="106">
        <f t="shared" si="212"/>
        <v>0</v>
      </c>
      <c r="H349" s="106">
        <f t="shared" si="212"/>
        <v>0</v>
      </c>
      <c r="I349" s="106">
        <f t="shared" si="201"/>
        <v>0</v>
      </c>
      <c r="J349" s="106">
        <f t="shared" si="213"/>
        <v>20000000</v>
      </c>
      <c r="K349" s="106">
        <f t="shared" si="213"/>
        <v>8000000</v>
      </c>
      <c r="L349" s="106">
        <f>+J349+K349</f>
        <v>28000000</v>
      </c>
      <c r="M349" s="106">
        <f t="shared" ref="M349:M353" si="214">+I349+L349</f>
        <v>28000000</v>
      </c>
      <c r="N349" s="105">
        <f t="shared" ref="N349:N353" si="215">+F349-M349</f>
        <v>52000000</v>
      </c>
      <c r="P349" s="191"/>
      <c r="R349" s="108"/>
      <c r="S349" s="284"/>
      <c r="T349" s="284"/>
      <c r="U349" s="241"/>
    </row>
    <row r="350" spans="1:21" s="67" customFormat="1" ht="18" customHeight="1" x14ac:dyDescent="0.25">
      <c r="A350" s="384"/>
      <c r="B350" s="397"/>
      <c r="C350" s="384"/>
      <c r="D350" s="335" t="s">
        <v>63</v>
      </c>
      <c r="E350" s="335" t="s">
        <v>30</v>
      </c>
      <c r="F350" s="337">
        <f t="shared" si="212"/>
        <v>80000000</v>
      </c>
      <c r="G350" s="70">
        <f t="shared" si="212"/>
        <v>0</v>
      </c>
      <c r="H350" s="70">
        <f t="shared" si="212"/>
        <v>0</v>
      </c>
      <c r="I350" s="70">
        <f t="shared" si="201"/>
        <v>0</v>
      </c>
      <c r="J350" s="70">
        <f t="shared" si="213"/>
        <v>20000000</v>
      </c>
      <c r="K350" s="70">
        <f t="shared" si="213"/>
        <v>8000000</v>
      </c>
      <c r="L350" s="70">
        <f>+J350+K350</f>
        <v>28000000</v>
      </c>
      <c r="M350" s="70">
        <f t="shared" si="214"/>
        <v>28000000</v>
      </c>
      <c r="N350" s="47">
        <f t="shared" si="215"/>
        <v>52000000</v>
      </c>
      <c r="P350" s="192"/>
      <c r="S350" s="282"/>
      <c r="T350" s="282"/>
      <c r="U350" s="249"/>
    </row>
    <row r="351" spans="1:21" s="55" customFormat="1" ht="18" customHeight="1" x14ac:dyDescent="0.25">
      <c r="A351" s="334"/>
      <c r="B351" s="335"/>
      <c r="C351" s="335"/>
      <c r="D351" s="365" t="s">
        <v>275</v>
      </c>
      <c r="E351" s="335" t="s">
        <v>276</v>
      </c>
      <c r="F351" s="337">
        <f t="shared" si="212"/>
        <v>80000000</v>
      </c>
      <c r="G351" s="72">
        <f t="shared" si="212"/>
        <v>0</v>
      </c>
      <c r="H351" s="72">
        <f t="shared" si="212"/>
        <v>0</v>
      </c>
      <c r="I351" s="72">
        <f t="shared" si="201"/>
        <v>0</v>
      </c>
      <c r="J351" s="72">
        <f t="shared" si="213"/>
        <v>20000000</v>
      </c>
      <c r="K351" s="72">
        <f t="shared" si="213"/>
        <v>8000000</v>
      </c>
      <c r="L351" s="72">
        <f>+J351+K351</f>
        <v>28000000</v>
      </c>
      <c r="M351" s="72">
        <f t="shared" si="214"/>
        <v>28000000</v>
      </c>
      <c r="N351" s="53">
        <f t="shared" si="215"/>
        <v>52000000</v>
      </c>
      <c r="P351" s="195"/>
      <c r="S351" s="282"/>
      <c r="T351" s="282"/>
      <c r="U351" s="243"/>
    </row>
    <row r="352" spans="1:21" s="67" customFormat="1" ht="18" customHeight="1" x14ac:dyDescent="0.25">
      <c r="A352" s="384"/>
      <c r="B352" s="397"/>
      <c r="C352" s="384"/>
      <c r="D352" s="335" t="s">
        <v>114</v>
      </c>
      <c r="E352" s="335" t="s">
        <v>43</v>
      </c>
      <c r="F352" s="337">
        <f>F353</f>
        <v>80000000</v>
      </c>
      <c r="G352" s="59">
        <f>+G353</f>
        <v>0</v>
      </c>
      <c r="H352" s="59">
        <f>+H353</f>
        <v>0</v>
      </c>
      <c r="I352" s="59">
        <f t="shared" si="201"/>
        <v>0</v>
      </c>
      <c r="J352" s="59">
        <f t="shared" si="213"/>
        <v>20000000</v>
      </c>
      <c r="K352" s="59">
        <f t="shared" si="213"/>
        <v>8000000</v>
      </c>
      <c r="L352" s="59">
        <f>+J352+K352</f>
        <v>28000000</v>
      </c>
      <c r="M352" s="59">
        <f t="shared" si="214"/>
        <v>28000000</v>
      </c>
      <c r="N352" s="58">
        <f t="shared" si="215"/>
        <v>52000000</v>
      </c>
      <c r="P352" s="192"/>
      <c r="S352" s="282"/>
      <c r="T352" s="282"/>
      <c r="U352" s="249"/>
    </row>
    <row r="353" spans="1:21" s="49" customFormat="1" ht="38.25" customHeight="1" x14ac:dyDescent="0.25">
      <c r="A353" s="399"/>
      <c r="B353" s="381"/>
      <c r="C353" s="366"/>
      <c r="D353" s="367" t="s">
        <v>349</v>
      </c>
      <c r="E353" s="369" t="s">
        <v>350</v>
      </c>
      <c r="F353" s="370">
        <v>80000000</v>
      </c>
      <c r="G353" s="174"/>
      <c r="H353" s="174"/>
      <c r="I353" s="174"/>
      <c r="J353" s="163">
        <v>20000000</v>
      </c>
      <c r="K353" s="163">
        <f>8000000</f>
        <v>8000000</v>
      </c>
      <c r="L353" s="163">
        <f t="shared" ref="L353" si="216">+J353+K353</f>
        <v>28000000</v>
      </c>
      <c r="M353" s="163">
        <f t="shared" si="214"/>
        <v>28000000</v>
      </c>
      <c r="N353" s="173">
        <f t="shared" si="215"/>
        <v>52000000</v>
      </c>
      <c r="P353" s="192"/>
      <c r="S353" s="281">
        <v>8000000</v>
      </c>
      <c r="T353" s="282"/>
      <c r="U353" s="242"/>
    </row>
    <row r="354" spans="1:21" s="134" customFormat="1" ht="18" customHeight="1" x14ac:dyDescent="0.25">
      <c r="A354" s="353"/>
      <c r="B354" s="355"/>
      <c r="C354" s="355"/>
      <c r="D354" s="355"/>
      <c r="E354" s="355"/>
      <c r="F354" s="356"/>
      <c r="G354" s="133"/>
      <c r="H354" s="133"/>
      <c r="I354" s="133"/>
      <c r="J354" s="133"/>
      <c r="K354" s="133"/>
      <c r="L354" s="133"/>
      <c r="M354" s="133"/>
      <c r="N354" s="132"/>
      <c r="P354" s="197"/>
      <c r="S354" s="286"/>
      <c r="T354" s="286"/>
      <c r="U354" s="247"/>
    </row>
    <row r="355" spans="1:21" s="137" customFormat="1" ht="18.75" customHeight="1" x14ac:dyDescent="0.25">
      <c r="A355" s="276"/>
      <c r="B355" s="305" t="s">
        <v>410</v>
      </c>
      <c r="C355" s="305"/>
      <c r="D355" s="305"/>
      <c r="E355" s="396" t="s">
        <v>411</v>
      </c>
      <c r="F355" s="359">
        <f>+F356+F362+F374+F380</f>
        <v>352609205400</v>
      </c>
      <c r="G355" s="113">
        <f>G356+G362+G374+G380</f>
        <v>43768968000</v>
      </c>
      <c r="H355" s="113">
        <f>+H356+H362+H374+H380</f>
        <v>0</v>
      </c>
      <c r="I355" s="136">
        <f>+G355+H355</f>
        <v>43768968000</v>
      </c>
      <c r="J355" s="113">
        <f>J356+J362+J374+J380</f>
        <v>0</v>
      </c>
      <c r="K355" s="113">
        <f>+K357</f>
        <v>0</v>
      </c>
      <c r="L355" s="136">
        <f t="shared" ref="L355:L369" si="217">+J355+K355</f>
        <v>0</v>
      </c>
      <c r="M355" s="136">
        <f t="shared" ref="M355:M369" si="218">+I355+L355</f>
        <v>43768968000</v>
      </c>
      <c r="N355" s="135">
        <f t="shared" ref="N355:N360" si="219">+F355-M355</f>
        <v>308840237400</v>
      </c>
      <c r="P355" s="198"/>
      <c r="R355" s="138"/>
      <c r="S355" s="287"/>
      <c r="T355" s="287"/>
      <c r="U355" s="248"/>
    </row>
    <row r="356" spans="1:21" s="121" customFormat="1" ht="32.25" hidden="1" customHeight="1" x14ac:dyDescent="0.25">
      <c r="A356" s="275">
        <v>21</v>
      </c>
      <c r="B356" s="314"/>
      <c r="C356" s="314" t="s">
        <v>280</v>
      </c>
      <c r="D356" s="315"/>
      <c r="E356" s="348" t="s">
        <v>279</v>
      </c>
      <c r="F356" s="317">
        <f t="shared" ref="F356:H360" si="220">+F357</f>
        <v>0</v>
      </c>
      <c r="G356" s="159">
        <f t="shared" si="220"/>
        <v>0</v>
      </c>
      <c r="H356" s="159">
        <f>+H357</f>
        <v>0</v>
      </c>
      <c r="I356" s="159">
        <f>+G356+H356</f>
        <v>0</v>
      </c>
      <c r="J356" s="159">
        <f>+J357</f>
        <v>0</v>
      </c>
      <c r="K356" s="159">
        <f>+K357</f>
        <v>0</v>
      </c>
      <c r="L356" s="159">
        <f t="shared" si="217"/>
        <v>0</v>
      </c>
      <c r="M356" s="159">
        <f>+I356+L356</f>
        <v>0</v>
      </c>
      <c r="N356" s="158">
        <f>+F356-M356</f>
        <v>0</v>
      </c>
      <c r="P356" s="190"/>
      <c r="R356" s="122"/>
      <c r="S356" s="283"/>
      <c r="T356" s="283"/>
      <c r="U356" s="246"/>
    </row>
    <row r="357" spans="1:21" s="107" customFormat="1" ht="18" hidden="1" customHeight="1" x14ac:dyDescent="0.25">
      <c r="A357" s="323"/>
      <c r="B357" s="324"/>
      <c r="C357" s="324"/>
      <c r="D357" s="325" t="s">
        <v>207</v>
      </c>
      <c r="E357" s="326" t="s">
        <v>262</v>
      </c>
      <c r="F357" s="327">
        <f t="shared" si="220"/>
        <v>0</v>
      </c>
      <c r="G357" s="106">
        <f t="shared" si="220"/>
        <v>0</v>
      </c>
      <c r="H357" s="106">
        <f t="shared" si="220"/>
        <v>0</v>
      </c>
      <c r="I357" s="106">
        <f t="shared" ref="I357:I373" si="221">+G357+H357</f>
        <v>0</v>
      </c>
      <c r="J357" s="106">
        <f>+J358</f>
        <v>0</v>
      </c>
      <c r="K357" s="106">
        <f>+K358</f>
        <v>0</v>
      </c>
      <c r="L357" s="106">
        <f t="shared" si="217"/>
        <v>0</v>
      </c>
      <c r="M357" s="106">
        <f t="shared" si="218"/>
        <v>0</v>
      </c>
      <c r="N357" s="105">
        <f t="shared" si="219"/>
        <v>0</v>
      </c>
      <c r="P357" s="191"/>
      <c r="R357" s="108"/>
      <c r="S357" s="284"/>
      <c r="T357" s="284"/>
      <c r="U357" s="241"/>
    </row>
    <row r="358" spans="1:21" s="67" customFormat="1" ht="18" hidden="1" customHeight="1" x14ac:dyDescent="0.25">
      <c r="A358" s="384"/>
      <c r="B358" s="335"/>
      <c r="C358" s="335"/>
      <c r="D358" s="335" t="s">
        <v>281</v>
      </c>
      <c r="E358" s="335" t="s">
        <v>282</v>
      </c>
      <c r="F358" s="337">
        <f t="shared" si="220"/>
        <v>0</v>
      </c>
      <c r="G358" s="48">
        <f t="shared" si="220"/>
        <v>0</v>
      </c>
      <c r="H358" s="48">
        <f t="shared" si="220"/>
        <v>0</v>
      </c>
      <c r="I358" s="48">
        <f>+G358+H358</f>
        <v>0</v>
      </c>
      <c r="J358" s="48">
        <f>+J359+J368</f>
        <v>0</v>
      </c>
      <c r="K358" s="48">
        <f>+K359+K368</f>
        <v>0</v>
      </c>
      <c r="L358" s="48">
        <f t="shared" si="217"/>
        <v>0</v>
      </c>
      <c r="M358" s="48">
        <f>+I358+L358</f>
        <v>0</v>
      </c>
      <c r="N358" s="95">
        <f t="shared" si="219"/>
        <v>0</v>
      </c>
      <c r="P358" s="192"/>
      <c r="S358" s="282"/>
      <c r="T358" s="282"/>
      <c r="U358" s="249"/>
    </row>
    <row r="359" spans="1:21" s="55" customFormat="1" ht="18" hidden="1" customHeight="1" x14ac:dyDescent="0.25">
      <c r="A359" s="334"/>
      <c r="B359" s="335"/>
      <c r="C359" s="335"/>
      <c r="D359" s="335" t="s">
        <v>283</v>
      </c>
      <c r="E359" s="336" t="s">
        <v>284</v>
      </c>
      <c r="F359" s="337">
        <f t="shared" si="220"/>
        <v>0</v>
      </c>
      <c r="G359" s="54">
        <f t="shared" si="220"/>
        <v>0</v>
      </c>
      <c r="H359" s="54">
        <f t="shared" si="220"/>
        <v>0</v>
      </c>
      <c r="I359" s="54">
        <f t="shared" si="221"/>
        <v>0</v>
      </c>
      <c r="J359" s="54">
        <f>+J360</f>
        <v>0</v>
      </c>
      <c r="K359" s="54">
        <f>+K360</f>
        <v>0</v>
      </c>
      <c r="L359" s="54">
        <f t="shared" si="217"/>
        <v>0</v>
      </c>
      <c r="M359" s="54">
        <f t="shared" si="218"/>
        <v>0</v>
      </c>
      <c r="N359" s="53">
        <f t="shared" si="219"/>
        <v>0</v>
      </c>
      <c r="P359" s="195"/>
      <c r="S359" s="282"/>
      <c r="T359" s="282"/>
      <c r="U359" s="243"/>
    </row>
    <row r="360" spans="1:21" s="49" customFormat="1" ht="31.5" hidden="1" customHeight="1" x14ac:dyDescent="0.25">
      <c r="A360" s="334"/>
      <c r="B360" s="335"/>
      <c r="C360" s="335"/>
      <c r="D360" s="335" t="s">
        <v>412</v>
      </c>
      <c r="E360" s="391" t="s">
        <v>413</v>
      </c>
      <c r="F360" s="337">
        <f t="shared" si="220"/>
        <v>0</v>
      </c>
      <c r="G360" s="59">
        <f t="shared" si="220"/>
        <v>0</v>
      </c>
      <c r="H360" s="59">
        <f t="shared" si="220"/>
        <v>0</v>
      </c>
      <c r="I360" s="59">
        <f t="shared" si="221"/>
        <v>0</v>
      </c>
      <c r="J360" s="59">
        <f>+J361</f>
        <v>0</v>
      </c>
      <c r="K360" s="59">
        <f>+K361</f>
        <v>0</v>
      </c>
      <c r="L360" s="59">
        <f t="shared" si="217"/>
        <v>0</v>
      </c>
      <c r="M360" s="59">
        <f t="shared" si="218"/>
        <v>0</v>
      </c>
      <c r="N360" s="58">
        <f t="shared" si="219"/>
        <v>0</v>
      </c>
      <c r="P360" s="192"/>
      <c r="S360" s="282"/>
      <c r="T360" s="282"/>
      <c r="U360" s="242"/>
    </row>
    <row r="361" spans="1:21" s="153" customFormat="1" ht="33.75" hidden="1" customHeight="1" x14ac:dyDescent="0.25">
      <c r="A361" s="353"/>
      <c r="B361" s="355"/>
      <c r="C361" s="355"/>
      <c r="D361" s="355" t="s">
        <v>414</v>
      </c>
      <c r="E361" s="402" t="s">
        <v>413</v>
      </c>
      <c r="F361" s="356"/>
      <c r="G361" s="126"/>
      <c r="H361" s="126"/>
      <c r="I361" s="126">
        <f t="shared" si="221"/>
        <v>0</v>
      </c>
      <c r="J361" s="140"/>
      <c r="K361" s="126"/>
      <c r="L361" s="126">
        <f t="shared" si="217"/>
        <v>0</v>
      </c>
      <c r="M361" s="126">
        <f t="shared" si="218"/>
        <v>0</v>
      </c>
      <c r="N361" s="125">
        <f>+F361-M361</f>
        <v>0</v>
      </c>
      <c r="P361" s="200"/>
      <c r="S361" s="286"/>
      <c r="T361" s="286"/>
      <c r="U361" s="254"/>
    </row>
    <row r="362" spans="1:21" s="121" customFormat="1" ht="18" customHeight="1" x14ac:dyDescent="0.25">
      <c r="A362" s="276">
        <v>21</v>
      </c>
      <c r="B362" s="305"/>
      <c r="C362" s="305" t="s">
        <v>285</v>
      </c>
      <c r="D362" s="363"/>
      <c r="E362" s="364" t="s">
        <v>286</v>
      </c>
      <c r="F362" s="307">
        <f>+F363</f>
        <v>325031788200</v>
      </c>
      <c r="G362" s="120">
        <f t="shared" ref="G362:H363" si="222">+G363</f>
        <v>43768968000</v>
      </c>
      <c r="H362" s="120">
        <f>+H363</f>
        <v>0</v>
      </c>
      <c r="I362" s="120">
        <f t="shared" si="221"/>
        <v>43768968000</v>
      </c>
      <c r="J362" s="120">
        <f t="shared" ref="J362:K363" si="223">+J363</f>
        <v>0</v>
      </c>
      <c r="K362" s="120">
        <f t="shared" si="223"/>
        <v>0</v>
      </c>
      <c r="L362" s="120">
        <f t="shared" si="217"/>
        <v>0</v>
      </c>
      <c r="M362" s="120">
        <f>+I362+L362</f>
        <v>43768968000</v>
      </c>
      <c r="N362" s="119">
        <f>+F362-M362</f>
        <v>281262820200</v>
      </c>
      <c r="P362" s="190"/>
      <c r="R362" s="122"/>
      <c r="S362" s="283"/>
      <c r="T362" s="283"/>
      <c r="U362" s="246"/>
    </row>
    <row r="363" spans="1:21" s="107" customFormat="1" ht="18" customHeight="1" x14ac:dyDescent="0.25">
      <c r="A363" s="323"/>
      <c r="B363" s="324"/>
      <c r="C363" s="324"/>
      <c r="D363" s="325" t="s">
        <v>287</v>
      </c>
      <c r="E363" s="326" t="s">
        <v>288</v>
      </c>
      <c r="F363" s="327">
        <f>+F364</f>
        <v>325031788200</v>
      </c>
      <c r="G363" s="106">
        <f t="shared" si="222"/>
        <v>43768968000</v>
      </c>
      <c r="H363" s="106">
        <f t="shared" si="222"/>
        <v>0</v>
      </c>
      <c r="I363" s="106">
        <f t="shared" si="221"/>
        <v>43768968000</v>
      </c>
      <c r="J363" s="106">
        <f t="shared" si="223"/>
        <v>0</v>
      </c>
      <c r="K363" s="106">
        <f t="shared" si="223"/>
        <v>0</v>
      </c>
      <c r="L363" s="106">
        <f t="shared" si="217"/>
        <v>0</v>
      </c>
      <c r="M363" s="106">
        <f t="shared" ref="M363" si="224">+I363+L363</f>
        <v>43768968000</v>
      </c>
      <c r="N363" s="105">
        <f t="shared" ref="N363:N371" si="225">+F363-M363</f>
        <v>281262820200</v>
      </c>
      <c r="P363" s="191"/>
      <c r="R363" s="108"/>
      <c r="S363" s="284"/>
      <c r="T363" s="284"/>
      <c r="U363" s="241"/>
    </row>
    <row r="364" spans="1:21" s="67" customFormat="1" ht="18" customHeight="1" x14ac:dyDescent="0.25">
      <c r="A364" s="384"/>
      <c r="B364" s="335"/>
      <c r="C364" s="335"/>
      <c r="D364" s="335" t="s">
        <v>289</v>
      </c>
      <c r="E364" s="335" t="s">
        <v>290</v>
      </c>
      <c r="F364" s="337">
        <f>+F368+F365</f>
        <v>325031788200</v>
      </c>
      <c r="G364" s="48">
        <f>+G368+G365</f>
        <v>43768968000</v>
      </c>
      <c r="H364" s="48">
        <f>+H368+H365</f>
        <v>0</v>
      </c>
      <c r="I364" s="48">
        <f t="shared" si="221"/>
        <v>43768968000</v>
      </c>
      <c r="J364" s="48">
        <f>+J368+J365</f>
        <v>0</v>
      </c>
      <c r="K364" s="48">
        <f>+K368+K365</f>
        <v>0</v>
      </c>
      <c r="L364" s="48">
        <f>+J364+K364</f>
        <v>0</v>
      </c>
      <c r="M364" s="48">
        <f>+I364+L364</f>
        <v>43768968000</v>
      </c>
      <c r="N364" s="95">
        <f t="shared" si="225"/>
        <v>281262820200</v>
      </c>
      <c r="P364" s="192"/>
      <c r="S364" s="282"/>
      <c r="T364" s="282"/>
      <c r="U364" s="249"/>
    </row>
    <row r="365" spans="1:21" s="55" customFormat="1" ht="18" customHeight="1" x14ac:dyDescent="0.25">
      <c r="A365" s="366"/>
      <c r="B365" s="367"/>
      <c r="C365" s="367"/>
      <c r="D365" s="367" t="s">
        <v>291</v>
      </c>
      <c r="E365" s="407" t="s">
        <v>292</v>
      </c>
      <c r="F365" s="370">
        <f t="shared" ref="F365:H366" si="226">+F366</f>
        <v>540000000</v>
      </c>
      <c r="G365" s="180">
        <f t="shared" si="226"/>
        <v>0</v>
      </c>
      <c r="H365" s="180">
        <f t="shared" si="226"/>
        <v>0</v>
      </c>
      <c r="I365" s="180">
        <f t="shared" si="221"/>
        <v>0</v>
      </c>
      <c r="J365" s="180">
        <f>+J366</f>
        <v>0</v>
      </c>
      <c r="K365" s="180">
        <f>+K366</f>
        <v>0</v>
      </c>
      <c r="L365" s="180">
        <f>+J365+K365</f>
        <v>0</v>
      </c>
      <c r="M365" s="180">
        <f>+I365+L365</f>
        <v>0</v>
      </c>
      <c r="N365" s="179">
        <f t="shared" si="225"/>
        <v>540000000</v>
      </c>
      <c r="P365" s="195"/>
      <c r="S365" s="282"/>
      <c r="T365" s="282"/>
      <c r="U365" s="243"/>
    </row>
    <row r="366" spans="1:21" s="49" customFormat="1" ht="32.25" customHeight="1" x14ac:dyDescent="0.25">
      <c r="A366" s="366"/>
      <c r="B366" s="367"/>
      <c r="C366" s="367"/>
      <c r="D366" s="367" t="s">
        <v>293</v>
      </c>
      <c r="E366" s="369" t="s">
        <v>295</v>
      </c>
      <c r="F366" s="370">
        <f t="shared" si="226"/>
        <v>540000000</v>
      </c>
      <c r="G366" s="185">
        <f t="shared" si="226"/>
        <v>0</v>
      </c>
      <c r="H366" s="185">
        <f t="shared" si="226"/>
        <v>0</v>
      </c>
      <c r="I366" s="185">
        <f t="shared" si="221"/>
        <v>0</v>
      </c>
      <c r="J366" s="185">
        <f>+J367</f>
        <v>0</v>
      </c>
      <c r="K366" s="185">
        <f>+K367</f>
        <v>0</v>
      </c>
      <c r="L366" s="185">
        <f>+J366+K366</f>
        <v>0</v>
      </c>
      <c r="M366" s="185">
        <f>+I366+L366</f>
        <v>0</v>
      </c>
      <c r="N366" s="184">
        <f t="shared" si="225"/>
        <v>540000000</v>
      </c>
      <c r="P366" s="192"/>
      <c r="S366" s="282"/>
      <c r="T366" s="282"/>
      <c r="U366" s="242"/>
    </row>
    <row r="367" spans="1:21" s="65" customFormat="1" ht="21.75" customHeight="1" x14ac:dyDescent="0.25">
      <c r="A367" s="366"/>
      <c r="B367" s="367"/>
      <c r="C367" s="367"/>
      <c r="D367" s="367" t="s">
        <v>294</v>
      </c>
      <c r="E367" s="369" t="s">
        <v>295</v>
      </c>
      <c r="F367" s="370">
        <v>540000000</v>
      </c>
      <c r="G367" s="186"/>
      <c r="H367" s="186"/>
      <c r="I367" s="186">
        <f t="shared" si="221"/>
        <v>0</v>
      </c>
      <c r="J367" s="163"/>
      <c r="K367" s="186"/>
      <c r="L367" s="186">
        <f>+J367+K367</f>
        <v>0</v>
      </c>
      <c r="M367" s="186">
        <f>+I367+L367</f>
        <v>0</v>
      </c>
      <c r="N367" s="187">
        <f t="shared" si="225"/>
        <v>540000000</v>
      </c>
      <c r="P367" s="194"/>
      <c r="S367" s="282"/>
      <c r="T367" s="282"/>
      <c r="U367" s="244"/>
    </row>
    <row r="368" spans="1:21" s="55" customFormat="1" ht="18" customHeight="1" x14ac:dyDescent="0.25">
      <c r="A368" s="334"/>
      <c r="B368" s="335"/>
      <c r="C368" s="335"/>
      <c r="D368" s="335" t="s">
        <v>296</v>
      </c>
      <c r="E368" s="336" t="s">
        <v>298</v>
      </c>
      <c r="F368" s="337">
        <f>+F369+F371</f>
        <v>324491788200</v>
      </c>
      <c r="G368" s="54">
        <f>+G369+G371</f>
        <v>43768968000</v>
      </c>
      <c r="H368" s="54">
        <f>+H369+H371</f>
        <v>0</v>
      </c>
      <c r="I368" s="54">
        <f t="shared" si="221"/>
        <v>43768968000</v>
      </c>
      <c r="J368" s="54">
        <f>+J369+J371</f>
        <v>0</v>
      </c>
      <c r="K368" s="54">
        <f>+K369+K371</f>
        <v>0</v>
      </c>
      <c r="L368" s="54">
        <f t="shared" si="217"/>
        <v>0</v>
      </c>
      <c r="M368" s="54">
        <f t="shared" si="218"/>
        <v>43768968000</v>
      </c>
      <c r="N368" s="53">
        <f t="shared" si="225"/>
        <v>280722820200</v>
      </c>
      <c r="P368" s="195"/>
      <c r="S368" s="282"/>
      <c r="T368" s="282"/>
      <c r="U368" s="243"/>
    </row>
    <row r="369" spans="1:21" s="49" customFormat="1" ht="32.25" customHeight="1" x14ac:dyDescent="0.25">
      <c r="A369" s="334"/>
      <c r="B369" s="335"/>
      <c r="C369" s="335"/>
      <c r="D369" s="335" t="s">
        <v>297</v>
      </c>
      <c r="E369" s="391" t="s">
        <v>300</v>
      </c>
      <c r="F369" s="337">
        <f>F370</f>
        <v>268985638200</v>
      </c>
      <c r="G369" s="59">
        <f>+G370</f>
        <v>43768968000</v>
      </c>
      <c r="H369" s="59">
        <f>+H370</f>
        <v>0</v>
      </c>
      <c r="I369" s="60">
        <f t="shared" si="221"/>
        <v>43768968000</v>
      </c>
      <c r="J369" s="59">
        <f>+J370</f>
        <v>0</v>
      </c>
      <c r="K369" s="59">
        <f>+K370</f>
        <v>0</v>
      </c>
      <c r="L369" s="60">
        <f t="shared" si="217"/>
        <v>0</v>
      </c>
      <c r="M369" s="59">
        <f t="shared" si="218"/>
        <v>43768968000</v>
      </c>
      <c r="N369" s="58">
        <f t="shared" si="225"/>
        <v>225216670200</v>
      </c>
      <c r="P369" s="192"/>
      <c r="S369" s="282"/>
      <c r="T369" s="282"/>
      <c r="U369" s="242"/>
    </row>
    <row r="370" spans="1:21" s="65" customFormat="1" ht="20.25" customHeight="1" x14ac:dyDescent="0.25">
      <c r="A370" s="366"/>
      <c r="B370" s="367"/>
      <c r="C370" s="367"/>
      <c r="D370" s="367" t="s">
        <v>299</v>
      </c>
      <c r="E370" s="369" t="s">
        <v>300</v>
      </c>
      <c r="F370" s="370">
        <v>268985638200</v>
      </c>
      <c r="G370" s="186">
        <v>43768968000</v>
      </c>
      <c r="H370" s="186"/>
      <c r="I370" s="186">
        <f t="shared" si="221"/>
        <v>43768968000</v>
      </c>
      <c r="J370" s="163"/>
      <c r="K370" s="186"/>
      <c r="L370" s="186">
        <f>J370+K370</f>
        <v>0</v>
      </c>
      <c r="M370" s="186">
        <f>+I370+L370</f>
        <v>43768968000</v>
      </c>
      <c r="N370" s="187">
        <f t="shared" si="225"/>
        <v>225216670200</v>
      </c>
      <c r="P370" s="194"/>
      <c r="S370" s="280"/>
      <c r="T370" s="280"/>
      <c r="U370" s="244"/>
    </row>
    <row r="371" spans="1:21" s="49" customFormat="1" ht="32.25" customHeight="1" x14ac:dyDescent="0.25">
      <c r="A371" s="334"/>
      <c r="B371" s="335"/>
      <c r="C371" s="335"/>
      <c r="D371" s="335" t="s">
        <v>301</v>
      </c>
      <c r="E371" s="391" t="s">
        <v>303</v>
      </c>
      <c r="F371" s="337">
        <f>F372+F373</f>
        <v>55506150000</v>
      </c>
      <c r="G371" s="59">
        <f>+G372</f>
        <v>0</v>
      </c>
      <c r="H371" s="60">
        <f>+H372</f>
        <v>0</v>
      </c>
      <c r="I371" s="60">
        <f>+G371+H371</f>
        <v>0</v>
      </c>
      <c r="J371" s="59">
        <f>+J372</f>
        <v>0</v>
      </c>
      <c r="K371" s="59">
        <f>+K372</f>
        <v>0</v>
      </c>
      <c r="L371" s="59">
        <f>+J371+K371</f>
        <v>0</v>
      </c>
      <c r="M371" s="59">
        <f t="shared" ref="M371" si="227">+I371+L371</f>
        <v>0</v>
      </c>
      <c r="N371" s="58">
        <f t="shared" si="225"/>
        <v>55506150000</v>
      </c>
      <c r="P371" s="192"/>
      <c r="S371" s="280"/>
      <c r="T371" s="280"/>
      <c r="U371" s="242"/>
    </row>
    <row r="372" spans="1:21" s="127" customFormat="1" ht="21.75" customHeight="1" x14ac:dyDescent="0.25">
      <c r="A372" s="372"/>
      <c r="B372" s="373"/>
      <c r="C372" s="373"/>
      <c r="D372" s="373" t="s">
        <v>480</v>
      </c>
      <c r="E372" s="375" t="s">
        <v>481</v>
      </c>
      <c r="F372" s="376">
        <v>70000000</v>
      </c>
      <c r="G372" s="476"/>
      <c r="H372" s="476"/>
      <c r="I372" s="476">
        <f t="shared" si="221"/>
        <v>0</v>
      </c>
      <c r="J372" s="169"/>
      <c r="K372" s="476"/>
      <c r="L372" s="476">
        <f>J372+K372</f>
        <v>0</v>
      </c>
      <c r="M372" s="476">
        <f>+I372+L372</f>
        <v>0</v>
      </c>
      <c r="N372" s="187">
        <f>+F372-M372</f>
        <v>70000000</v>
      </c>
      <c r="P372" s="196"/>
      <c r="S372" s="288"/>
      <c r="T372" s="288"/>
      <c r="U372" s="245"/>
    </row>
    <row r="373" spans="1:21" s="127" customFormat="1" ht="21.75" customHeight="1" x14ac:dyDescent="0.25">
      <c r="A373" s="372"/>
      <c r="B373" s="373"/>
      <c r="C373" s="373"/>
      <c r="D373" s="373" t="s">
        <v>482</v>
      </c>
      <c r="E373" s="375" t="s">
        <v>483</v>
      </c>
      <c r="F373" s="376">
        <v>55436150000</v>
      </c>
      <c r="G373" s="476"/>
      <c r="H373" s="476"/>
      <c r="I373" s="476">
        <f t="shared" si="221"/>
        <v>0</v>
      </c>
      <c r="J373" s="169"/>
      <c r="K373" s="476"/>
      <c r="L373" s="476">
        <f>J373+K373</f>
        <v>0</v>
      </c>
      <c r="M373" s="476">
        <f>+I373+L373</f>
        <v>0</v>
      </c>
      <c r="N373" s="187">
        <f>+F373-M373</f>
        <v>55436150000</v>
      </c>
      <c r="P373" s="196"/>
      <c r="S373" s="288"/>
      <c r="T373" s="288"/>
      <c r="U373" s="245"/>
    </row>
    <row r="374" spans="1:21" s="121" customFormat="1" ht="18" customHeight="1" x14ac:dyDescent="0.25">
      <c r="A374" s="276">
        <v>22</v>
      </c>
      <c r="B374" s="305"/>
      <c r="C374" s="305" t="s">
        <v>304</v>
      </c>
      <c r="D374" s="363"/>
      <c r="E374" s="364" t="s">
        <v>305</v>
      </c>
      <c r="F374" s="307">
        <f t="shared" ref="F374:H377" si="228">+F375</f>
        <v>8000000000</v>
      </c>
      <c r="G374" s="120">
        <f t="shared" si="228"/>
        <v>0</v>
      </c>
      <c r="H374" s="120">
        <f t="shared" si="228"/>
        <v>0</v>
      </c>
      <c r="I374" s="120">
        <f>+G374+H374</f>
        <v>0</v>
      </c>
      <c r="J374" s="120">
        <f t="shared" ref="J374:K378" si="229">+J375</f>
        <v>0</v>
      </c>
      <c r="K374" s="120">
        <f t="shared" si="229"/>
        <v>0</v>
      </c>
      <c r="L374" s="120">
        <f>+J374+K374</f>
        <v>0</v>
      </c>
      <c r="M374" s="120">
        <f>+I374+L374</f>
        <v>0</v>
      </c>
      <c r="N374" s="119">
        <f>+F374-M374</f>
        <v>8000000000</v>
      </c>
      <c r="P374" s="190"/>
      <c r="R374" s="122"/>
      <c r="S374" s="289"/>
      <c r="T374" s="289"/>
      <c r="U374" s="246"/>
    </row>
    <row r="375" spans="1:21" s="107" customFormat="1" ht="18" customHeight="1" x14ac:dyDescent="0.25">
      <c r="A375" s="323"/>
      <c r="B375" s="324"/>
      <c r="C375" s="324"/>
      <c r="D375" s="325" t="s">
        <v>306</v>
      </c>
      <c r="E375" s="326" t="s">
        <v>307</v>
      </c>
      <c r="F375" s="327">
        <f t="shared" si="228"/>
        <v>8000000000</v>
      </c>
      <c r="G375" s="106">
        <f t="shared" si="228"/>
        <v>0</v>
      </c>
      <c r="H375" s="106">
        <f t="shared" si="228"/>
        <v>0</v>
      </c>
      <c r="I375" s="106">
        <f>+G375+H375</f>
        <v>0</v>
      </c>
      <c r="J375" s="106">
        <f t="shared" si="229"/>
        <v>0</v>
      </c>
      <c r="K375" s="106">
        <f t="shared" si="229"/>
        <v>0</v>
      </c>
      <c r="L375" s="106">
        <f>+J375+K375</f>
        <v>0</v>
      </c>
      <c r="M375" s="106">
        <f t="shared" ref="M375:M378" si="230">+I375+L375</f>
        <v>0</v>
      </c>
      <c r="N375" s="105">
        <f t="shared" ref="N375:N378" si="231">+F375-M375</f>
        <v>8000000000</v>
      </c>
      <c r="P375" s="191"/>
      <c r="R375" s="108"/>
      <c r="S375" s="278"/>
      <c r="T375" s="278"/>
      <c r="U375" s="241"/>
    </row>
    <row r="376" spans="1:21" s="67" customFormat="1" ht="18" customHeight="1" x14ac:dyDescent="0.25">
      <c r="A376" s="384"/>
      <c r="B376" s="335"/>
      <c r="C376" s="335"/>
      <c r="D376" s="335" t="s">
        <v>308</v>
      </c>
      <c r="E376" s="335" t="s">
        <v>307</v>
      </c>
      <c r="F376" s="337">
        <f t="shared" si="228"/>
        <v>8000000000</v>
      </c>
      <c r="G376" s="48">
        <f t="shared" si="228"/>
        <v>0</v>
      </c>
      <c r="H376" s="48">
        <f t="shared" si="228"/>
        <v>0</v>
      </c>
      <c r="I376" s="48">
        <f>+G376+H376</f>
        <v>0</v>
      </c>
      <c r="J376" s="48">
        <f t="shared" si="229"/>
        <v>0</v>
      </c>
      <c r="K376" s="48">
        <f t="shared" si="229"/>
        <v>0</v>
      </c>
      <c r="L376" s="48">
        <f>+J376+K376</f>
        <v>0</v>
      </c>
      <c r="M376" s="48">
        <f t="shared" si="230"/>
        <v>0</v>
      </c>
      <c r="N376" s="95">
        <f t="shared" si="231"/>
        <v>8000000000</v>
      </c>
      <c r="P376" s="192"/>
      <c r="S376" s="290"/>
      <c r="T376" s="290"/>
      <c r="U376" s="249"/>
    </row>
    <row r="377" spans="1:21" s="55" customFormat="1" ht="18" customHeight="1" x14ac:dyDescent="0.25">
      <c r="A377" s="334"/>
      <c r="B377" s="335"/>
      <c r="C377" s="335"/>
      <c r="D377" s="335" t="s">
        <v>309</v>
      </c>
      <c r="E377" s="336" t="s">
        <v>307</v>
      </c>
      <c r="F377" s="337">
        <f t="shared" si="228"/>
        <v>8000000000</v>
      </c>
      <c r="G377" s="54">
        <f t="shared" si="228"/>
        <v>0</v>
      </c>
      <c r="H377" s="54">
        <f t="shared" si="228"/>
        <v>0</v>
      </c>
      <c r="I377" s="54">
        <f>+G377+H377</f>
        <v>0</v>
      </c>
      <c r="J377" s="54">
        <f t="shared" si="229"/>
        <v>0</v>
      </c>
      <c r="K377" s="54">
        <f t="shared" si="229"/>
        <v>0</v>
      </c>
      <c r="L377" s="54">
        <f>+J377+K377</f>
        <v>0</v>
      </c>
      <c r="M377" s="54">
        <f t="shared" si="230"/>
        <v>0</v>
      </c>
      <c r="N377" s="53">
        <f t="shared" si="231"/>
        <v>8000000000</v>
      </c>
      <c r="P377" s="195"/>
      <c r="S377" s="279"/>
      <c r="T377" s="279"/>
      <c r="U377" s="243"/>
    </row>
    <row r="378" spans="1:21" s="49" customFormat="1" ht="17.25" customHeight="1" x14ac:dyDescent="0.25">
      <c r="A378" s="334"/>
      <c r="B378" s="335"/>
      <c r="C378" s="335"/>
      <c r="D378" s="335" t="s">
        <v>310</v>
      </c>
      <c r="E378" s="391" t="s">
        <v>307</v>
      </c>
      <c r="F378" s="337">
        <f>F379</f>
        <v>8000000000</v>
      </c>
      <c r="G378" s="59">
        <f>+G379</f>
        <v>0</v>
      </c>
      <c r="H378" s="59">
        <f>+H379</f>
        <v>0</v>
      </c>
      <c r="I378" s="60">
        <f>+G378+H378</f>
        <v>0</v>
      </c>
      <c r="J378" s="59">
        <f t="shared" si="229"/>
        <v>0</v>
      </c>
      <c r="K378" s="59">
        <f t="shared" si="229"/>
        <v>0</v>
      </c>
      <c r="L378" s="60">
        <f>+J378+K378</f>
        <v>0</v>
      </c>
      <c r="M378" s="59">
        <f t="shared" si="230"/>
        <v>0</v>
      </c>
      <c r="N378" s="58">
        <f t="shared" si="231"/>
        <v>8000000000</v>
      </c>
      <c r="P378" s="192"/>
      <c r="S378" s="280"/>
      <c r="T378" s="280"/>
      <c r="U378" s="242"/>
    </row>
    <row r="379" spans="1:21" s="127" customFormat="1" ht="20.25" customHeight="1" x14ac:dyDescent="0.25">
      <c r="A379" s="353"/>
      <c r="B379" s="355"/>
      <c r="C379" s="355"/>
      <c r="D379" s="355" t="s">
        <v>311</v>
      </c>
      <c r="E379" s="402" t="s">
        <v>307</v>
      </c>
      <c r="F379" s="356">
        <v>8000000000</v>
      </c>
      <c r="G379" s="126"/>
      <c r="H379" s="126"/>
      <c r="I379" s="126">
        <f t="shared" ref="I379:I388" si="232">+G379+H379</f>
        <v>0</v>
      </c>
      <c r="J379" s="140"/>
      <c r="K379" s="126"/>
      <c r="L379" s="126">
        <f>J379+K379</f>
        <v>0</v>
      </c>
      <c r="M379" s="126">
        <f>+I379+L379</f>
        <v>0</v>
      </c>
      <c r="N379" s="97">
        <f>+F379-M379</f>
        <v>8000000000</v>
      </c>
      <c r="P379" s="196"/>
      <c r="S379" s="288"/>
      <c r="T379" s="288"/>
      <c r="U379" s="245"/>
    </row>
    <row r="380" spans="1:21" s="121" customFormat="1" ht="18" customHeight="1" x14ac:dyDescent="0.25">
      <c r="A380" s="276">
        <v>23</v>
      </c>
      <c r="B380" s="305"/>
      <c r="C380" s="305" t="s">
        <v>320</v>
      </c>
      <c r="D380" s="363"/>
      <c r="E380" s="364" t="s">
        <v>312</v>
      </c>
      <c r="F380" s="307">
        <f t="shared" ref="F380:H381" si="233">+F381</f>
        <v>19577417200</v>
      </c>
      <c r="G380" s="120">
        <f t="shared" si="233"/>
        <v>0</v>
      </c>
      <c r="H380" s="120">
        <f t="shared" si="233"/>
        <v>0</v>
      </c>
      <c r="I380" s="120">
        <f t="shared" si="232"/>
        <v>0</v>
      </c>
      <c r="J380" s="120">
        <f>+J381</f>
        <v>0</v>
      </c>
      <c r="K380" s="120">
        <f>+K381</f>
        <v>0</v>
      </c>
      <c r="L380" s="120">
        <f>+J380+K380</f>
        <v>0</v>
      </c>
      <c r="M380" s="120">
        <f>+I380+L380</f>
        <v>0</v>
      </c>
      <c r="N380" s="119">
        <f>+F380-M380</f>
        <v>19577417200</v>
      </c>
      <c r="P380" s="190"/>
      <c r="R380" s="122"/>
      <c r="S380" s="289"/>
      <c r="T380" s="289"/>
      <c r="U380" s="246"/>
    </row>
    <row r="381" spans="1:21" s="107" customFormat="1" ht="18" customHeight="1" x14ac:dyDescent="0.25">
      <c r="A381" s="323"/>
      <c r="B381" s="324"/>
      <c r="C381" s="324"/>
      <c r="D381" s="325" t="s">
        <v>287</v>
      </c>
      <c r="E381" s="326" t="s">
        <v>288</v>
      </c>
      <c r="F381" s="327">
        <f t="shared" si="233"/>
        <v>19577417200</v>
      </c>
      <c r="G381" s="106">
        <f t="shared" si="233"/>
        <v>0</v>
      </c>
      <c r="H381" s="106">
        <f t="shared" si="233"/>
        <v>0</v>
      </c>
      <c r="I381" s="106">
        <f t="shared" si="232"/>
        <v>0</v>
      </c>
      <c r="J381" s="106">
        <f>+J382</f>
        <v>0</v>
      </c>
      <c r="K381" s="106">
        <f>+K382</f>
        <v>0</v>
      </c>
      <c r="L381" s="106">
        <f>+J381+K381</f>
        <v>0</v>
      </c>
      <c r="M381" s="106">
        <f t="shared" ref="M381:M384" si="234">+I381+L381</f>
        <v>0</v>
      </c>
      <c r="N381" s="105">
        <f t="shared" ref="N381:N384" si="235">+F381-M381</f>
        <v>19577417200</v>
      </c>
      <c r="P381" s="191"/>
      <c r="R381" s="108"/>
      <c r="S381" s="278"/>
      <c r="T381" s="278"/>
      <c r="U381" s="241"/>
    </row>
    <row r="382" spans="1:21" s="67" customFormat="1" ht="18" customHeight="1" x14ac:dyDescent="0.25">
      <c r="A382" s="384"/>
      <c r="B382" s="335"/>
      <c r="C382" s="335"/>
      <c r="D382" s="335" t="s">
        <v>313</v>
      </c>
      <c r="E382" s="335" t="s">
        <v>415</v>
      </c>
      <c r="F382" s="337">
        <f>+F383+F386</f>
        <v>19577417200</v>
      </c>
      <c r="G382" s="48">
        <f>+G383+G386</f>
        <v>0</v>
      </c>
      <c r="H382" s="48">
        <f>+H383+H386</f>
        <v>0</v>
      </c>
      <c r="I382" s="48">
        <f t="shared" si="232"/>
        <v>0</v>
      </c>
      <c r="J382" s="48">
        <f>+J383+J386</f>
        <v>0</v>
      </c>
      <c r="K382" s="48">
        <f>+K383+K386</f>
        <v>0</v>
      </c>
      <c r="L382" s="48">
        <f>+J382+K382</f>
        <v>0</v>
      </c>
      <c r="M382" s="48">
        <f t="shared" si="234"/>
        <v>0</v>
      </c>
      <c r="N382" s="95">
        <f t="shared" si="235"/>
        <v>19577417200</v>
      </c>
      <c r="P382" s="192"/>
      <c r="S382" s="290"/>
      <c r="T382" s="290"/>
      <c r="U382" s="249"/>
    </row>
    <row r="383" spans="1:21" s="55" customFormat="1" ht="31.5" customHeight="1" x14ac:dyDescent="0.25">
      <c r="A383" s="334"/>
      <c r="B383" s="335"/>
      <c r="C383" s="335"/>
      <c r="D383" s="335" t="s">
        <v>314</v>
      </c>
      <c r="E383" s="413" t="s">
        <v>416</v>
      </c>
      <c r="F383" s="337">
        <f>+F384</f>
        <v>18835000000</v>
      </c>
      <c r="G383" s="54">
        <f>+G384</f>
        <v>0</v>
      </c>
      <c r="H383" s="54">
        <f>+H384</f>
        <v>0</v>
      </c>
      <c r="I383" s="54">
        <f t="shared" si="232"/>
        <v>0</v>
      </c>
      <c r="J383" s="54">
        <f>+J384</f>
        <v>0</v>
      </c>
      <c r="K383" s="54">
        <f>+K384</f>
        <v>0</v>
      </c>
      <c r="L383" s="54">
        <f>+J383+K383</f>
        <v>0</v>
      </c>
      <c r="M383" s="54">
        <f t="shared" si="234"/>
        <v>0</v>
      </c>
      <c r="N383" s="53">
        <f t="shared" si="235"/>
        <v>18835000000</v>
      </c>
      <c r="P383" s="195"/>
      <c r="S383" s="279"/>
      <c r="T383" s="279"/>
      <c r="U383" s="243"/>
    </row>
    <row r="384" spans="1:21" s="49" customFormat="1" ht="17.25" customHeight="1" x14ac:dyDescent="0.25">
      <c r="A384" s="334"/>
      <c r="B384" s="335"/>
      <c r="C384" s="335"/>
      <c r="D384" s="335" t="s">
        <v>315</v>
      </c>
      <c r="E384" s="391" t="s">
        <v>417</v>
      </c>
      <c r="F384" s="337">
        <f>F385</f>
        <v>18835000000</v>
      </c>
      <c r="G384" s="59">
        <f>+G385</f>
        <v>0</v>
      </c>
      <c r="H384" s="59">
        <f>+H385</f>
        <v>0</v>
      </c>
      <c r="I384" s="60">
        <f t="shared" si="232"/>
        <v>0</v>
      </c>
      <c r="J384" s="59">
        <f>+J385</f>
        <v>0</v>
      </c>
      <c r="K384" s="59">
        <f>+K385</f>
        <v>0</v>
      </c>
      <c r="L384" s="60">
        <f>+J384+K384</f>
        <v>0</v>
      </c>
      <c r="M384" s="59">
        <f t="shared" si="234"/>
        <v>0</v>
      </c>
      <c r="N384" s="58">
        <f t="shared" si="235"/>
        <v>18835000000</v>
      </c>
      <c r="P384" s="192"/>
      <c r="S384" s="280"/>
      <c r="T384" s="280"/>
      <c r="U384" s="242"/>
    </row>
    <row r="385" spans="1:21" s="65" customFormat="1" ht="20.25" customHeight="1" x14ac:dyDescent="0.25">
      <c r="A385" s="334"/>
      <c r="B385" s="335"/>
      <c r="C385" s="335"/>
      <c r="D385" s="335" t="s">
        <v>316</v>
      </c>
      <c r="E385" s="391" t="s">
        <v>417</v>
      </c>
      <c r="F385" s="337">
        <v>18835000000</v>
      </c>
      <c r="G385" s="64"/>
      <c r="H385" s="64"/>
      <c r="I385" s="64">
        <f t="shared" si="232"/>
        <v>0</v>
      </c>
      <c r="J385" s="75"/>
      <c r="K385" s="64"/>
      <c r="L385" s="64">
        <f>J385+K385</f>
        <v>0</v>
      </c>
      <c r="M385" s="64">
        <f>+I385+L385</f>
        <v>0</v>
      </c>
      <c r="N385" s="97">
        <f>+F385-M385</f>
        <v>18835000000</v>
      </c>
      <c r="P385" s="194"/>
      <c r="S385" s="280"/>
      <c r="T385" s="280"/>
      <c r="U385" s="244"/>
    </row>
    <row r="386" spans="1:21" s="55" customFormat="1" ht="20.25" customHeight="1" x14ac:dyDescent="0.25">
      <c r="A386" s="334"/>
      <c r="B386" s="335"/>
      <c r="C386" s="335"/>
      <c r="D386" s="335" t="s">
        <v>317</v>
      </c>
      <c r="E386" s="413" t="s">
        <v>418</v>
      </c>
      <c r="F386" s="337">
        <f>+F387</f>
        <v>742417200</v>
      </c>
      <c r="G386" s="54">
        <f>+G387</f>
        <v>0</v>
      </c>
      <c r="H386" s="54">
        <f>+H387</f>
        <v>0</v>
      </c>
      <c r="I386" s="54">
        <f t="shared" si="232"/>
        <v>0</v>
      </c>
      <c r="J386" s="54">
        <f>+J387</f>
        <v>0</v>
      </c>
      <c r="K386" s="54">
        <f>+K387</f>
        <v>0</v>
      </c>
      <c r="L386" s="54">
        <f>+J386+K386</f>
        <v>0</v>
      </c>
      <c r="M386" s="54">
        <f t="shared" ref="M386:M387" si="236">+I386+L386</f>
        <v>0</v>
      </c>
      <c r="N386" s="53">
        <f t="shared" ref="N386:N387" si="237">+F386-M386</f>
        <v>742417200</v>
      </c>
      <c r="P386" s="195"/>
      <c r="S386" s="279"/>
      <c r="T386" s="279"/>
      <c r="U386" s="243"/>
    </row>
    <row r="387" spans="1:21" s="49" customFormat="1" ht="17.25" customHeight="1" x14ac:dyDescent="0.25">
      <c r="A387" s="334"/>
      <c r="B387" s="335"/>
      <c r="C387" s="335"/>
      <c r="D387" s="335" t="s">
        <v>318</v>
      </c>
      <c r="E387" s="391" t="s">
        <v>418</v>
      </c>
      <c r="F387" s="337">
        <f>F388</f>
        <v>742417200</v>
      </c>
      <c r="G387" s="59">
        <f>+G388</f>
        <v>0</v>
      </c>
      <c r="H387" s="59">
        <f>+H388</f>
        <v>0</v>
      </c>
      <c r="I387" s="60">
        <f t="shared" si="232"/>
        <v>0</v>
      </c>
      <c r="J387" s="59">
        <f>+J388</f>
        <v>0</v>
      </c>
      <c r="K387" s="59">
        <f>+K388</f>
        <v>0</v>
      </c>
      <c r="L387" s="60">
        <f>+J387+K387</f>
        <v>0</v>
      </c>
      <c r="M387" s="59">
        <f t="shared" si="236"/>
        <v>0</v>
      </c>
      <c r="N387" s="58">
        <f t="shared" si="237"/>
        <v>742417200</v>
      </c>
      <c r="P387" s="192"/>
      <c r="S387" s="280"/>
      <c r="T387" s="280"/>
      <c r="U387" s="242"/>
    </row>
    <row r="388" spans="1:21" s="5" customFormat="1" ht="20.25" customHeight="1" x14ac:dyDescent="0.25">
      <c r="A388" s="301"/>
      <c r="B388" s="414"/>
      <c r="C388" s="414"/>
      <c r="D388" s="414" t="s">
        <v>319</v>
      </c>
      <c r="E388" s="415" t="s">
        <v>418</v>
      </c>
      <c r="F388" s="416">
        <v>742417200</v>
      </c>
      <c r="G388" s="13"/>
      <c r="H388" s="13"/>
      <c r="I388" s="13">
        <f t="shared" si="232"/>
        <v>0</v>
      </c>
      <c r="J388" s="16"/>
      <c r="K388" s="13"/>
      <c r="L388" s="13">
        <f>J388+K388</f>
        <v>0</v>
      </c>
      <c r="M388" s="13">
        <f>+I388+L388</f>
        <v>0</v>
      </c>
      <c r="N388" s="17">
        <f>+F388-M388</f>
        <v>742417200</v>
      </c>
      <c r="P388" s="201"/>
      <c r="S388" s="291"/>
      <c r="T388" s="291"/>
      <c r="U388" s="256"/>
    </row>
    <row r="389" spans="1:21" ht="18" customHeight="1" x14ac:dyDescent="0.25">
      <c r="A389" s="302"/>
      <c r="B389" s="421"/>
      <c r="C389" s="421"/>
      <c r="D389" s="421"/>
      <c r="E389" s="421"/>
      <c r="F389" s="422"/>
      <c r="G389" s="15"/>
      <c r="H389" s="15"/>
      <c r="I389" s="15"/>
      <c r="J389" s="15"/>
      <c r="K389" s="15"/>
      <c r="L389" s="15"/>
      <c r="M389" s="15"/>
      <c r="N389" s="14"/>
      <c r="S389" s="292"/>
      <c r="T389" s="292"/>
      <c r="U389" s="257"/>
    </row>
  </sheetData>
  <mergeCells count="18">
    <mergeCell ref="A2:E2"/>
    <mergeCell ref="A3:E3"/>
    <mergeCell ref="A4:E4"/>
    <mergeCell ref="B20:D20"/>
    <mergeCell ref="B21:D21"/>
    <mergeCell ref="A6:N6"/>
    <mergeCell ref="A7:N7"/>
    <mergeCell ref="A8:N8"/>
    <mergeCell ref="D13:F13"/>
    <mergeCell ref="A18:A19"/>
    <mergeCell ref="B18:D19"/>
    <mergeCell ref="E18:E19"/>
    <mergeCell ref="F18:F19"/>
    <mergeCell ref="G18:I18"/>
    <mergeCell ref="J18:L18"/>
    <mergeCell ref="M18:M19"/>
    <mergeCell ref="N18:N19"/>
    <mergeCell ref="B22:D22"/>
  </mergeCells>
  <printOptions horizontalCentered="1"/>
  <pageMargins left="0.196850393700787" right="0.196850393700787" top="0.39370078740157499" bottom="0.196850393700787" header="0.31496062992126" footer="0.31496062992126"/>
  <pageSetup paperSize="258" scale="75" orientation="portrait" horizont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34"/>
  <sheetViews>
    <sheetView showGridLines="0" view="pageBreakPreview" zoomScale="90" zoomScaleNormal="85" zoomScaleSheetLayoutView="90" workbookViewId="0">
      <pane xSplit="4" ySplit="16" topLeftCell="H17" activePane="bottomRight" state="frozen"/>
      <selection pane="topRight" activeCell="D1" sqref="D1"/>
      <selection pane="bottomLeft" activeCell="A17" sqref="A17"/>
      <selection pane="bottomRight" activeCell="E82" sqref="E82"/>
    </sheetView>
  </sheetViews>
  <sheetFormatPr defaultRowHeight="15" customHeight="1" x14ac:dyDescent="0.25"/>
  <cols>
    <col min="1" max="1" width="6" style="293" customWidth="1"/>
    <col min="2" max="2" width="11.5703125" style="293" customWidth="1"/>
    <col min="3" max="3" width="13.7109375" style="293" customWidth="1"/>
    <col min="4" max="4" width="15.85546875" style="293" customWidth="1"/>
    <col min="5" max="5" width="68.5703125" style="293" customWidth="1"/>
    <col min="6" max="6" width="18.140625" style="293" customWidth="1"/>
    <col min="7" max="7" width="16.85546875" style="293" customWidth="1"/>
    <col min="8" max="8" width="15.85546875" style="293" customWidth="1"/>
    <col min="9" max="9" width="18.7109375" style="293" customWidth="1"/>
    <col min="10" max="10" width="15" style="293" customWidth="1"/>
    <col min="11" max="11" width="14" style="293" customWidth="1"/>
    <col min="12" max="12" width="15.140625" style="293" customWidth="1"/>
    <col min="13" max="13" width="16.7109375" style="293" customWidth="1"/>
    <col min="14" max="14" width="19.28515625" style="293" customWidth="1"/>
    <col min="15" max="15" width="4.28515625" style="293" customWidth="1"/>
    <col min="16" max="16" width="18.42578125" style="294" customWidth="1"/>
    <col min="17" max="17" width="14.85546875" style="293" customWidth="1"/>
    <col min="18" max="18" width="15.42578125" style="293" customWidth="1"/>
    <col min="19" max="19" width="20.140625" style="295" customWidth="1"/>
    <col min="20" max="20" width="25.7109375" style="295" customWidth="1"/>
    <col min="21" max="21" width="26.140625" style="293" customWidth="1"/>
    <col min="22" max="16384" width="9.140625" style="293"/>
  </cols>
  <sheetData>
    <row r="1" spans="1:18" s="295" customFormat="1" ht="15" customHeight="1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293"/>
      <c r="P1" s="294"/>
      <c r="Q1" s="293"/>
      <c r="R1" s="293"/>
    </row>
    <row r="2" spans="1:18" s="295" customFormat="1" ht="15" customHeight="1" x14ac:dyDescent="0.25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293"/>
      <c r="P2" s="294"/>
      <c r="Q2" s="293"/>
      <c r="R2" s="293"/>
    </row>
    <row r="3" spans="1:18" s="295" customFormat="1" ht="15" customHeight="1" x14ac:dyDescent="0.25">
      <c r="A3" s="522" t="s">
        <v>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293"/>
      <c r="P3" s="294"/>
      <c r="Q3" s="293"/>
      <c r="R3" s="293"/>
    </row>
    <row r="4" spans="1:18" s="295" customFormat="1" ht="15" customHeight="1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  <c r="Q4" s="293"/>
      <c r="R4" s="293"/>
    </row>
    <row r="5" spans="1:18" s="295" customFormat="1" ht="15" customHeight="1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4"/>
      <c r="Q5" s="293"/>
      <c r="R5" s="293"/>
    </row>
    <row r="6" spans="1:18" s="295" customFormat="1" ht="15" customHeight="1" x14ac:dyDescent="0.25">
      <c r="A6" s="293" t="s">
        <v>3</v>
      </c>
      <c r="B6" s="293"/>
      <c r="C6" s="293"/>
      <c r="D6" s="293" t="s">
        <v>45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Q6" s="293"/>
      <c r="R6" s="293"/>
    </row>
    <row r="7" spans="1:18" s="295" customFormat="1" ht="15" customHeight="1" x14ac:dyDescent="0.25">
      <c r="A7" s="293" t="s">
        <v>4</v>
      </c>
      <c r="B7" s="293"/>
      <c r="C7" s="293"/>
      <c r="D7" s="293" t="s">
        <v>55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4"/>
      <c r="Q7" s="293"/>
      <c r="R7" s="293"/>
    </row>
    <row r="8" spans="1:18" s="295" customFormat="1" ht="15" customHeight="1" x14ac:dyDescent="0.25">
      <c r="A8" s="293" t="s">
        <v>5</v>
      </c>
      <c r="B8" s="293"/>
      <c r="C8" s="293"/>
      <c r="D8" s="504" t="s">
        <v>50</v>
      </c>
      <c r="E8" s="504"/>
      <c r="F8" s="504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293"/>
      <c r="R8" s="293"/>
    </row>
    <row r="9" spans="1:18" s="295" customFormat="1" ht="15" customHeight="1" x14ac:dyDescent="0.25">
      <c r="A9" s="293" t="s">
        <v>6</v>
      </c>
      <c r="B9" s="293"/>
      <c r="C9" s="293"/>
      <c r="D9" s="293" t="s">
        <v>449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4"/>
      <c r="Q9" s="293"/>
      <c r="R9" s="296"/>
    </row>
    <row r="10" spans="1:18" s="295" customFormat="1" ht="15" customHeight="1" x14ac:dyDescent="0.25">
      <c r="A10" s="293" t="s">
        <v>7</v>
      </c>
      <c r="B10" s="293"/>
      <c r="C10" s="293"/>
      <c r="D10" s="293" t="s">
        <v>48</v>
      </c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4"/>
      <c r="Q10" s="293"/>
      <c r="R10" s="296"/>
    </row>
    <row r="11" spans="1:18" s="295" customFormat="1" ht="15" customHeight="1" x14ac:dyDescent="0.25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4"/>
      <c r="Q11" s="293"/>
      <c r="R11" s="296"/>
    </row>
    <row r="12" spans="1:18" s="295" customFormat="1" ht="15" customHeight="1" x14ac:dyDescent="0.25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4"/>
      <c r="Q12" s="293"/>
      <c r="R12" s="296"/>
    </row>
    <row r="13" spans="1:18" s="295" customFormat="1" ht="15" customHeight="1" x14ac:dyDescent="0.25">
      <c r="A13" s="523" t="s">
        <v>37</v>
      </c>
      <c r="B13" s="525" t="s">
        <v>10</v>
      </c>
      <c r="C13" s="526"/>
      <c r="D13" s="527"/>
      <c r="E13" s="531" t="s">
        <v>8</v>
      </c>
      <c r="F13" s="531" t="s">
        <v>9</v>
      </c>
      <c r="G13" s="533" t="s">
        <v>14</v>
      </c>
      <c r="H13" s="533"/>
      <c r="I13" s="533"/>
      <c r="J13" s="533" t="s">
        <v>15</v>
      </c>
      <c r="K13" s="533"/>
      <c r="L13" s="533"/>
      <c r="M13" s="531" t="s">
        <v>17</v>
      </c>
      <c r="N13" s="531" t="s">
        <v>16</v>
      </c>
      <c r="O13" s="293"/>
      <c r="P13" s="294"/>
      <c r="Q13" s="293"/>
      <c r="R13" s="296"/>
    </row>
    <row r="14" spans="1:18" s="295" customFormat="1" ht="15" customHeight="1" x14ac:dyDescent="0.25">
      <c r="A14" s="524"/>
      <c r="B14" s="528"/>
      <c r="C14" s="529"/>
      <c r="D14" s="530"/>
      <c r="E14" s="531"/>
      <c r="F14" s="532"/>
      <c r="G14" s="451" t="s">
        <v>11</v>
      </c>
      <c r="H14" s="451" t="s">
        <v>12</v>
      </c>
      <c r="I14" s="451" t="s">
        <v>13</v>
      </c>
      <c r="J14" s="451" t="s">
        <v>11</v>
      </c>
      <c r="K14" s="451" t="s">
        <v>12</v>
      </c>
      <c r="L14" s="451" t="s">
        <v>13</v>
      </c>
      <c r="M14" s="531"/>
      <c r="N14" s="531"/>
      <c r="O14" s="293"/>
      <c r="P14" s="294"/>
      <c r="Q14" s="293"/>
      <c r="R14" s="298"/>
    </row>
    <row r="15" spans="1:18" s="295" customFormat="1" ht="15" customHeight="1" x14ac:dyDescent="0.25">
      <c r="A15" s="299"/>
      <c r="B15" s="516">
        <v>1</v>
      </c>
      <c r="C15" s="517"/>
      <c r="D15" s="518"/>
      <c r="E15" s="452">
        <v>2</v>
      </c>
      <c r="F15" s="452">
        <v>3</v>
      </c>
      <c r="G15" s="452">
        <v>7</v>
      </c>
      <c r="H15" s="452">
        <v>8</v>
      </c>
      <c r="I15" s="452" t="s">
        <v>18</v>
      </c>
      <c r="J15" s="452">
        <v>10</v>
      </c>
      <c r="K15" s="452">
        <v>11</v>
      </c>
      <c r="L15" s="452" t="s">
        <v>19</v>
      </c>
      <c r="M15" s="452" t="s">
        <v>155</v>
      </c>
      <c r="N15" s="452" t="s">
        <v>36</v>
      </c>
      <c r="O15" s="293"/>
      <c r="P15" s="294"/>
      <c r="Q15" s="293"/>
      <c r="R15" s="293"/>
    </row>
    <row r="16" spans="1:18" s="295" customFormat="1" ht="15" customHeight="1" x14ac:dyDescent="0.25">
      <c r="A16" s="301"/>
      <c r="B16" s="519"/>
      <c r="C16" s="520"/>
      <c r="D16" s="521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293"/>
      <c r="P16" s="294"/>
      <c r="Q16" s="293"/>
      <c r="R16" s="293"/>
    </row>
    <row r="17" spans="1:21" ht="17.100000000000001" customHeight="1" x14ac:dyDescent="0.25">
      <c r="A17" s="303"/>
      <c r="B17" s="534" t="s">
        <v>20</v>
      </c>
      <c r="C17" s="535"/>
      <c r="D17" s="536"/>
      <c r="E17" s="303"/>
      <c r="F17" s="304">
        <f>+F18+F47+F122+F138+F239+F247+F298+F350</f>
        <v>428263811167</v>
      </c>
      <c r="G17" s="304">
        <f>+G18+G47+G122+G138+G239+G247+G298+G350</f>
        <v>0</v>
      </c>
      <c r="H17" s="304">
        <f>+H18+H47+H122+H138+H239+H247+H298+H350</f>
        <v>9805797967</v>
      </c>
      <c r="I17" s="304">
        <f>+G17+H17</f>
        <v>9805797967</v>
      </c>
      <c r="J17" s="304">
        <f>+J18+J47+J122+J138+J239+J247+J298+J350</f>
        <v>0</v>
      </c>
      <c r="K17" s="304">
        <f>+K18+K47+K122+K138+K239+K247+K298+K350</f>
        <v>114284700</v>
      </c>
      <c r="L17" s="304">
        <f>+J17+K17</f>
        <v>114284700</v>
      </c>
      <c r="M17" s="304">
        <f>+I17+L17</f>
        <v>9920082667</v>
      </c>
      <c r="N17" s="304">
        <f>+F17-M17</f>
        <v>418343728500</v>
      </c>
      <c r="R17" s="298"/>
      <c r="U17" s="294">
        <f>178000000+33460000+79728000+22342995000+29162378+3014333670+6242819000+179060000+4822000000+316799545+177216575</f>
        <v>37415574168</v>
      </c>
    </row>
    <row r="18" spans="1:21" s="309" customFormat="1" ht="18" customHeight="1" x14ac:dyDescent="0.25">
      <c r="A18" s="276"/>
      <c r="B18" s="305" t="s">
        <v>336</v>
      </c>
      <c r="C18" s="305"/>
      <c r="D18" s="305"/>
      <c r="E18" s="306" t="s">
        <v>335</v>
      </c>
      <c r="F18" s="307">
        <f>+F19+F32</f>
        <v>276269500</v>
      </c>
      <c r="G18" s="308">
        <f>+G19+G32</f>
        <v>0</v>
      </c>
      <c r="H18" s="308">
        <f>+H19+H32</f>
        <v>0</v>
      </c>
      <c r="I18" s="308">
        <f>+G18+H18</f>
        <v>0</v>
      </c>
      <c r="J18" s="308">
        <f>+J19+J32</f>
        <v>0</v>
      </c>
      <c r="K18" s="308">
        <f>+K19+K32</f>
        <v>8490000</v>
      </c>
      <c r="L18" s="308">
        <f>+J18+K18</f>
        <v>8490000</v>
      </c>
      <c r="M18" s="308">
        <f>+I18+L18</f>
        <v>8490000</v>
      </c>
      <c r="N18" s="307">
        <f>+F18-M18</f>
        <v>267779500</v>
      </c>
      <c r="P18" s="310">
        <f>+N19+N32+N48+N113+N123+N139+N165+N173+N184+N206+N240+N248+N256+N269+N278+N299+N312+N331+N337+N343+N351+N357+N369+N375</f>
        <v>418343728500</v>
      </c>
      <c r="Q18" s="309" t="s">
        <v>332</v>
      </c>
      <c r="R18" s="311"/>
      <c r="S18" s="312" t="s">
        <v>427</v>
      </c>
      <c r="T18" s="313"/>
    </row>
    <row r="19" spans="1:21" s="319" customFormat="1" ht="18" customHeight="1" x14ac:dyDescent="0.25">
      <c r="A19" s="275">
        <v>1</v>
      </c>
      <c r="B19" s="314"/>
      <c r="C19" s="314" t="s">
        <v>61</v>
      </c>
      <c r="D19" s="315"/>
      <c r="E19" s="316" t="s">
        <v>62</v>
      </c>
      <c r="F19" s="317">
        <f t="shared" ref="F19:H20" si="0">+F20</f>
        <v>117975500</v>
      </c>
      <c r="G19" s="318">
        <f t="shared" si="0"/>
        <v>0</v>
      </c>
      <c r="H19" s="318">
        <f t="shared" si="0"/>
        <v>0</v>
      </c>
      <c r="I19" s="318">
        <f>+G19+H19</f>
        <v>0</v>
      </c>
      <c r="J19" s="318">
        <f>+J20</f>
        <v>0</v>
      </c>
      <c r="K19" s="318">
        <f>+K20</f>
        <v>4190000</v>
      </c>
      <c r="L19" s="318">
        <f>+J19+K19</f>
        <v>4190000</v>
      </c>
      <c r="M19" s="318">
        <f>+I19+L19</f>
        <v>4190000</v>
      </c>
      <c r="N19" s="317">
        <f>+F19-M19</f>
        <v>113785500</v>
      </c>
      <c r="P19" s="320"/>
      <c r="R19" s="321"/>
      <c r="S19" s="322">
        <f>SUM(S24:S361)</f>
        <v>0</v>
      </c>
      <c r="T19" s="322">
        <f>SUM(T24:T434)</f>
        <v>0</v>
      </c>
    </row>
    <row r="20" spans="1:21" s="329" customFormat="1" ht="18" customHeight="1" x14ac:dyDescent="0.25">
      <c r="A20" s="323"/>
      <c r="B20" s="324"/>
      <c r="C20" s="324"/>
      <c r="D20" s="325" t="s">
        <v>207</v>
      </c>
      <c r="E20" s="326" t="s">
        <v>262</v>
      </c>
      <c r="F20" s="327">
        <f t="shared" si="0"/>
        <v>117975500</v>
      </c>
      <c r="G20" s="328">
        <f t="shared" si="0"/>
        <v>0</v>
      </c>
      <c r="H20" s="328">
        <f t="shared" si="0"/>
        <v>0</v>
      </c>
      <c r="I20" s="328">
        <f>+G20+H20</f>
        <v>0</v>
      </c>
      <c r="J20" s="328">
        <f>+J21</f>
        <v>0</v>
      </c>
      <c r="K20" s="328">
        <f>+K21</f>
        <v>4190000</v>
      </c>
      <c r="L20" s="328">
        <f t="shared" ref="L20:L28" si="1">+J20+K20</f>
        <v>4190000</v>
      </c>
      <c r="M20" s="328">
        <f>+I20+L20</f>
        <v>4190000</v>
      </c>
      <c r="N20" s="327">
        <f>+F20-M20</f>
        <v>113785500</v>
      </c>
      <c r="P20" s="330"/>
      <c r="R20" s="331"/>
      <c r="S20" s="332"/>
      <c r="T20" s="332"/>
      <c r="U20" s="333"/>
    </row>
    <row r="21" spans="1:21" s="339" customFormat="1" ht="18" customHeight="1" x14ac:dyDescent="0.25">
      <c r="A21" s="334"/>
      <c r="B21" s="335"/>
      <c r="C21" s="335"/>
      <c r="D21" s="335" t="s">
        <v>63</v>
      </c>
      <c r="E21" s="336" t="s">
        <v>30</v>
      </c>
      <c r="F21" s="337">
        <f>+F22+F29</f>
        <v>117975500</v>
      </c>
      <c r="G21" s="338">
        <f>+G22+G29</f>
        <v>0</v>
      </c>
      <c r="H21" s="338">
        <f>+H22+H29</f>
        <v>0</v>
      </c>
      <c r="I21" s="338">
        <f>+G21+H21</f>
        <v>0</v>
      </c>
      <c r="J21" s="338">
        <f>+J22+J29</f>
        <v>0</v>
      </c>
      <c r="K21" s="338">
        <f>+K22+K29</f>
        <v>4190000</v>
      </c>
      <c r="L21" s="338">
        <f>+J21+K21</f>
        <v>4190000</v>
      </c>
      <c r="M21" s="338">
        <f>+I21+L21</f>
        <v>4190000</v>
      </c>
      <c r="N21" s="337">
        <f>+F21-M21</f>
        <v>113785500</v>
      </c>
      <c r="P21" s="340">
        <f>H386+H387+K386+K387</f>
        <v>9992018735</v>
      </c>
      <c r="Q21" s="339" t="s">
        <v>334</v>
      </c>
      <c r="S21" s="341"/>
      <c r="T21" s="341"/>
      <c r="U21" s="342"/>
    </row>
    <row r="22" spans="1:21" s="339" customFormat="1" ht="18" customHeight="1" x14ac:dyDescent="0.25">
      <c r="A22" s="334"/>
      <c r="B22" s="335"/>
      <c r="C22" s="335"/>
      <c r="D22" s="335" t="s">
        <v>263</v>
      </c>
      <c r="E22" s="336" t="s">
        <v>264</v>
      </c>
      <c r="F22" s="337">
        <f>+F23</f>
        <v>65295500</v>
      </c>
      <c r="G22" s="338">
        <f>+G23</f>
        <v>0</v>
      </c>
      <c r="H22" s="338">
        <f>+H23</f>
        <v>0</v>
      </c>
      <c r="I22" s="338">
        <f t="shared" ref="I22:I31" si="2">+G22+H22</f>
        <v>0</v>
      </c>
      <c r="J22" s="338">
        <f>+J23</f>
        <v>0</v>
      </c>
      <c r="K22" s="338">
        <f>+K23</f>
        <v>0</v>
      </c>
      <c r="L22" s="338">
        <f t="shared" si="1"/>
        <v>0</v>
      </c>
      <c r="M22" s="338">
        <f t="shared" ref="M22:M31" si="3">+I22+L22</f>
        <v>0</v>
      </c>
      <c r="N22" s="337">
        <f t="shared" ref="N22:N31" si="4">+F22-M22</f>
        <v>65295500</v>
      </c>
      <c r="P22" s="343">
        <f>+H17+K17</f>
        <v>9920082667</v>
      </c>
      <c r="Q22" s="339" t="s">
        <v>333</v>
      </c>
      <c r="S22" s="341"/>
      <c r="T22" s="341"/>
      <c r="U22" s="342"/>
    </row>
    <row r="23" spans="1:21" s="339" customFormat="1" ht="18" customHeight="1" x14ac:dyDescent="0.25">
      <c r="A23" s="334"/>
      <c r="B23" s="335"/>
      <c r="C23" s="335"/>
      <c r="D23" s="335" t="s">
        <v>64</v>
      </c>
      <c r="E23" s="335" t="s">
        <v>65</v>
      </c>
      <c r="F23" s="337">
        <f>SUM(F24:F28)</f>
        <v>65295500</v>
      </c>
      <c r="G23" s="344">
        <f>SUM(G24:G28)</f>
        <v>0</v>
      </c>
      <c r="H23" s="344">
        <f>SUM(H24:H28)</f>
        <v>0</v>
      </c>
      <c r="I23" s="338">
        <f>+G23+H23</f>
        <v>0</v>
      </c>
      <c r="J23" s="338">
        <f>+SUM(J24:J28)</f>
        <v>0</v>
      </c>
      <c r="K23" s="338">
        <f>+SUM(K24:K28)</f>
        <v>0</v>
      </c>
      <c r="L23" s="338">
        <f>+J23+K23</f>
        <v>0</v>
      </c>
      <c r="M23" s="338">
        <f>+I23+L23</f>
        <v>0</v>
      </c>
      <c r="N23" s="337">
        <f>+F23-M23</f>
        <v>65295500</v>
      </c>
      <c r="P23" s="340"/>
      <c r="S23" s="341"/>
      <c r="T23" s="341"/>
      <c r="U23" s="342"/>
    </row>
    <row r="24" spans="1:21" s="339" customFormat="1" ht="18" customHeight="1" x14ac:dyDescent="0.25">
      <c r="A24" s="334"/>
      <c r="B24" s="335"/>
      <c r="C24" s="335"/>
      <c r="D24" s="335" t="s">
        <v>66</v>
      </c>
      <c r="E24" s="335" t="s">
        <v>67</v>
      </c>
      <c r="F24" s="337">
        <v>7554500</v>
      </c>
      <c r="G24" s="338"/>
      <c r="H24" s="338"/>
      <c r="I24" s="338">
        <f t="shared" si="2"/>
        <v>0</v>
      </c>
      <c r="J24" s="338"/>
      <c r="K24" s="338"/>
      <c r="L24" s="338">
        <f t="shared" si="1"/>
        <v>0</v>
      </c>
      <c r="M24" s="338">
        <f>+I24+L24</f>
        <v>0</v>
      </c>
      <c r="N24" s="337">
        <f t="shared" si="4"/>
        <v>7554500</v>
      </c>
      <c r="P24" s="340"/>
      <c r="S24" s="345"/>
      <c r="T24" s="345"/>
      <c r="U24" s="342"/>
    </row>
    <row r="25" spans="1:21" s="339" customFormat="1" ht="18" customHeight="1" x14ac:dyDescent="0.25">
      <c r="A25" s="334"/>
      <c r="B25" s="335"/>
      <c r="C25" s="335"/>
      <c r="D25" s="335" t="s">
        <v>337</v>
      </c>
      <c r="E25" s="335" t="s">
        <v>338</v>
      </c>
      <c r="F25" s="337">
        <v>6408000</v>
      </c>
      <c r="G25" s="338"/>
      <c r="H25" s="338"/>
      <c r="I25" s="338">
        <f>+G25+H25</f>
        <v>0</v>
      </c>
      <c r="J25" s="338"/>
      <c r="K25" s="338"/>
      <c r="L25" s="338">
        <f t="shared" si="1"/>
        <v>0</v>
      </c>
      <c r="M25" s="338">
        <f t="shared" si="3"/>
        <v>0</v>
      </c>
      <c r="N25" s="337">
        <f t="shared" si="4"/>
        <v>6408000</v>
      </c>
      <c r="P25" s="340"/>
      <c r="S25" s="345"/>
      <c r="T25" s="345"/>
      <c r="U25" s="342"/>
    </row>
    <row r="26" spans="1:21" s="339" customFormat="1" ht="18" customHeight="1" x14ac:dyDescent="0.25">
      <c r="A26" s="334"/>
      <c r="B26" s="335"/>
      <c r="C26" s="335"/>
      <c r="D26" s="335" t="s">
        <v>68</v>
      </c>
      <c r="E26" s="335" t="s">
        <v>69</v>
      </c>
      <c r="F26" s="337">
        <v>44208000</v>
      </c>
      <c r="G26" s="338"/>
      <c r="H26" s="338"/>
      <c r="I26" s="338">
        <f t="shared" si="2"/>
        <v>0</v>
      </c>
      <c r="J26" s="338"/>
      <c r="K26" s="338"/>
      <c r="L26" s="338">
        <f t="shared" si="1"/>
        <v>0</v>
      </c>
      <c r="M26" s="338">
        <f t="shared" si="3"/>
        <v>0</v>
      </c>
      <c r="N26" s="337">
        <f t="shared" si="4"/>
        <v>44208000</v>
      </c>
      <c r="P26" s="340">
        <f>5440000000+63000000+730000000+7470000000+6242819000+3024665072+31328939+4570000000+12239500000+3046850000+197720000+310724118</f>
        <v>43366607129</v>
      </c>
      <c r="Q26" s="339" t="s">
        <v>428</v>
      </c>
      <c r="S26" s="345"/>
      <c r="T26" s="345"/>
      <c r="U26" s="342"/>
    </row>
    <row r="27" spans="1:21" s="339" customFormat="1" ht="18" customHeight="1" x14ac:dyDescent="0.25">
      <c r="A27" s="334"/>
      <c r="B27" s="335"/>
      <c r="C27" s="335"/>
      <c r="D27" s="335" t="s">
        <v>339</v>
      </c>
      <c r="E27" s="335" t="s">
        <v>340</v>
      </c>
      <c r="F27" s="337">
        <v>2125000</v>
      </c>
      <c r="G27" s="338"/>
      <c r="H27" s="338"/>
      <c r="I27" s="338"/>
      <c r="J27" s="338"/>
      <c r="K27" s="338"/>
      <c r="L27" s="338">
        <f t="shared" si="1"/>
        <v>0</v>
      </c>
      <c r="M27" s="338">
        <f t="shared" si="3"/>
        <v>0</v>
      </c>
      <c r="N27" s="337">
        <f t="shared" si="4"/>
        <v>2125000</v>
      </c>
      <c r="P27" s="340"/>
      <c r="S27" s="345"/>
      <c r="T27" s="345"/>
      <c r="U27" s="342"/>
    </row>
    <row r="28" spans="1:21" s="339" customFormat="1" ht="18" customHeight="1" x14ac:dyDescent="0.25">
      <c r="A28" s="334"/>
      <c r="B28" s="335"/>
      <c r="C28" s="335"/>
      <c r="D28" s="335" t="s">
        <v>70</v>
      </c>
      <c r="E28" s="335" t="s">
        <v>33</v>
      </c>
      <c r="F28" s="337">
        <v>5000000</v>
      </c>
      <c r="G28" s="338"/>
      <c r="H28" s="338"/>
      <c r="I28" s="338"/>
      <c r="J28" s="338"/>
      <c r="K28" s="338"/>
      <c r="L28" s="338">
        <f t="shared" si="1"/>
        <v>0</v>
      </c>
      <c r="M28" s="338">
        <f t="shared" si="3"/>
        <v>0</v>
      </c>
      <c r="N28" s="337">
        <f t="shared" si="4"/>
        <v>5000000</v>
      </c>
      <c r="P28" s="340"/>
      <c r="S28" s="345"/>
      <c r="T28" s="345"/>
      <c r="U28" s="342"/>
    </row>
    <row r="29" spans="1:21" s="339" customFormat="1" ht="18" customHeight="1" x14ac:dyDescent="0.25">
      <c r="A29" s="334"/>
      <c r="B29" s="335"/>
      <c r="C29" s="335"/>
      <c r="D29" s="335" t="s">
        <v>271</v>
      </c>
      <c r="E29" s="336" t="s">
        <v>272</v>
      </c>
      <c r="F29" s="337">
        <f>+F30</f>
        <v>52680000</v>
      </c>
      <c r="G29" s="338">
        <f>+G30</f>
        <v>0</v>
      </c>
      <c r="H29" s="338">
        <f>+H30</f>
        <v>0</v>
      </c>
      <c r="I29" s="338">
        <f>+G29+H29</f>
        <v>0</v>
      </c>
      <c r="J29" s="338">
        <f>+J30</f>
        <v>0</v>
      </c>
      <c r="K29" s="338">
        <f>+K30</f>
        <v>4190000</v>
      </c>
      <c r="L29" s="338">
        <f>+J29+K29</f>
        <v>4190000</v>
      </c>
      <c r="M29" s="338">
        <f>+I29+L29</f>
        <v>4190000</v>
      </c>
      <c r="N29" s="337">
        <f t="shared" si="4"/>
        <v>48490000</v>
      </c>
      <c r="P29" s="340"/>
      <c r="S29" s="341"/>
      <c r="T29" s="341"/>
      <c r="U29" s="342"/>
    </row>
    <row r="30" spans="1:21" s="339" customFormat="1" ht="18" customHeight="1" x14ac:dyDescent="0.25">
      <c r="A30" s="334"/>
      <c r="B30" s="335"/>
      <c r="C30" s="335"/>
      <c r="D30" s="335" t="s">
        <v>81</v>
      </c>
      <c r="E30" s="335" t="s">
        <v>31</v>
      </c>
      <c r="F30" s="337">
        <f>SUM(F31:F31)</f>
        <v>52680000</v>
      </c>
      <c r="G30" s="344">
        <f>+G31</f>
        <v>0</v>
      </c>
      <c r="H30" s="338">
        <f>+SUM(H31:H31)</f>
        <v>0</v>
      </c>
      <c r="I30" s="338">
        <f t="shared" si="2"/>
        <v>0</v>
      </c>
      <c r="J30" s="338">
        <f>+SUM(J31:J31)</f>
        <v>0</v>
      </c>
      <c r="K30" s="338">
        <f>+SUM(K31:K31)</f>
        <v>4190000</v>
      </c>
      <c r="L30" s="338">
        <f>+J30+K30</f>
        <v>4190000</v>
      </c>
      <c r="M30" s="338">
        <f t="shared" si="3"/>
        <v>4190000</v>
      </c>
      <c r="N30" s="337">
        <f t="shared" si="4"/>
        <v>48490000</v>
      </c>
      <c r="P30" s="340"/>
      <c r="S30" s="341"/>
      <c r="T30" s="341"/>
      <c r="U30" s="342"/>
    </row>
    <row r="31" spans="1:21" s="339" customFormat="1" ht="18" customHeight="1" x14ac:dyDescent="0.25">
      <c r="A31" s="334"/>
      <c r="B31" s="335"/>
      <c r="C31" s="335"/>
      <c r="D31" s="335" t="s">
        <v>82</v>
      </c>
      <c r="E31" s="335" t="s">
        <v>83</v>
      </c>
      <c r="F31" s="337">
        <v>52680000</v>
      </c>
      <c r="G31" s="338"/>
      <c r="H31" s="338"/>
      <c r="I31" s="338">
        <f t="shared" si="2"/>
        <v>0</v>
      </c>
      <c r="J31" s="338"/>
      <c r="K31" s="338">
        <v>4190000</v>
      </c>
      <c r="L31" s="338">
        <f t="shared" ref="L31" si="5">+J31+K31</f>
        <v>4190000</v>
      </c>
      <c r="M31" s="338">
        <f t="shared" si="3"/>
        <v>4190000</v>
      </c>
      <c r="N31" s="337">
        <f t="shared" si="4"/>
        <v>48490000</v>
      </c>
      <c r="P31" s="340"/>
      <c r="S31" s="346"/>
      <c r="T31" s="347"/>
      <c r="U31" s="342"/>
    </row>
    <row r="32" spans="1:21" s="319" customFormat="1" ht="32.25" customHeight="1" x14ac:dyDescent="0.25">
      <c r="A32" s="275">
        <v>2</v>
      </c>
      <c r="B32" s="314"/>
      <c r="C32" s="314" t="s">
        <v>79</v>
      </c>
      <c r="D32" s="315"/>
      <c r="E32" s="348" t="s">
        <v>80</v>
      </c>
      <c r="F32" s="317">
        <f t="shared" ref="F32:H33" si="6">+F33</f>
        <v>158294000</v>
      </c>
      <c r="G32" s="318">
        <f t="shared" si="6"/>
        <v>0</v>
      </c>
      <c r="H32" s="318">
        <f t="shared" si="6"/>
        <v>0</v>
      </c>
      <c r="I32" s="318">
        <f>+G32+H32</f>
        <v>0</v>
      </c>
      <c r="J32" s="318">
        <f>+J33</f>
        <v>0</v>
      </c>
      <c r="K32" s="318">
        <f>+K33</f>
        <v>4300000</v>
      </c>
      <c r="L32" s="318">
        <f>+J32+K32</f>
        <v>4300000</v>
      </c>
      <c r="M32" s="318">
        <f>+I32+L32</f>
        <v>4300000</v>
      </c>
      <c r="N32" s="317">
        <f>+F32-M32</f>
        <v>153994000</v>
      </c>
      <c r="P32" s="320"/>
      <c r="R32" s="321"/>
      <c r="S32" s="349"/>
      <c r="T32" s="349"/>
      <c r="U32" s="350"/>
    </row>
    <row r="33" spans="1:21" s="329" customFormat="1" ht="18" customHeight="1" x14ac:dyDescent="0.25">
      <c r="A33" s="323"/>
      <c r="B33" s="324"/>
      <c r="C33" s="324"/>
      <c r="D33" s="325" t="s">
        <v>207</v>
      </c>
      <c r="E33" s="326" t="s">
        <v>262</v>
      </c>
      <c r="F33" s="327">
        <f t="shared" si="6"/>
        <v>158294000</v>
      </c>
      <c r="G33" s="328">
        <f t="shared" si="6"/>
        <v>0</v>
      </c>
      <c r="H33" s="328">
        <f t="shared" si="6"/>
        <v>0</v>
      </c>
      <c r="I33" s="328">
        <f t="shared" ref="I33:I37" si="7">+G33+H33</f>
        <v>0</v>
      </c>
      <c r="J33" s="328">
        <f>+J34</f>
        <v>0</v>
      </c>
      <c r="K33" s="328">
        <f>+K34</f>
        <v>4300000</v>
      </c>
      <c r="L33" s="328">
        <f t="shared" ref="L33:L35" si="8">+J33+K33</f>
        <v>4300000</v>
      </c>
      <c r="M33" s="328">
        <f>+I33+L33</f>
        <v>4300000</v>
      </c>
      <c r="N33" s="327">
        <f t="shared" ref="N33:N36" si="9">+F33-M33</f>
        <v>153994000</v>
      </c>
      <c r="P33" s="330"/>
      <c r="R33" s="331"/>
      <c r="S33" s="351"/>
      <c r="T33" s="351"/>
      <c r="U33" s="333"/>
    </row>
    <row r="34" spans="1:21" s="339" customFormat="1" ht="18" customHeight="1" x14ac:dyDescent="0.25">
      <c r="A34" s="334"/>
      <c r="B34" s="335"/>
      <c r="C34" s="335"/>
      <c r="D34" s="335" t="s">
        <v>63</v>
      </c>
      <c r="E34" s="336" t="s">
        <v>30</v>
      </c>
      <c r="F34" s="337">
        <f>+F35+F42</f>
        <v>158294000</v>
      </c>
      <c r="G34" s="338">
        <f>+G35+G42</f>
        <v>0</v>
      </c>
      <c r="H34" s="338">
        <f>+H35+H42</f>
        <v>0</v>
      </c>
      <c r="I34" s="338">
        <f t="shared" si="7"/>
        <v>0</v>
      </c>
      <c r="J34" s="338">
        <f>+J35+J42</f>
        <v>0</v>
      </c>
      <c r="K34" s="338">
        <f>+K35+K42</f>
        <v>4300000</v>
      </c>
      <c r="L34" s="338">
        <f t="shared" si="8"/>
        <v>4300000</v>
      </c>
      <c r="M34" s="338">
        <f t="shared" ref="M34:M35" si="10">+I34+L34</f>
        <v>4300000</v>
      </c>
      <c r="N34" s="337">
        <f t="shared" si="9"/>
        <v>153994000</v>
      </c>
      <c r="P34" s="340"/>
      <c r="S34" s="347"/>
      <c r="T34" s="347"/>
      <c r="U34" s="342"/>
    </row>
    <row r="35" spans="1:21" s="339" customFormat="1" ht="18" customHeight="1" x14ac:dyDescent="0.25">
      <c r="A35" s="334"/>
      <c r="B35" s="335"/>
      <c r="C35" s="335"/>
      <c r="D35" s="335" t="s">
        <v>263</v>
      </c>
      <c r="E35" s="336" t="s">
        <v>264</v>
      </c>
      <c r="F35" s="337">
        <f t="shared" ref="F35" si="11">+F36</f>
        <v>76694000</v>
      </c>
      <c r="G35" s="338">
        <f>+G36</f>
        <v>0</v>
      </c>
      <c r="H35" s="338">
        <f>+H36</f>
        <v>0</v>
      </c>
      <c r="I35" s="338">
        <f t="shared" si="7"/>
        <v>0</v>
      </c>
      <c r="J35" s="338">
        <f>+J36</f>
        <v>0</v>
      </c>
      <c r="K35" s="338">
        <f>+K36</f>
        <v>0</v>
      </c>
      <c r="L35" s="338">
        <f t="shared" si="8"/>
        <v>0</v>
      </c>
      <c r="M35" s="338">
        <f t="shared" si="10"/>
        <v>0</v>
      </c>
      <c r="N35" s="337">
        <f t="shared" si="9"/>
        <v>76694000</v>
      </c>
      <c r="P35" s="340"/>
      <c r="S35" s="347"/>
      <c r="T35" s="347"/>
      <c r="U35" s="342"/>
    </row>
    <row r="36" spans="1:21" s="339" customFormat="1" ht="18" customHeight="1" x14ac:dyDescent="0.25">
      <c r="A36" s="334"/>
      <c r="B36" s="335"/>
      <c r="C36" s="335"/>
      <c r="D36" s="335" t="s">
        <v>64</v>
      </c>
      <c r="E36" s="335" t="s">
        <v>65</v>
      </c>
      <c r="F36" s="337">
        <f>SUM(F37:F41)</f>
        <v>76694000</v>
      </c>
      <c r="G36" s="344">
        <f>SUM(G37:G41)</f>
        <v>0</v>
      </c>
      <c r="H36" s="344">
        <f>SUM(H37:H41)</f>
        <v>0</v>
      </c>
      <c r="I36" s="338">
        <f t="shared" si="7"/>
        <v>0</v>
      </c>
      <c r="J36" s="338">
        <f>SUM(J37:J41)</f>
        <v>0</v>
      </c>
      <c r="K36" s="338">
        <f>SUM(K37:K41)</f>
        <v>0</v>
      </c>
      <c r="L36" s="338">
        <f>+J36+K36</f>
        <v>0</v>
      </c>
      <c r="M36" s="338">
        <f>+I36+L36</f>
        <v>0</v>
      </c>
      <c r="N36" s="337">
        <f t="shared" si="9"/>
        <v>76694000</v>
      </c>
      <c r="P36" s="340"/>
      <c r="S36" s="347"/>
      <c r="T36" s="347"/>
      <c r="U36" s="342"/>
    </row>
    <row r="37" spans="1:21" s="339" customFormat="1" ht="18" customHeight="1" x14ac:dyDescent="0.25">
      <c r="A37" s="334"/>
      <c r="B37" s="352"/>
      <c r="C37" s="335"/>
      <c r="D37" s="335" t="s">
        <v>66</v>
      </c>
      <c r="E37" s="335" t="s">
        <v>67</v>
      </c>
      <c r="F37" s="337">
        <v>8160000</v>
      </c>
      <c r="G37" s="338"/>
      <c r="H37" s="338"/>
      <c r="I37" s="338">
        <f t="shared" si="7"/>
        <v>0</v>
      </c>
      <c r="J37" s="338"/>
      <c r="K37" s="338"/>
      <c r="L37" s="338">
        <f t="shared" ref="L37" si="12">+J37+K37</f>
        <v>0</v>
      </c>
      <c r="M37" s="338">
        <f t="shared" ref="M37" si="13">+I37+L37</f>
        <v>0</v>
      </c>
      <c r="N37" s="337">
        <f>+F37-M37</f>
        <v>8160000</v>
      </c>
      <c r="P37" s="340"/>
      <c r="S37" s="346"/>
      <c r="T37" s="347"/>
      <c r="U37" s="342"/>
    </row>
    <row r="38" spans="1:21" s="339" customFormat="1" ht="18" customHeight="1" x14ac:dyDescent="0.25">
      <c r="A38" s="334"/>
      <c r="B38" s="352"/>
      <c r="C38" s="335"/>
      <c r="D38" s="335" t="s">
        <v>337</v>
      </c>
      <c r="E38" s="335" t="s">
        <v>338</v>
      </c>
      <c r="F38" s="337">
        <v>5112000</v>
      </c>
      <c r="G38" s="338"/>
      <c r="H38" s="338"/>
      <c r="I38" s="338"/>
      <c r="J38" s="338"/>
      <c r="K38" s="338"/>
      <c r="L38" s="338">
        <f>+J38+K38</f>
        <v>0</v>
      </c>
      <c r="M38" s="338">
        <f>+I38+L38</f>
        <v>0</v>
      </c>
      <c r="N38" s="337">
        <f>+F38-M38</f>
        <v>5112000</v>
      </c>
      <c r="P38" s="340"/>
      <c r="S38" s="346"/>
      <c r="T38" s="347"/>
      <c r="U38" s="342"/>
    </row>
    <row r="39" spans="1:21" s="339" customFormat="1" ht="18" customHeight="1" x14ac:dyDescent="0.25">
      <c r="A39" s="334"/>
      <c r="B39" s="352"/>
      <c r="C39" s="335"/>
      <c r="D39" s="335" t="s">
        <v>68</v>
      </c>
      <c r="E39" s="335" t="s">
        <v>69</v>
      </c>
      <c r="F39" s="337">
        <v>36414000</v>
      </c>
      <c r="G39" s="338"/>
      <c r="H39" s="338"/>
      <c r="I39" s="338"/>
      <c r="J39" s="338"/>
      <c r="K39" s="338"/>
      <c r="L39" s="338">
        <f t="shared" ref="L39:L41" si="14">+J39+K39</f>
        <v>0</v>
      </c>
      <c r="M39" s="338">
        <f t="shared" ref="M39:M41" si="15">+I39+L39</f>
        <v>0</v>
      </c>
      <c r="N39" s="337">
        <f t="shared" ref="N39:N45" si="16">+F39-M39</f>
        <v>36414000</v>
      </c>
      <c r="P39" s="340"/>
      <c r="S39" s="346"/>
      <c r="T39" s="347"/>
      <c r="U39" s="342"/>
    </row>
    <row r="40" spans="1:21" s="339" customFormat="1" ht="18" customHeight="1" x14ac:dyDescent="0.25">
      <c r="A40" s="334"/>
      <c r="B40" s="352"/>
      <c r="C40" s="335"/>
      <c r="D40" s="335" t="s">
        <v>339</v>
      </c>
      <c r="E40" s="335" t="s">
        <v>340</v>
      </c>
      <c r="F40" s="337">
        <v>12008000</v>
      </c>
      <c r="G40" s="338"/>
      <c r="H40" s="338"/>
      <c r="I40" s="338"/>
      <c r="J40" s="338"/>
      <c r="K40" s="338"/>
      <c r="L40" s="338">
        <f t="shared" si="14"/>
        <v>0</v>
      </c>
      <c r="M40" s="338">
        <f t="shared" si="15"/>
        <v>0</v>
      </c>
      <c r="N40" s="337">
        <f t="shared" si="16"/>
        <v>12008000</v>
      </c>
      <c r="P40" s="340"/>
      <c r="S40" s="346"/>
      <c r="T40" s="347"/>
      <c r="U40" s="342"/>
    </row>
    <row r="41" spans="1:21" s="339" customFormat="1" ht="18" customHeight="1" x14ac:dyDescent="0.25">
      <c r="A41" s="334"/>
      <c r="B41" s="352"/>
      <c r="C41" s="335"/>
      <c r="D41" s="335" t="s">
        <v>70</v>
      </c>
      <c r="E41" s="335" t="s">
        <v>33</v>
      </c>
      <c r="F41" s="337">
        <v>15000000</v>
      </c>
      <c r="G41" s="338"/>
      <c r="H41" s="338"/>
      <c r="I41" s="338">
        <f>+G41+H41</f>
        <v>0</v>
      </c>
      <c r="J41" s="338"/>
      <c r="K41" s="338"/>
      <c r="L41" s="338">
        <f t="shared" si="14"/>
        <v>0</v>
      </c>
      <c r="M41" s="338">
        <f t="shared" si="15"/>
        <v>0</v>
      </c>
      <c r="N41" s="337">
        <f t="shared" si="16"/>
        <v>15000000</v>
      </c>
      <c r="P41" s="340"/>
      <c r="S41" s="346"/>
      <c r="T41" s="347"/>
      <c r="U41" s="342"/>
    </row>
    <row r="42" spans="1:21" s="339" customFormat="1" ht="18" customHeight="1" x14ac:dyDescent="0.25">
      <c r="A42" s="334"/>
      <c r="B42" s="335"/>
      <c r="C42" s="335"/>
      <c r="D42" s="335" t="s">
        <v>271</v>
      </c>
      <c r="E42" s="336" t="s">
        <v>272</v>
      </c>
      <c r="F42" s="337">
        <f>+F43</f>
        <v>81600000</v>
      </c>
      <c r="G42" s="338">
        <f>+G43</f>
        <v>0</v>
      </c>
      <c r="H42" s="338">
        <f>+H43</f>
        <v>0</v>
      </c>
      <c r="I42" s="338">
        <f t="shared" ref="I42:I45" si="17">+G42+H42</f>
        <v>0</v>
      </c>
      <c r="J42" s="338">
        <f>+J43</f>
        <v>0</v>
      </c>
      <c r="K42" s="338">
        <f>+K43</f>
        <v>4300000</v>
      </c>
      <c r="L42" s="338">
        <f>+J42+K42</f>
        <v>4300000</v>
      </c>
      <c r="M42" s="338">
        <f>+I42+L42</f>
        <v>4300000</v>
      </c>
      <c r="N42" s="337">
        <f t="shared" si="16"/>
        <v>77300000</v>
      </c>
      <c r="P42" s="340"/>
      <c r="S42" s="346"/>
      <c r="T42" s="347"/>
      <c r="U42" s="342"/>
    </row>
    <row r="43" spans="1:21" s="339" customFormat="1" ht="18" customHeight="1" x14ac:dyDescent="0.25">
      <c r="A43" s="334"/>
      <c r="B43" s="335"/>
      <c r="C43" s="335"/>
      <c r="D43" s="335" t="s">
        <v>81</v>
      </c>
      <c r="E43" s="335" t="s">
        <v>31</v>
      </c>
      <c r="F43" s="337">
        <f>SUM(F44:F45)</f>
        <v>81600000</v>
      </c>
      <c r="G43" s="344">
        <f>+G45</f>
        <v>0</v>
      </c>
      <c r="H43" s="338">
        <f>+SUM(H45:H45)</f>
        <v>0</v>
      </c>
      <c r="I43" s="338">
        <f t="shared" si="17"/>
        <v>0</v>
      </c>
      <c r="J43" s="338">
        <f>+SUM(J45:J45)</f>
        <v>0</v>
      </c>
      <c r="K43" s="338">
        <f>+SUM(K45:K45)</f>
        <v>4300000</v>
      </c>
      <c r="L43" s="338">
        <f t="shared" ref="L43:L45" si="18">+J43+K43</f>
        <v>4300000</v>
      </c>
      <c r="M43" s="338">
        <f t="shared" ref="M43:M45" si="19">+I43+L43</f>
        <v>4300000</v>
      </c>
      <c r="N43" s="337">
        <f t="shared" si="16"/>
        <v>77300000</v>
      </c>
      <c r="P43" s="340"/>
      <c r="S43" s="346"/>
      <c r="T43" s="347"/>
      <c r="U43" s="342"/>
    </row>
    <row r="44" spans="1:21" s="339" customFormat="1" ht="18" customHeight="1" x14ac:dyDescent="0.25">
      <c r="A44" s="334"/>
      <c r="B44" s="335"/>
      <c r="C44" s="335"/>
      <c r="D44" s="335" t="s">
        <v>451</v>
      </c>
      <c r="E44" s="335" t="s">
        <v>452</v>
      </c>
      <c r="F44" s="337">
        <v>30000000</v>
      </c>
      <c r="G44" s="338"/>
      <c r="H44" s="338"/>
      <c r="I44" s="338">
        <f t="shared" si="17"/>
        <v>0</v>
      </c>
      <c r="J44" s="338"/>
      <c r="K44" s="338"/>
      <c r="L44" s="338">
        <f t="shared" si="18"/>
        <v>0</v>
      </c>
      <c r="M44" s="338">
        <f t="shared" si="19"/>
        <v>0</v>
      </c>
      <c r="N44" s="337">
        <f t="shared" si="16"/>
        <v>30000000</v>
      </c>
      <c r="P44" s="340"/>
      <c r="S44" s="346"/>
      <c r="T44" s="347"/>
      <c r="U44" s="342"/>
    </row>
    <row r="45" spans="1:21" s="339" customFormat="1" ht="18" customHeight="1" x14ac:dyDescent="0.25">
      <c r="A45" s="334"/>
      <c r="B45" s="335"/>
      <c r="C45" s="335"/>
      <c r="D45" s="335" t="s">
        <v>82</v>
      </c>
      <c r="E45" s="335" t="s">
        <v>83</v>
      </c>
      <c r="F45" s="337">
        <v>51600000</v>
      </c>
      <c r="G45" s="338"/>
      <c r="H45" s="338"/>
      <c r="I45" s="338">
        <f t="shared" si="17"/>
        <v>0</v>
      </c>
      <c r="J45" s="338"/>
      <c r="K45" s="338">
        <v>4300000</v>
      </c>
      <c r="L45" s="338">
        <f t="shared" si="18"/>
        <v>4300000</v>
      </c>
      <c r="M45" s="338">
        <f t="shared" si="19"/>
        <v>4300000</v>
      </c>
      <c r="N45" s="337">
        <f t="shared" si="16"/>
        <v>47300000</v>
      </c>
      <c r="P45" s="340"/>
      <c r="S45" s="346"/>
      <c r="T45" s="347"/>
      <c r="U45" s="342"/>
    </row>
    <row r="46" spans="1:21" s="153" customFormat="1" ht="18" customHeight="1" x14ac:dyDescent="0.25">
      <c r="A46" s="353"/>
      <c r="B46" s="354"/>
      <c r="C46" s="354"/>
      <c r="D46" s="355"/>
      <c r="E46" s="355"/>
      <c r="F46" s="356"/>
      <c r="G46" s="357"/>
      <c r="H46" s="357"/>
      <c r="I46" s="357"/>
      <c r="J46" s="357"/>
      <c r="K46" s="357"/>
      <c r="L46" s="357"/>
      <c r="M46" s="357"/>
      <c r="N46" s="356"/>
      <c r="P46" s="200"/>
      <c r="S46" s="358"/>
      <c r="T46" s="221"/>
      <c r="U46" s="254"/>
    </row>
    <row r="47" spans="1:21" s="319" customFormat="1" ht="18" customHeight="1" x14ac:dyDescent="0.25">
      <c r="A47" s="276"/>
      <c r="B47" s="305" t="s">
        <v>407</v>
      </c>
      <c r="C47" s="305"/>
      <c r="D47" s="305"/>
      <c r="E47" s="305" t="s">
        <v>408</v>
      </c>
      <c r="F47" s="359">
        <f>+F48+F113</f>
        <v>27970445142</v>
      </c>
      <c r="G47" s="360">
        <f>+G48</f>
        <v>0</v>
      </c>
      <c r="H47" s="360">
        <f>+H48+H113</f>
        <v>592026147</v>
      </c>
      <c r="I47" s="360">
        <f>+G47+H47</f>
        <v>592026147</v>
      </c>
      <c r="J47" s="360">
        <f>+J114</f>
        <v>0</v>
      </c>
      <c r="K47" s="360">
        <f>+K114</f>
        <v>0</v>
      </c>
      <c r="L47" s="360">
        <f>+J47+K47</f>
        <v>0</v>
      </c>
      <c r="M47" s="360">
        <f>+I47+L47</f>
        <v>592026147</v>
      </c>
      <c r="N47" s="359">
        <f>+F47-M47</f>
        <v>27378418995</v>
      </c>
      <c r="P47" s="361"/>
      <c r="R47" s="321"/>
      <c r="S47" s="362"/>
      <c r="T47" s="362"/>
      <c r="U47" s="350"/>
    </row>
    <row r="48" spans="1:21" s="319" customFormat="1" ht="18" customHeight="1" x14ac:dyDescent="0.25">
      <c r="A48" s="276">
        <v>3</v>
      </c>
      <c r="B48" s="305"/>
      <c r="C48" s="305" t="s">
        <v>156</v>
      </c>
      <c r="D48" s="363"/>
      <c r="E48" s="364" t="s">
        <v>157</v>
      </c>
      <c r="F48" s="307">
        <f>+F49</f>
        <v>27939292142</v>
      </c>
      <c r="G48" s="308">
        <f>+G49</f>
        <v>0</v>
      </c>
      <c r="H48" s="308">
        <f>+H49</f>
        <v>592026147</v>
      </c>
      <c r="I48" s="308">
        <f>+G48+H48</f>
        <v>592026147</v>
      </c>
      <c r="J48" s="308">
        <f>+J49</f>
        <v>0</v>
      </c>
      <c r="K48" s="308">
        <f>+K49</f>
        <v>0</v>
      </c>
      <c r="L48" s="308">
        <f>+J48+K48</f>
        <v>0</v>
      </c>
      <c r="M48" s="308">
        <f>+I48+L48</f>
        <v>592026147</v>
      </c>
      <c r="N48" s="307">
        <f>+F48-M48</f>
        <v>27347265995</v>
      </c>
      <c r="P48" s="320"/>
      <c r="R48" s="321"/>
      <c r="S48" s="349"/>
      <c r="T48" s="349"/>
      <c r="U48" s="350"/>
    </row>
    <row r="49" spans="1:21" s="329" customFormat="1" ht="18" customHeight="1" x14ac:dyDescent="0.25">
      <c r="A49" s="323"/>
      <c r="B49" s="324"/>
      <c r="C49" s="324"/>
      <c r="D49" s="325" t="s">
        <v>207</v>
      </c>
      <c r="E49" s="326" t="s">
        <v>262</v>
      </c>
      <c r="F49" s="327">
        <f t="shared" ref="F49" si="20">+F50</f>
        <v>27939292142</v>
      </c>
      <c r="G49" s="328">
        <f>+G50</f>
        <v>0</v>
      </c>
      <c r="H49" s="328">
        <f>+H50</f>
        <v>592026147</v>
      </c>
      <c r="I49" s="328">
        <f t="shared" ref="I49:I50" si="21">+G49+H49</f>
        <v>592026147</v>
      </c>
      <c r="J49" s="328"/>
      <c r="K49" s="328">
        <f>+K50</f>
        <v>0</v>
      </c>
      <c r="L49" s="328">
        <f t="shared" ref="L49:L112" si="22">+J49+K49</f>
        <v>0</v>
      </c>
      <c r="M49" s="328">
        <f t="shared" ref="M49:M72" si="23">+I49+L49</f>
        <v>592026147</v>
      </c>
      <c r="N49" s="327">
        <f t="shared" ref="N49:N54" si="24">+F49-M49</f>
        <v>27347265995</v>
      </c>
      <c r="P49" s="330"/>
      <c r="R49" s="331"/>
      <c r="S49" s="351"/>
      <c r="T49" s="351"/>
      <c r="U49" s="333"/>
    </row>
    <row r="50" spans="1:21" s="339" customFormat="1" ht="18" customHeight="1" x14ac:dyDescent="0.25">
      <c r="A50" s="334"/>
      <c r="B50" s="335"/>
      <c r="C50" s="335"/>
      <c r="D50" s="365" t="s">
        <v>158</v>
      </c>
      <c r="E50" s="335" t="s">
        <v>159</v>
      </c>
      <c r="F50" s="337">
        <f>F51+F76+F83+F101</f>
        <v>27939292142</v>
      </c>
      <c r="G50" s="344">
        <f>+G51+G83+G101+G76</f>
        <v>0</v>
      </c>
      <c r="H50" s="344">
        <f>+H51+H83+H101+H76</f>
        <v>592026147</v>
      </c>
      <c r="I50" s="344">
        <f t="shared" si="21"/>
        <v>592026147</v>
      </c>
      <c r="J50" s="344"/>
      <c r="K50" s="344">
        <f>+K51+K76+K83+K101</f>
        <v>0</v>
      </c>
      <c r="L50" s="344">
        <f t="shared" si="22"/>
        <v>0</v>
      </c>
      <c r="M50" s="344">
        <f t="shared" si="23"/>
        <v>592026147</v>
      </c>
      <c r="N50" s="337">
        <f t="shared" si="24"/>
        <v>27347265995</v>
      </c>
      <c r="P50" s="340"/>
      <c r="S50" s="347"/>
      <c r="T50" s="347"/>
      <c r="U50" s="342"/>
    </row>
    <row r="51" spans="1:21" s="339" customFormat="1" ht="18" customHeight="1" x14ac:dyDescent="0.25">
      <c r="A51" s="334"/>
      <c r="B51" s="335"/>
      <c r="C51" s="335"/>
      <c r="D51" s="365" t="s">
        <v>208</v>
      </c>
      <c r="E51" s="335" t="s">
        <v>209</v>
      </c>
      <c r="F51" s="337">
        <f>F52+F54+F56+F58+F60+F62+F64+F66+F68+F70+F72+F74</f>
        <v>15098272502</v>
      </c>
      <c r="G51" s="344">
        <f>+G52+G54+G56+G58+G60+G62+G64+G66+G68+G70+G72+G74</f>
        <v>0</v>
      </c>
      <c r="H51" s="344">
        <f>+H52+H54+H56+H58+H60+H62+H64+H66+H68+H70+H72+H74</f>
        <v>321607359</v>
      </c>
      <c r="I51" s="344">
        <f>+G51+H51</f>
        <v>321607359</v>
      </c>
      <c r="J51" s="344"/>
      <c r="K51" s="344">
        <f>+K52+K54+K56+K58+K60+K62+K64+K66+K68+K70+K72+K74</f>
        <v>0</v>
      </c>
      <c r="L51" s="344">
        <f t="shared" si="22"/>
        <v>0</v>
      </c>
      <c r="M51" s="344">
        <f t="shared" si="23"/>
        <v>321607359</v>
      </c>
      <c r="N51" s="337">
        <f t="shared" si="24"/>
        <v>14776665143</v>
      </c>
      <c r="P51" s="340"/>
      <c r="S51" s="347"/>
      <c r="T51" s="347"/>
      <c r="U51" s="342"/>
    </row>
    <row r="52" spans="1:21" s="339" customFormat="1" ht="18" customHeight="1" x14ac:dyDescent="0.25">
      <c r="A52" s="334"/>
      <c r="B52" s="335"/>
      <c r="C52" s="335"/>
      <c r="D52" s="365" t="s">
        <v>160</v>
      </c>
      <c r="E52" s="335" t="s">
        <v>162</v>
      </c>
      <c r="F52" s="337">
        <f>+F53</f>
        <v>13525507924</v>
      </c>
      <c r="G52" s="344">
        <f>+G53</f>
        <v>0</v>
      </c>
      <c r="H52" s="344">
        <f>+H53</f>
        <v>241934700</v>
      </c>
      <c r="I52" s="344">
        <f t="shared" ref="I52" si="25">+G52+H52</f>
        <v>241934700</v>
      </c>
      <c r="J52" s="344"/>
      <c r="K52" s="344">
        <f>+K53</f>
        <v>0</v>
      </c>
      <c r="L52" s="344">
        <f>+J52+K52</f>
        <v>0</v>
      </c>
      <c r="M52" s="344">
        <f t="shared" si="23"/>
        <v>241934700</v>
      </c>
      <c r="N52" s="337">
        <f t="shared" si="24"/>
        <v>13283573224</v>
      </c>
      <c r="P52" s="340"/>
      <c r="S52" s="347"/>
      <c r="T52" s="346"/>
      <c r="U52" s="342"/>
    </row>
    <row r="53" spans="1:21" s="339" customFormat="1" ht="18" customHeight="1" x14ac:dyDescent="0.25">
      <c r="A53" s="334"/>
      <c r="B53" s="335"/>
      <c r="C53" s="335"/>
      <c r="D53" s="365" t="s">
        <v>161</v>
      </c>
      <c r="E53" s="335" t="s">
        <v>163</v>
      </c>
      <c r="F53" s="337">
        <v>13525507924</v>
      </c>
      <c r="G53" s="344"/>
      <c r="H53" s="344">
        <v>241934700</v>
      </c>
      <c r="I53" s="344">
        <f>+G53+H53</f>
        <v>241934700</v>
      </c>
      <c r="J53" s="344"/>
      <c r="K53" s="344"/>
      <c r="L53" s="344">
        <f t="shared" si="22"/>
        <v>0</v>
      </c>
      <c r="M53" s="344">
        <f t="shared" si="23"/>
        <v>241934700</v>
      </c>
      <c r="N53" s="337">
        <f t="shared" si="24"/>
        <v>13283573224</v>
      </c>
      <c r="P53" s="340"/>
      <c r="S53" s="347"/>
      <c r="T53" s="346"/>
      <c r="U53" s="342"/>
    </row>
    <row r="54" spans="1:21" s="339" customFormat="1" ht="18" customHeight="1" x14ac:dyDescent="0.25">
      <c r="A54" s="334"/>
      <c r="B54" s="335"/>
      <c r="C54" s="335"/>
      <c r="D54" s="365" t="s">
        <v>164</v>
      </c>
      <c r="E54" s="335" t="s">
        <v>166</v>
      </c>
      <c r="F54" s="337">
        <f>+F55</f>
        <v>401878814</v>
      </c>
      <c r="G54" s="344">
        <f>+G55</f>
        <v>0</v>
      </c>
      <c r="H54" s="344">
        <f>+H55</f>
        <v>24447544</v>
      </c>
      <c r="I54" s="344">
        <f t="shared" ref="I54:I73" si="26">+G54+H54</f>
        <v>24447544</v>
      </c>
      <c r="J54" s="344"/>
      <c r="K54" s="344">
        <f>+K55</f>
        <v>0</v>
      </c>
      <c r="L54" s="344">
        <f>+J54+K54</f>
        <v>0</v>
      </c>
      <c r="M54" s="344">
        <f t="shared" si="23"/>
        <v>24447544</v>
      </c>
      <c r="N54" s="337">
        <f t="shared" si="24"/>
        <v>377431270</v>
      </c>
      <c r="P54" s="340"/>
      <c r="S54" s="347"/>
      <c r="T54" s="346"/>
      <c r="U54" s="342"/>
    </row>
    <row r="55" spans="1:21" s="339" customFormat="1" ht="18" customHeight="1" x14ac:dyDescent="0.25">
      <c r="A55" s="334"/>
      <c r="B55" s="335"/>
      <c r="C55" s="335"/>
      <c r="D55" s="365" t="s">
        <v>165</v>
      </c>
      <c r="E55" s="335" t="s">
        <v>167</v>
      </c>
      <c r="F55" s="337">
        <v>401878814</v>
      </c>
      <c r="G55" s="344"/>
      <c r="H55" s="344">
        <v>24447544</v>
      </c>
      <c r="I55" s="344">
        <f t="shared" si="26"/>
        <v>24447544</v>
      </c>
      <c r="J55" s="344"/>
      <c r="K55" s="344"/>
      <c r="L55" s="344">
        <f t="shared" si="22"/>
        <v>0</v>
      </c>
      <c r="M55" s="344">
        <f t="shared" si="23"/>
        <v>24447544</v>
      </c>
      <c r="N55" s="337">
        <f>+F55-M55</f>
        <v>377431270</v>
      </c>
      <c r="P55" s="340"/>
      <c r="S55" s="347"/>
      <c r="T55" s="346"/>
      <c r="U55" s="342"/>
    </row>
    <row r="56" spans="1:21" s="339" customFormat="1" ht="18" customHeight="1" x14ac:dyDescent="0.25">
      <c r="A56" s="334"/>
      <c r="B56" s="335"/>
      <c r="C56" s="335"/>
      <c r="D56" s="365" t="s">
        <v>168</v>
      </c>
      <c r="E56" s="335" t="s">
        <v>170</v>
      </c>
      <c r="F56" s="337">
        <f>+F57</f>
        <v>290052000</v>
      </c>
      <c r="G56" s="344">
        <f>+G57</f>
        <v>0</v>
      </c>
      <c r="H56" s="344">
        <f>+H57</f>
        <v>17805000</v>
      </c>
      <c r="I56" s="344">
        <f t="shared" si="26"/>
        <v>17805000</v>
      </c>
      <c r="J56" s="344"/>
      <c r="K56" s="344">
        <f>+K57</f>
        <v>0</v>
      </c>
      <c r="L56" s="344">
        <f t="shared" si="22"/>
        <v>0</v>
      </c>
      <c r="M56" s="344">
        <f t="shared" si="23"/>
        <v>17805000</v>
      </c>
      <c r="N56" s="337">
        <f t="shared" ref="N56:N58" si="27">+F56-M56</f>
        <v>272247000</v>
      </c>
      <c r="P56" s="340"/>
      <c r="S56" s="347"/>
      <c r="T56" s="346"/>
      <c r="U56" s="342"/>
    </row>
    <row r="57" spans="1:21" s="339" customFormat="1" ht="18" customHeight="1" x14ac:dyDescent="0.25">
      <c r="A57" s="334"/>
      <c r="B57" s="335"/>
      <c r="C57" s="335"/>
      <c r="D57" s="365" t="s">
        <v>169</v>
      </c>
      <c r="E57" s="335" t="s">
        <v>171</v>
      </c>
      <c r="F57" s="337">
        <v>290052000</v>
      </c>
      <c r="G57" s="344"/>
      <c r="H57" s="344">
        <v>17805000</v>
      </c>
      <c r="I57" s="344">
        <f t="shared" si="26"/>
        <v>17805000</v>
      </c>
      <c r="J57" s="344"/>
      <c r="K57" s="344"/>
      <c r="L57" s="344">
        <f t="shared" si="22"/>
        <v>0</v>
      </c>
      <c r="M57" s="344">
        <f t="shared" si="23"/>
        <v>17805000</v>
      </c>
      <c r="N57" s="337">
        <f t="shared" si="27"/>
        <v>272247000</v>
      </c>
      <c r="P57" s="340"/>
      <c r="S57" s="347"/>
      <c r="T57" s="346"/>
      <c r="U57" s="342"/>
    </row>
    <row r="58" spans="1:21" s="339" customFormat="1" ht="18" customHeight="1" x14ac:dyDescent="0.25">
      <c r="A58" s="334"/>
      <c r="B58" s="335"/>
      <c r="C58" s="335"/>
      <c r="D58" s="365" t="s">
        <v>172</v>
      </c>
      <c r="E58" s="335" t="s">
        <v>174</v>
      </c>
      <c r="F58" s="337">
        <f>+F59</f>
        <v>62496000</v>
      </c>
      <c r="G58" s="344">
        <f>+G59</f>
        <v>0</v>
      </c>
      <c r="H58" s="344">
        <f>+H59</f>
        <v>960000</v>
      </c>
      <c r="I58" s="344">
        <f t="shared" si="26"/>
        <v>960000</v>
      </c>
      <c r="J58" s="344"/>
      <c r="K58" s="344">
        <f>+K59</f>
        <v>0</v>
      </c>
      <c r="L58" s="344">
        <f t="shared" si="22"/>
        <v>0</v>
      </c>
      <c r="M58" s="344">
        <f t="shared" si="23"/>
        <v>960000</v>
      </c>
      <c r="N58" s="337">
        <f t="shared" si="27"/>
        <v>61536000</v>
      </c>
      <c r="P58" s="340"/>
      <c r="S58" s="347"/>
      <c r="T58" s="346"/>
      <c r="U58" s="342"/>
    </row>
    <row r="59" spans="1:21" s="339" customFormat="1" ht="18" customHeight="1" x14ac:dyDescent="0.25">
      <c r="A59" s="334"/>
      <c r="B59" s="335"/>
      <c r="C59" s="335"/>
      <c r="D59" s="365" t="s">
        <v>173</v>
      </c>
      <c r="E59" s="335" t="s">
        <v>175</v>
      </c>
      <c r="F59" s="337">
        <v>62496000</v>
      </c>
      <c r="G59" s="344"/>
      <c r="H59" s="344">
        <v>960000</v>
      </c>
      <c r="I59" s="344">
        <f t="shared" si="26"/>
        <v>960000</v>
      </c>
      <c r="J59" s="344"/>
      <c r="K59" s="344"/>
      <c r="L59" s="344">
        <f t="shared" si="22"/>
        <v>0</v>
      </c>
      <c r="M59" s="344">
        <f t="shared" si="23"/>
        <v>960000</v>
      </c>
      <c r="N59" s="337">
        <f>+F59-M59</f>
        <v>61536000</v>
      </c>
      <c r="P59" s="340"/>
      <c r="S59" s="347"/>
      <c r="T59" s="346"/>
      <c r="U59" s="342"/>
    </row>
    <row r="60" spans="1:21" s="339" customFormat="1" ht="18" customHeight="1" x14ac:dyDescent="0.25">
      <c r="A60" s="334"/>
      <c r="B60" s="335"/>
      <c r="C60" s="335"/>
      <c r="D60" s="365" t="s">
        <v>176</v>
      </c>
      <c r="E60" s="335" t="s">
        <v>178</v>
      </c>
      <c r="F60" s="337">
        <f>+F61</f>
        <v>126672000</v>
      </c>
      <c r="G60" s="344">
        <f>+G61</f>
        <v>0</v>
      </c>
      <c r="H60" s="344">
        <f>+H61</f>
        <v>7730000</v>
      </c>
      <c r="I60" s="344">
        <f t="shared" si="26"/>
        <v>7730000</v>
      </c>
      <c r="J60" s="344"/>
      <c r="K60" s="344">
        <f>+K61</f>
        <v>0</v>
      </c>
      <c r="L60" s="344">
        <f t="shared" si="22"/>
        <v>0</v>
      </c>
      <c r="M60" s="344">
        <f t="shared" si="23"/>
        <v>7730000</v>
      </c>
      <c r="N60" s="337">
        <f t="shared" ref="N60:N72" si="28">+F60-M60</f>
        <v>118942000</v>
      </c>
      <c r="P60" s="340"/>
      <c r="S60" s="347"/>
      <c r="T60" s="346"/>
      <c r="U60" s="342"/>
    </row>
    <row r="61" spans="1:21" s="339" customFormat="1" ht="18" customHeight="1" x14ac:dyDescent="0.25">
      <c r="A61" s="334"/>
      <c r="B61" s="335"/>
      <c r="C61" s="335"/>
      <c r="D61" s="365" t="s">
        <v>177</v>
      </c>
      <c r="E61" s="335" t="s">
        <v>179</v>
      </c>
      <c r="F61" s="337">
        <v>126672000</v>
      </c>
      <c r="G61" s="344"/>
      <c r="H61" s="344">
        <v>7730000</v>
      </c>
      <c r="I61" s="344">
        <f t="shared" si="26"/>
        <v>7730000</v>
      </c>
      <c r="J61" s="344"/>
      <c r="K61" s="344"/>
      <c r="L61" s="344">
        <f t="shared" si="22"/>
        <v>0</v>
      </c>
      <c r="M61" s="344">
        <f t="shared" si="23"/>
        <v>7730000</v>
      </c>
      <c r="N61" s="337">
        <f t="shared" si="28"/>
        <v>118942000</v>
      </c>
      <c r="P61" s="340"/>
      <c r="S61" s="347"/>
      <c r="T61" s="346"/>
      <c r="U61" s="342"/>
    </row>
    <row r="62" spans="1:21" s="339" customFormat="1" ht="18" customHeight="1" x14ac:dyDescent="0.25">
      <c r="A62" s="334"/>
      <c r="B62" s="335"/>
      <c r="C62" s="335"/>
      <c r="D62" s="365" t="s">
        <v>180</v>
      </c>
      <c r="E62" s="335" t="s">
        <v>182</v>
      </c>
      <c r="F62" s="337">
        <f>+F63</f>
        <v>237247920</v>
      </c>
      <c r="G62" s="344">
        <f>+G63</f>
        <v>0</v>
      </c>
      <c r="H62" s="344">
        <f>+H63</f>
        <v>14411580</v>
      </c>
      <c r="I62" s="344">
        <f t="shared" si="26"/>
        <v>14411580</v>
      </c>
      <c r="J62" s="344"/>
      <c r="K62" s="344">
        <f>+K63</f>
        <v>0</v>
      </c>
      <c r="L62" s="344">
        <f t="shared" si="22"/>
        <v>0</v>
      </c>
      <c r="M62" s="344">
        <f t="shared" si="23"/>
        <v>14411580</v>
      </c>
      <c r="N62" s="337">
        <f t="shared" si="28"/>
        <v>222836340</v>
      </c>
      <c r="P62" s="340"/>
      <c r="S62" s="347"/>
      <c r="T62" s="346"/>
      <c r="U62" s="342"/>
    </row>
    <row r="63" spans="1:21" s="339" customFormat="1" ht="18" customHeight="1" x14ac:dyDescent="0.25">
      <c r="A63" s="334"/>
      <c r="B63" s="335"/>
      <c r="C63" s="335"/>
      <c r="D63" s="365" t="s">
        <v>181</v>
      </c>
      <c r="E63" s="335" t="s">
        <v>183</v>
      </c>
      <c r="F63" s="337">
        <v>237247920</v>
      </c>
      <c r="G63" s="344"/>
      <c r="H63" s="344">
        <v>14411580</v>
      </c>
      <c r="I63" s="344">
        <f t="shared" si="26"/>
        <v>14411580</v>
      </c>
      <c r="J63" s="344"/>
      <c r="K63" s="344"/>
      <c r="L63" s="344">
        <f t="shared" si="22"/>
        <v>0</v>
      </c>
      <c r="M63" s="344">
        <f t="shared" si="23"/>
        <v>14411580</v>
      </c>
      <c r="N63" s="337">
        <f t="shared" si="28"/>
        <v>222836340</v>
      </c>
      <c r="P63" s="340"/>
      <c r="S63" s="347"/>
      <c r="T63" s="346"/>
      <c r="U63" s="342"/>
    </row>
    <row r="64" spans="1:21" s="339" customFormat="1" ht="18" customHeight="1" x14ac:dyDescent="0.25">
      <c r="A64" s="334"/>
      <c r="B64" s="335"/>
      <c r="C64" s="335"/>
      <c r="D64" s="365" t="s">
        <v>184</v>
      </c>
      <c r="E64" s="335" t="s">
        <v>186</v>
      </c>
      <c r="F64" s="337">
        <f>+F65</f>
        <v>202631050</v>
      </c>
      <c r="G64" s="344">
        <f>+G65</f>
        <v>0</v>
      </c>
      <c r="H64" s="344">
        <f>+H65</f>
        <v>277647</v>
      </c>
      <c r="I64" s="344">
        <f t="shared" si="26"/>
        <v>277647</v>
      </c>
      <c r="J64" s="344"/>
      <c r="K64" s="344">
        <f>+K65</f>
        <v>0</v>
      </c>
      <c r="L64" s="344">
        <f t="shared" si="22"/>
        <v>0</v>
      </c>
      <c r="M64" s="344">
        <f t="shared" si="23"/>
        <v>277647</v>
      </c>
      <c r="N64" s="337">
        <f t="shared" si="28"/>
        <v>202353403</v>
      </c>
      <c r="P64" s="340"/>
      <c r="S64" s="347"/>
      <c r="T64" s="346"/>
      <c r="U64" s="342"/>
    </row>
    <row r="65" spans="1:21" s="339" customFormat="1" ht="18" customHeight="1" x14ac:dyDescent="0.25">
      <c r="A65" s="334"/>
      <c r="B65" s="335"/>
      <c r="C65" s="335"/>
      <c r="D65" s="365" t="s">
        <v>185</v>
      </c>
      <c r="E65" s="335" t="s">
        <v>187</v>
      </c>
      <c r="F65" s="337">
        <v>202631050</v>
      </c>
      <c r="G65" s="344"/>
      <c r="H65" s="344">
        <v>277647</v>
      </c>
      <c r="I65" s="344">
        <f t="shared" si="26"/>
        <v>277647</v>
      </c>
      <c r="J65" s="344"/>
      <c r="K65" s="344"/>
      <c r="L65" s="344">
        <f t="shared" si="22"/>
        <v>0</v>
      </c>
      <c r="M65" s="344">
        <f t="shared" si="23"/>
        <v>277647</v>
      </c>
      <c r="N65" s="337">
        <f t="shared" si="28"/>
        <v>202353403</v>
      </c>
      <c r="P65" s="340"/>
      <c r="S65" s="347"/>
      <c r="T65" s="346"/>
      <c r="U65" s="342"/>
    </row>
    <row r="66" spans="1:21" s="339" customFormat="1" ht="18" customHeight="1" x14ac:dyDescent="0.25">
      <c r="A66" s="334"/>
      <c r="B66" s="335"/>
      <c r="C66" s="335"/>
      <c r="D66" s="365" t="s">
        <v>188</v>
      </c>
      <c r="E66" s="335" t="s">
        <v>190</v>
      </c>
      <c r="F66" s="337">
        <f t="shared" ref="F66" si="29">+F67</f>
        <v>51845</v>
      </c>
      <c r="G66" s="344">
        <f>+G67</f>
        <v>0</v>
      </c>
      <c r="H66" s="344">
        <f>+H67</f>
        <v>3223</v>
      </c>
      <c r="I66" s="344">
        <f t="shared" si="26"/>
        <v>3223</v>
      </c>
      <c r="J66" s="344"/>
      <c r="K66" s="344">
        <f>+K67</f>
        <v>0</v>
      </c>
      <c r="L66" s="344">
        <f t="shared" si="22"/>
        <v>0</v>
      </c>
      <c r="M66" s="344">
        <f t="shared" si="23"/>
        <v>3223</v>
      </c>
      <c r="N66" s="337">
        <f t="shared" si="28"/>
        <v>48622</v>
      </c>
      <c r="P66" s="340"/>
      <c r="S66" s="347"/>
      <c r="T66" s="346"/>
      <c r="U66" s="342"/>
    </row>
    <row r="67" spans="1:21" s="339" customFormat="1" ht="18" customHeight="1" x14ac:dyDescent="0.25">
      <c r="A67" s="334"/>
      <c r="B67" s="335"/>
      <c r="C67" s="335"/>
      <c r="D67" s="365" t="s">
        <v>189</v>
      </c>
      <c r="E67" s="335" t="s">
        <v>329</v>
      </c>
      <c r="F67" s="337">
        <v>51845</v>
      </c>
      <c r="G67" s="344"/>
      <c r="H67" s="344">
        <v>3223</v>
      </c>
      <c r="I67" s="344">
        <f t="shared" si="26"/>
        <v>3223</v>
      </c>
      <c r="J67" s="344"/>
      <c r="K67" s="344"/>
      <c r="L67" s="344">
        <f t="shared" si="22"/>
        <v>0</v>
      </c>
      <c r="M67" s="344">
        <f t="shared" si="23"/>
        <v>3223</v>
      </c>
      <c r="N67" s="337">
        <f t="shared" si="28"/>
        <v>48622</v>
      </c>
      <c r="P67" s="340"/>
      <c r="S67" s="347"/>
      <c r="T67" s="346"/>
      <c r="U67" s="342"/>
    </row>
    <row r="68" spans="1:21" s="339" customFormat="1" ht="18" customHeight="1" x14ac:dyDescent="0.25">
      <c r="A68" s="334"/>
      <c r="B68" s="335"/>
      <c r="C68" s="335"/>
      <c r="D68" s="365" t="s">
        <v>191</v>
      </c>
      <c r="E68" s="335" t="s">
        <v>193</v>
      </c>
      <c r="F68" s="337">
        <f t="shared" ref="F68" si="30">+F69</f>
        <v>190139023</v>
      </c>
      <c r="G68" s="344">
        <f>+G69</f>
        <v>0</v>
      </c>
      <c r="H68" s="344">
        <f>+H69</f>
        <v>11715091</v>
      </c>
      <c r="I68" s="344">
        <f t="shared" si="26"/>
        <v>11715091</v>
      </c>
      <c r="J68" s="344"/>
      <c r="K68" s="344">
        <f>+K69</f>
        <v>0</v>
      </c>
      <c r="L68" s="344">
        <f t="shared" si="22"/>
        <v>0</v>
      </c>
      <c r="M68" s="344">
        <f t="shared" si="23"/>
        <v>11715091</v>
      </c>
      <c r="N68" s="337">
        <f t="shared" si="28"/>
        <v>178423932</v>
      </c>
      <c r="P68" s="340"/>
      <c r="S68" s="347"/>
      <c r="T68" s="346"/>
      <c r="U68" s="342"/>
    </row>
    <row r="69" spans="1:21" s="339" customFormat="1" ht="18" customHeight="1" x14ac:dyDescent="0.25">
      <c r="A69" s="334"/>
      <c r="B69" s="335"/>
      <c r="C69" s="335"/>
      <c r="D69" s="365" t="s">
        <v>192</v>
      </c>
      <c r="E69" s="335" t="s">
        <v>194</v>
      </c>
      <c r="F69" s="337">
        <v>190139023</v>
      </c>
      <c r="G69" s="344"/>
      <c r="H69" s="344">
        <v>11715091</v>
      </c>
      <c r="I69" s="344">
        <f t="shared" si="26"/>
        <v>11715091</v>
      </c>
      <c r="J69" s="344"/>
      <c r="K69" s="344"/>
      <c r="L69" s="344">
        <f t="shared" si="22"/>
        <v>0</v>
      </c>
      <c r="M69" s="344">
        <f t="shared" si="23"/>
        <v>11715091</v>
      </c>
      <c r="N69" s="337">
        <f t="shared" si="28"/>
        <v>178423932</v>
      </c>
      <c r="P69" s="340"/>
      <c r="S69" s="347"/>
      <c r="T69" s="346"/>
      <c r="U69" s="342"/>
    </row>
    <row r="70" spans="1:21" s="339" customFormat="1" ht="18" customHeight="1" x14ac:dyDescent="0.25">
      <c r="A70" s="334"/>
      <c r="B70" s="335"/>
      <c r="C70" s="335"/>
      <c r="D70" s="365" t="s">
        <v>195</v>
      </c>
      <c r="E70" s="335" t="s">
        <v>197</v>
      </c>
      <c r="F70" s="337">
        <f t="shared" ref="F70" si="31">+F71</f>
        <v>9404942</v>
      </c>
      <c r="G70" s="344">
        <f>+G71</f>
        <v>0</v>
      </c>
      <c r="H70" s="344">
        <f>+H71</f>
        <v>580644</v>
      </c>
      <c r="I70" s="344">
        <f t="shared" si="26"/>
        <v>580644</v>
      </c>
      <c r="J70" s="344"/>
      <c r="K70" s="344">
        <f>+K71</f>
        <v>0</v>
      </c>
      <c r="L70" s="344">
        <f t="shared" si="22"/>
        <v>0</v>
      </c>
      <c r="M70" s="344">
        <f t="shared" si="23"/>
        <v>580644</v>
      </c>
      <c r="N70" s="337">
        <f t="shared" si="28"/>
        <v>8824298</v>
      </c>
      <c r="P70" s="340"/>
      <c r="S70" s="347"/>
      <c r="T70" s="346"/>
      <c r="U70" s="342"/>
    </row>
    <row r="71" spans="1:21" s="339" customFormat="1" ht="18" customHeight="1" x14ac:dyDescent="0.25">
      <c r="A71" s="334"/>
      <c r="B71" s="335"/>
      <c r="C71" s="335"/>
      <c r="D71" s="365" t="s">
        <v>196</v>
      </c>
      <c r="E71" s="335" t="s">
        <v>198</v>
      </c>
      <c r="F71" s="337">
        <v>9404942</v>
      </c>
      <c r="G71" s="344"/>
      <c r="H71" s="344">
        <v>580644</v>
      </c>
      <c r="I71" s="344">
        <f t="shared" si="26"/>
        <v>580644</v>
      </c>
      <c r="J71" s="344"/>
      <c r="K71" s="344"/>
      <c r="L71" s="344">
        <f t="shared" si="22"/>
        <v>0</v>
      </c>
      <c r="M71" s="344">
        <f t="shared" si="23"/>
        <v>580644</v>
      </c>
      <c r="N71" s="337">
        <f t="shared" si="28"/>
        <v>8824298</v>
      </c>
      <c r="P71" s="340"/>
      <c r="S71" s="347"/>
      <c r="T71" s="346"/>
      <c r="U71" s="342"/>
    </row>
    <row r="72" spans="1:21" s="339" customFormat="1" ht="18" customHeight="1" x14ac:dyDescent="0.25">
      <c r="A72" s="334"/>
      <c r="B72" s="335"/>
      <c r="C72" s="335"/>
      <c r="D72" s="365" t="s">
        <v>199</v>
      </c>
      <c r="E72" s="335" t="s">
        <v>201</v>
      </c>
      <c r="F72" s="337">
        <f>+F73</f>
        <v>28215046</v>
      </c>
      <c r="G72" s="344">
        <f>+G73</f>
        <v>0</v>
      </c>
      <c r="H72" s="344">
        <f>+H73</f>
        <v>1741930</v>
      </c>
      <c r="I72" s="344">
        <f t="shared" si="26"/>
        <v>1741930</v>
      </c>
      <c r="J72" s="344"/>
      <c r="K72" s="344">
        <f>+K73</f>
        <v>0</v>
      </c>
      <c r="L72" s="344">
        <f t="shared" si="22"/>
        <v>0</v>
      </c>
      <c r="M72" s="344">
        <f t="shared" si="23"/>
        <v>1741930</v>
      </c>
      <c r="N72" s="337">
        <f t="shared" si="28"/>
        <v>26473116</v>
      </c>
      <c r="P72" s="340"/>
      <c r="S72" s="347"/>
      <c r="T72" s="346"/>
      <c r="U72" s="342"/>
    </row>
    <row r="73" spans="1:21" s="339" customFormat="1" ht="18" customHeight="1" x14ac:dyDescent="0.25">
      <c r="A73" s="334"/>
      <c r="B73" s="335"/>
      <c r="C73" s="335"/>
      <c r="D73" s="365" t="s">
        <v>200</v>
      </c>
      <c r="E73" s="335" t="s">
        <v>202</v>
      </c>
      <c r="F73" s="337">
        <v>28215046</v>
      </c>
      <c r="G73" s="344"/>
      <c r="H73" s="344">
        <v>1741930</v>
      </c>
      <c r="I73" s="344">
        <f t="shared" si="26"/>
        <v>1741930</v>
      </c>
      <c r="J73" s="344"/>
      <c r="K73" s="344"/>
      <c r="L73" s="344">
        <f t="shared" si="22"/>
        <v>0</v>
      </c>
      <c r="M73" s="344">
        <f>+I73+L73</f>
        <v>1741930</v>
      </c>
      <c r="N73" s="337">
        <f>+F73-M73</f>
        <v>26473116</v>
      </c>
      <c r="P73" s="340"/>
      <c r="S73" s="347"/>
      <c r="T73" s="346"/>
      <c r="U73" s="342"/>
    </row>
    <row r="74" spans="1:21" s="339" customFormat="1" ht="18" customHeight="1" x14ac:dyDescent="0.25">
      <c r="A74" s="334"/>
      <c r="B74" s="335"/>
      <c r="C74" s="335"/>
      <c r="D74" s="365" t="s">
        <v>203</v>
      </c>
      <c r="E74" s="335" t="s">
        <v>205</v>
      </c>
      <c r="F74" s="337">
        <f>+F75</f>
        <v>23975938</v>
      </c>
      <c r="G74" s="344">
        <f>G75</f>
        <v>0</v>
      </c>
      <c r="H74" s="344">
        <f>+H75</f>
        <v>0</v>
      </c>
      <c r="I74" s="344">
        <f>+I75</f>
        <v>0</v>
      </c>
      <c r="J74" s="344"/>
      <c r="K74" s="344">
        <f>+K75</f>
        <v>0</v>
      </c>
      <c r="L74" s="344">
        <f t="shared" si="22"/>
        <v>0</v>
      </c>
      <c r="M74" s="344">
        <f t="shared" ref="M74:M101" si="32">+I74+L74</f>
        <v>0</v>
      </c>
      <c r="N74" s="337">
        <f t="shared" ref="N74:N84" si="33">+F74-M74</f>
        <v>23975938</v>
      </c>
      <c r="P74" s="340"/>
      <c r="S74" s="347"/>
      <c r="T74" s="347"/>
      <c r="U74" s="342"/>
    </row>
    <row r="75" spans="1:21" s="339" customFormat="1" ht="18" customHeight="1" x14ac:dyDescent="0.25">
      <c r="A75" s="334"/>
      <c r="B75" s="335"/>
      <c r="C75" s="335"/>
      <c r="D75" s="365" t="s">
        <v>204</v>
      </c>
      <c r="E75" s="335" t="s">
        <v>206</v>
      </c>
      <c r="F75" s="337">
        <v>23975938</v>
      </c>
      <c r="G75" s="344"/>
      <c r="H75" s="344"/>
      <c r="I75" s="344">
        <f t="shared" ref="I75:I100" si="34">+G75+H75</f>
        <v>0</v>
      </c>
      <c r="J75" s="344"/>
      <c r="K75" s="344"/>
      <c r="L75" s="344">
        <f t="shared" si="22"/>
        <v>0</v>
      </c>
      <c r="M75" s="344">
        <f t="shared" si="32"/>
        <v>0</v>
      </c>
      <c r="N75" s="337">
        <f t="shared" si="33"/>
        <v>23975938</v>
      </c>
      <c r="P75" s="340"/>
      <c r="S75" s="347"/>
      <c r="T75" s="347"/>
      <c r="U75" s="342"/>
    </row>
    <row r="76" spans="1:21" s="339" customFormat="1" ht="18" customHeight="1" x14ac:dyDescent="0.25">
      <c r="A76" s="334"/>
      <c r="B76" s="335"/>
      <c r="C76" s="335"/>
      <c r="D76" s="365" t="s">
        <v>210</v>
      </c>
      <c r="E76" s="335" t="s">
        <v>211</v>
      </c>
      <c r="F76" s="337">
        <f>+F77+F79+F81</f>
        <v>2044369640</v>
      </c>
      <c r="G76" s="344">
        <f>+G77+G79</f>
        <v>0</v>
      </c>
      <c r="H76" s="344">
        <f>+H77+H79+H81</f>
        <v>194118788</v>
      </c>
      <c r="I76" s="344">
        <f>+G76+H76</f>
        <v>194118788</v>
      </c>
      <c r="J76" s="344"/>
      <c r="K76" s="344">
        <f>+K77</f>
        <v>0</v>
      </c>
      <c r="L76" s="344">
        <f t="shared" si="22"/>
        <v>0</v>
      </c>
      <c r="M76" s="344">
        <f t="shared" si="32"/>
        <v>194118788</v>
      </c>
      <c r="N76" s="337">
        <f t="shared" si="33"/>
        <v>1850250852</v>
      </c>
      <c r="P76" s="340"/>
      <c r="S76" s="347"/>
      <c r="T76" s="347"/>
      <c r="U76" s="342"/>
    </row>
    <row r="77" spans="1:21" s="339" customFormat="1" ht="18" customHeight="1" x14ac:dyDescent="0.25">
      <c r="A77" s="334"/>
      <c r="B77" s="335"/>
      <c r="C77" s="335"/>
      <c r="D77" s="365" t="s">
        <v>212</v>
      </c>
      <c r="E77" s="335" t="s">
        <v>214</v>
      </c>
      <c r="F77" s="337">
        <f>+F78</f>
        <v>180000000</v>
      </c>
      <c r="G77" s="344">
        <f>+G78</f>
        <v>0</v>
      </c>
      <c r="H77" s="344">
        <f t="shared" ref="G77:H81" si="35">+H78</f>
        <v>179148911</v>
      </c>
      <c r="I77" s="344">
        <f t="shared" si="34"/>
        <v>179148911</v>
      </c>
      <c r="J77" s="344"/>
      <c r="K77" s="344">
        <f>+K78</f>
        <v>0</v>
      </c>
      <c r="L77" s="344">
        <f t="shared" si="22"/>
        <v>0</v>
      </c>
      <c r="M77" s="344">
        <f t="shared" si="32"/>
        <v>179148911</v>
      </c>
      <c r="N77" s="337">
        <f t="shared" si="33"/>
        <v>851089</v>
      </c>
      <c r="P77" s="340"/>
      <c r="S77" s="347"/>
      <c r="T77" s="347"/>
      <c r="U77" s="342"/>
    </row>
    <row r="78" spans="1:21" s="339" customFormat="1" ht="18" customHeight="1" x14ac:dyDescent="0.25">
      <c r="A78" s="334"/>
      <c r="B78" s="335"/>
      <c r="C78" s="335"/>
      <c r="D78" s="365" t="s">
        <v>213</v>
      </c>
      <c r="E78" s="335" t="s">
        <v>215</v>
      </c>
      <c r="F78" s="337">
        <v>180000000</v>
      </c>
      <c r="G78" s="344"/>
      <c r="H78" s="344">
        <v>179148911</v>
      </c>
      <c r="I78" s="344">
        <f t="shared" si="34"/>
        <v>179148911</v>
      </c>
      <c r="J78" s="344"/>
      <c r="K78" s="344"/>
      <c r="L78" s="344">
        <f t="shared" si="22"/>
        <v>0</v>
      </c>
      <c r="M78" s="344">
        <f t="shared" si="32"/>
        <v>179148911</v>
      </c>
      <c r="N78" s="337">
        <f t="shared" si="33"/>
        <v>851089</v>
      </c>
      <c r="P78" s="340"/>
      <c r="S78" s="347"/>
      <c r="T78" s="346"/>
      <c r="U78" s="342"/>
    </row>
    <row r="79" spans="1:21" s="339" customFormat="1" ht="18" customHeight="1" x14ac:dyDescent="0.25">
      <c r="A79" s="334"/>
      <c r="B79" s="335"/>
      <c r="C79" s="335"/>
      <c r="D79" s="365" t="s">
        <v>431</v>
      </c>
      <c r="E79" s="335" t="s">
        <v>432</v>
      </c>
      <c r="F79" s="337">
        <f>+F80</f>
        <v>123544200</v>
      </c>
      <c r="G79" s="344">
        <f t="shared" si="35"/>
        <v>0</v>
      </c>
      <c r="H79" s="344">
        <f t="shared" si="35"/>
        <v>9969877</v>
      </c>
      <c r="I79" s="344">
        <f>+G79+H79</f>
        <v>9969877</v>
      </c>
      <c r="J79" s="344"/>
      <c r="K79" s="344">
        <f>+K80</f>
        <v>0</v>
      </c>
      <c r="L79" s="344">
        <f t="shared" si="22"/>
        <v>0</v>
      </c>
      <c r="M79" s="344">
        <f t="shared" si="32"/>
        <v>9969877</v>
      </c>
      <c r="N79" s="337">
        <f t="shared" si="33"/>
        <v>113574323</v>
      </c>
      <c r="P79" s="340"/>
      <c r="S79" s="347"/>
      <c r="T79" s="346"/>
      <c r="U79" s="342"/>
    </row>
    <row r="80" spans="1:21" s="339" customFormat="1" ht="18" customHeight="1" x14ac:dyDescent="0.25">
      <c r="A80" s="334"/>
      <c r="B80" s="335"/>
      <c r="C80" s="335"/>
      <c r="D80" s="365" t="s">
        <v>429</v>
      </c>
      <c r="E80" s="335" t="s">
        <v>430</v>
      </c>
      <c r="F80" s="337">
        <v>123544200</v>
      </c>
      <c r="G80" s="344"/>
      <c r="H80" s="344">
        <v>9969877</v>
      </c>
      <c r="I80" s="344">
        <f>+G80+H80</f>
        <v>9969877</v>
      </c>
      <c r="J80" s="344"/>
      <c r="K80" s="344"/>
      <c r="L80" s="344"/>
      <c r="M80" s="344">
        <f t="shared" si="32"/>
        <v>9969877</v>
      </c>
      <c r="N80" s="337">
        <f>+F80-M80</f>
        <v>113574323</v>
      </c>
      <c r="P80" s="340"/>
      <c r="S80" s="347"/>
      <c r="T80" s="346"/>
      <c r="U80" s="342"/>
    </row>
    <row r="81" spans="1:21" s="339" customFormat="1" ht="18" customHeight="1" x14ac:dyDescent="0.25">
      <c r="A81" s="334"/>
      <c r="B81" s="335"/>
      <c r="C81" s="335"/>
      <c r="D81" s="365" t="s">
        <v>453</v>
      </c>
      <c r="E81" s="335" t="s">
        <v>456</v>
      </c>
      <c r="F81" s="337">
        <f>+F82</f>
        <v>1740825440</v>
      </c>
      <c r="G81" s="344">
        <f t="shared" si="35"/>
        <v>0</v>
      </c>
      <c r="H81" s="344">
        <f t="shared" si="35"/>
        <v>5000000</v>
      </c>
      <c r="I81" s="344">
        <f>+G81+H81</f>
        <v>5000000</v>
      </c>
      <c r="J81" s="344"/>
      <c r="K81" s="344">
        <f>+K82</f>
        <v>0</v>
      </c>
      <c r="L81" s="344">
        <f t="shared" ref="L81" si="36">+J81+K81</f>
        <v>0</v>
      </c>
      <c r="M81" s="344">
        <f t="shared" si="32"/>
        <v>5000000</v>
      </c>
      <c r="N81" s="337">
        <f t="shared" ref="N81" si="37">+F81-M81</f>
        <v>1735825440</v>
      </c>
      <c r="P81" s="340"/>
      <c r="S81" s="347"/>
      <c r="T81" s="346"/>
      <c r="U81" s="342"/>
    </row>
    <row r="82" spans="1:21" s="339" customFormat="1" ht="18" customHeight="1" x14ac:dyDescent="0.25">
      <c r="A82" s="334"/>
      <c r="B82" s="335"/>
      <c r="C82" s="335"/>
      <c r="D82" s="365" t="s">
        <v>454</v>
      </c>
      <c r="E82" s="335" t="s">
        <v>455</v>
      </c>
      <c r="F82" s="337">
        <v>1740825440</v>
      </c>
      <c r="G82" s="344"/>
      <c r="H82" s="344">
        <v>5000000</v>
      </c>
      <c r="I82" s="344">
        <f>+G82+H82</f>
        <v>5000000</v>
      </c>
      <c r="J82" s="344"/>
      <c r="K82" s="344"/>
      <c r="L82" s="344"/>
      <c r="M82" s="344">
        <f t="shared" si="32"/>
        <v>5000000</v>
      </c>
      <c r="N82" s="337">
        <f>+F82-M82</f>
        <v>1735825440</v>
      </c>
      <c r="P82" s="340"/>
      <c r="S82" s="347"/>
      <c r="T82" s="346"/>
      <c r="U82" s="342"/>
    </row>
    <row r="83" spans="1:21" s="339" customFormat="1" ht="18" customHeight="1" x14ac:dyDescent="0.25">
      <c r="A83" s="334"/>
      <c r="B83" s="335"/>
      <c r="C83" s="335"/>
      <c r="D83" s="365" t="s">
        <v>216</v>
      </c>
      <c r="E83" s="335" t="s">
        <v>219</v>
      </c>
      <c r="F83" s="337">
        <f>+F84+F95+F99</f>
        <v>10039198750</v>
      </c>
      <c r="G83" s="344">
        <f>+G84+G95+G99</f>
        <v>0</v>
      </c>
      <c r="H83" s="344">
        <f>+H84+H95+H99</f>
        <v>76300000</v>
      </c>
      <c r="I83" s="344">
        <f>+G83+H83</f>
        <v>76300000</v>
      </c>
      <c r="J83" s="344"/>
      <c r="K83" s="344">
        <f>+K84</f>
        <v>0</v>
      </c>
      <c r="L83" s="344">
        <f t="shared" si="22"/>
        <v>0</v>
      </c>
      <c r="M83" s="344">
        <f t="shared" si="32"/>
        <v>76300000</v>
      </c>
      <c r="N83" s="337">
        <f t="shared" si="33"/>
        <v>9962898750</v>
      </c>
      <c r="P83" s="340"/>
      <c r="S83" s="347"/>
      <c r="T83" s="347"/>
      <c r="U83" s="342"/>
    </row>
    <row r="84" spans="1:21" s="339" customFormat="1" ht="18" customHeight="1" x14ac:dyDescent="0.25">
      <c r="A84" s="334"/>
      <c r="B84" s="335"/>
      <c r="C84" s="335"/>
      <c r="D84" s="365" t="s">
        <v>217</v>
      </c>
      <c r="E84" s="335" t="s">
        <v>220</v>
      </c>
      <c r="F84" s="337">
        <f>SUM(F85:F94)</f>
        <v>8593798750</v>
      </c>
      <c r="G84" s="344">
        <f>SUM(G85:G94)</f>
        <v>0</v>
      </c>
      <c r="H84" s="344">
        <f>SUM(H85:H94)</f>
        <v>0</v>
      </c>
      <c r="I84" s="344">
        <f t="shared" si="34"/>
        <v>0</v>
      </c>
      <c r="J84" s="344"/>
      <c r="K84" s="344">
        <f>+SUM(K85:K94)</f>
        <v>0</v>
      </c>
      <c r="L84" s="344">
        <f t="shared" si="22"/>
        <v>0</v>
      </c>
      <c r="M84" s="344">
        <f t="shared" si="32"/>
        <v>0</v>
      </c>
      <c r="N84" s="337">
        <f t="shared" si="33"/>
        <v>8593798750</v>
      </c>
      <c r="P84" s="340"/>
      <c r="S84" s="347"/>
      <c r="T84" s="347"/>
      <c r="U84" s="342"/>
    </row>
    <row r="85" spans="1:21" s="339" customFormat="1" ht="18" customHeight="1" x14ac:dyDescent="0.25">
      <c r="A85" s="334"/>
      <c r="B85" s="335"/>
      <c r="C85" s="335"/>
      <c r="D85" s="365" t="s">
        <v>218</v>
      </c>
      <c r="E85" s="335" t="s">
        <v>221</v>
      </c>
      <c r="F85" s="337">
        <v>356112500</v>
      </c>
      <c r="G85" s="344"/>
      <c r="H85" s="344"/>
      <c r="I85" s="344">
        <f t="shared" si="34"/>
        <v>0</v>
      </c>
      <c r="J85" s="344"/>
      <c r="K85" s="344"/>
      <c r="L85" s="344">
        <f t="shared" si="22"/>
        <v>0</v>
      </c>
      <c r="M85" s="344">
        <f t="shared" si="32"/>
        <v>0</v>
      </c>
      <c r="N85" s="337">
        <f>+F85-M85</f>
        <v>356112500</v>
      </c>
      <c r="P85" s="340"/>
      <c r="S85" s="347"/>
      <c r="T85" s="346"/>
      <c r="U85" s="342"/>
    </row>
    <row r="86" spans="1:21" s="339" customFormat="1" ht="18" customHeight="1" x14ac:dyDescent="0.25">
      <c r="A86" s="334"/>
      <c r="B86" s="335"/>
      <c r="C86" s="335"/>
      <c r="D86" s="365" t="s">
        <v>222</v>
      </c>
      <c r="E86" s="335" t="s">
        <v>223</v>
      </c>
      <c r="F86" s="337">
        <v>413550000</v>
      </c>
      <c r="G86" s="344"/>
      <c r="H86" s="344"/>
      <c r="I86" s="344">
        <f t="shared" si="34"/>
        <v>0</v>
      </c>
      <c r="J86" s="344"/>
      <c r="K86" s="344"/>
      <c r="L86" s="344">
        <f t="shared" si="22"/>
        <v>0</v>
      </c>
      <c r="M86" s="344">
        <f t="shared" si="32"/>
        <v>0</v>
      </c>
      <c r="N86" s="337">
        <f t="shared" ref="N86:N100" si="38">+F86-M86</f>
        <v>413550000</v>
      </c>
      <c r="P86" s="340"/>
      <c r="S86" s="347"/>
      <c r="T86" s="346"/>
      <c r="U86" s="342"/>
    </row>
    <row r="87" spans="1:21" s="339" customFormat="1" ht="18" customHeight="1" x14ac:dyDescent="0.25">
      <c r="A87" s="334"/>
      <c r="B87" s="335"/>
      <c r="C87" s="335"/>
      <c r="D87" s="365" t="s">
        <v>224</v>
      </c>
      <c r="E87" s="335" t="s">
        <v>225</v>
      </c>
      <c r="F87" s="337">
        <v>45950000</v>
      </c>
      <c r="G87" s="344"/>
      <c r="H87" s="344"/>
      <c r="I87" s="344">
        <f t="shared" si="34"/>
        <v>0</v>
      </c>
      <c r="J87" s="344"/>
      <c r="K87" s="344"/>
      <c r="L87" s="344">
        <f t="shared" si="22"/>
        <v>0</v>
      </c>
      <c r="M87" s="344">
        <f t="shared" si="32"/>
        <v>0</v>
      </c>
      <c r="N87" s="337">
        <f t="shared" si="38"/>
        <v>45950000</v>
      </c>
      <c r="P87" s="340"/>
      <c r="S87" s="347"/>
      <c r="T87" s="346"/>
      <c r="U87" s="342"/>
    </row>
    <row r="88" spans="1:21" s="339" customFormat="1" ht="18" customHeight="1" x14ac:dyDescent="0.25">
      <c r="A88" s="334"/>
      <c r="B88" s="335"/>
      <c r="C88" s="335"/>
      <c r="D88" s="365" t="s">
        <v>226</v>
      </c>
      <c r="E88" s="335" t="s">
        <v>227</v>
      </c>
      <c r="F88" s="337">
        <v>252725000</v>
      </c>
      <c r="G88" s="344"/>
      <c r="H88" s="344"/>
      <c r="I88" s="344">
        <f t="shared" si="34"/>
        <v>0</v>
      </c>
      <c r="J88" s="344"/>
      <c r="K88" s="344"/>
      <c r="L88" s="344">
        <f t="shared" si="22"/>
        <v>0</v>
      </c>
      <c r="M88" s="344">
        <f t="shared" si="32"/>
        <v>0</v>
      </c>
      <c r="N88" s="337">
        <f t="shared" si="38"/>
        <v>252725000</v>
      </c>
      <c r="P88" s="340"/>
      <c r="S88" s="347"/>
      <c r="T88" s="346"/>
      <c r="U88" s="342"/>
    </row>
    <row r="89" spans="1:21" s="339" customFormat="1" ht="18" customHeight="1" x14ac:dyDescent="0.25">
      <c r="A89" s="334"/>
      <c r="B89" s="335"/>
      <c r="C89" s="335"/>
      <c r="D89" s="365" t="s">
        <v>228</v>
      </c>
      <c r="E89" s="335" t="s">
        <v>229</v>
      </c>
      <c r="F89" s="337">
        <v>3101625000</v>
      </c>
      <c r="G89" s="344"/>
      <c r="H89" s="344"/>
      <c r="I89" s="344">
        <f t="shared" si="34"/>
        <v>0</v>
      </c>
      <c r="J89" s="344"/>
      <c r="K89" s="344"/>
      <c r="L89" s="344">
        <f t="shared" si="22"/>
        <v>0</v>
      </c>
      <c r="M89" s="344">
        <f t="shared" si="32"/>
        <v>0</v>
      </c>
      <c r="N89" s="337">
        <f t="shared" si="38"/>
        <v>3101625000</v>
      </c>
      <c r="P89" s="340"/>
      <c r="S89" s="347"/>
      <c r="T89" s="346"/>
      <c r="U89" s="342"/>
    </row>
    <row r="90" spans="1:21" s="339" customFormat="1" ht="18" customHeight="1" x14ac:dyDescent="0.25">
      <c r="A90" s="334"/>
      <c r="B90" s="335"/>
      <c r="C90" s="335"/>
      <c r="D90" s="365" t="s">
        <v>230</v>
      </c>
      <c r="E90" s="335" t="s">
        <v>231</v>
      </c>
      <c r="F90" s="337">
        <v>13785000</v>
      </c>
      <c r="G90" s="344"/>
      <c r="H90" s="344"/>
      <c r="I90" s="344">
        <f t="shared" si="34"/>
        <v>0</v>
      </c>
      <c r="J90" s="344"/>
      <c r="K90" s="344"/>
      <c r="L90" s="344">
        <f t="shared" si="22"/>
        <v>0</v>
      </c>
      <c r="M90" s="344">
        <f t="shared" si="32"/>
        <v>0</v>
      </c>
      <c r="N90" s="337">
        <f t="shared" si="38"/>
        <v>13785000</v>
      </c>
      <c r="P90" s="340"/>
      <c r="S90" s="347"/>
      <c r="T90" s="346"/>
      <c r="U90" s="342"/>
    </row>
    <row r="91" spans="1:21" s="339" customFormat="1" ht="18" customHeight="1" x14ac:dyDescent="0.25">
      <c r="A91" s="334"/>
      <c r="B91" s="335"/>
      <c r="C91" s="335"/>
      <c r="D91" s="365" t="s">
        <v>232</v>
      </c>
      <c r="E91" s="335" t="s">
        <v>233</v>
      </c>
      <c r="F91" s="337">
        <v>126362500</v>
      </c>
      <c r="G91" s="344"/>
      <c r="H91" s="344"/>
      <c r="I91" s="344">
        <f t="shared" si="34"/>
        <v>0</v>
      </c>
      <c r="J91" s="344"/>
      <c r="K91" s="344"/>
      <c r="L91" s="344">
        <f t="shared" si="22"/>
        <v>0</v>
      </c>
      <c r="M91" s="344">
        <f t="shared" si="32"/>
        <v>0</v>
      </c>
      <c r="N91" s="337">
        <f t="shared" si="38"/>
        <v>126362500</v>
      </c>
      <c r="P91" s="340"/>
      <c r="S91" s="347"/>
      <c r="T91" s="346"/>
      <c r="U91" s="342"/>
    </row>
    <row r="92" spans="1:21" s="339" customFormat="1" ht="19.5" customHeight="1" x14ac:dyDescent="0.25">
      <c r="A92" s="366"/>
      <c r="B92" s="367"/>
      <c r="C92" s="367"/>
      <c r="D92" s="368" t="s">
        <v>234</v>
      </c>
      <c r="E92" s="369" t="s">
        <v>235</v>
      </c>
      <c r="F92" s="370">
        <v>2297500</v>
      </c>
      <c r="G92" s="371"/>
      <c r="H92" s="371"/>
      <c r="I92" s="371">
        <f t="shared" si="34"/>
        <v>0</v>
      </c>
      <c r="J92" s="371"/>
      <c r="K92" s="371"/>
      <c r="L92" s="371">
        <f t="shared" si="22"/>
        <v>0</v>
      </c>
      <c r="M92" s="371">
        <f t="shared" si="32"/>
        <v>0</v>
      </c>
      <c r="N92" s="370">
        <f t="shared" si="38"/>
        <v>2297500</v>
      </c>
      <c r="P92" s="340"/>
      <c r="S92" s="347"/>
      <c r="T92" s="346"/>
      <c r="U92" s="342"/>
    </row>
    <row r="93" spans="1:21" s="339" customFormat="1" ht="30.75" customHeight="1" x14ac:dyDescent="0.25">
      <c r="A93" s="366"/>
      <c r="B93" s="367"/>
      <c r="C93" s="367"/>
      <c r="D93" s="368" t="s">
        <v>236</v>
      </c>
      <c r="E93" s="369" t="s">
        <v>237</v>
      </c>
      <c r="F93" s="370">
        <v>1156791250</v>
      </c>
      <c r="G93" s="371"/>
      <c r="H93" s="371"/>
      <c r="I93" s="371">
        <f t="shared" si="34"/>
        <v>0</v>
      </c>
      <c r="J93" s="371"/>
      <c r="K93" s="371"/>
      <c r="L93" s="371">
        <f t="shared" si="22"/>
        <v>0</v>
      </c>
      <c r="M93" s="371">
        <f t="shared" si="32"/>
        <v>0</v>
      </c>
      <c r="N93" s="370">
        <f t="shared" si="38"/>
        <v>1156791250</v>
      </c>
      <c r="P93" s="340"/>
      <c r="S93" s="347"/>
      <c r="T93" s="346"/>
      <c r="U93" s="342"/>
    </row>
    <row r="94" spans="1:21" s="339" customFormat="1" ht="31.5" x14ac:dyDescent="0.25">
      <c r="A94" s="366"/>
      <c r="B94" s="367"/>
      <c r="C94" s="367"/>
      <c r="D94" s="368" t="s">
        <v>238</v>
      </c>
      <c r="E94" s="369" t="s">
        <v>239</v>
      </c>
      <c r="F94" s="370">
        <v>3124600000</v>
      </c>
      <c r="G94" s="371"/>
      <c r="H94" s="371"/>
      <c r="I94" s="371">
        <f t="shared" si="34"/>
        <v>0</v>
      </c>
      <c r="J94" s="371"/>
      <c r="K94" s="371"/>
      <c r="L94" s="371">
        <f t="shared" si="22"/>
        <v>0</v>
      </c>
      <c r="M94" s="371">
        <f t="shared" si="32"/>
        <v>0</v>
      </c>
      <c r="N94" s="370">
        <f t="shared" si="38"/>
        <v>3124600000</v>
      </c>
      <c r="P94" s="340"/>
      <c r="S94" s="347"/>
      <c r="T94" s="346"/>
      <c r="U94" s="342"/>
    </row>
    <row r="95" spans="1:21" s="339" customFormat="1" ht="18" customHeight="1" x14ac:dyDescent="0.25">
      <c r="A95" s="334"/>
      <c r="B95" s="335"/>
      <c r="C95" s="335"/>
      <c r="D95" s="365" t="s">
        <v>433</v>
      </c>
      <c r="E95" s="335" t="s">
        <v>434</v>
      </c>
      <c r="F95" s="337">
        <f>+F96+F97+F98</f>
        <v>984100000</v>
      </c>
      <c r="G95" s="344">
        <f>+G96+G97</f>
        <v>0</v>
      </c>
      <c r="H95" s="344">
        <f>+H96+H97</f>
        <v>42050000</v>
      </c>
      <c r="I95" s="344">
        <f>+G95+H95</f>
        <v>42050000</v>
      </c>
      <c r="J95" s="344">
        <f>+J96+J97</f>
        <v>0</v>
      </c>
      <c r="K95" s="344">
        <f>+SUM(K101:K110)</f>
        <v>0</v>
      </c>
      <c r="L95" s="344">
        <f>+J95+K95</f>
        <v>0</v>
      </c>
      <c r="M95" s="344">
        <f t="shared" si="32"/>
        <v>42050000</v>
      </c>
      <c r="N95" s="337">
        <f t="shared" si="38"/>
        <v>942050000</v>
      </c>
      <c r="P95" s="340"/>
      <c r="S95" s="347"/>
      <c r="T95" s="346"/>
      <c r="U95" s="342"/>
    </row>
    <row r="96" spans="1:21" s="339" customFormat="1" ht="18" customHeight="1" x14ac:dyDescent="0.25">
      <c r="A96" s="334"/>
      <c r="B96" s="335"/>
      <c r="C96" s="335"/>
      <c r="D96" s="365" t="s">
        <v>435</v>
      </c>
      <c r="E96" s="335" t="s">
        <v>437</v>
      </c>
      <c r="F96" s="337">
        <v>516750000</v>
      </c>
      <c r="G96" s="344"/>
      <c r="H96" s="344">
        <v>40950000</v>
      </c>
      <c r="I96" s="344">
        <f t="shared" si="34"/>
        <v>40950000</v>
      </c>
      <c r="J96" s="344"/>
      <c r="K96" s="344"/>
      <c r="L96" s="344">
        <f t="shared" si="22"/>
        <v>0</v>
      </c>
      <c r="M96" s="344">
        <f t="shared" si="32"/>
        <v>40950000</v>
      </c>
      <c r="N96" s="337">
        <f t="shared" si="38"/>
        <v>475800000</v>
      </c>
      <c r="P96" s="340"/>
      <c r="S96" s="347"/>
      <c r="T96" s="346"/>
      <c r="U96" s="342"/>
    </row>
    <row r="97" spans="1:21" s="339" customFormat="1" ht="18" customHeight="1" x14ac:dyDescent="0.25">
      <c r="A97" s="334"/>
      <c r="B97" s="335"/>
      <c r="C97" s="335"/>
      <c r="D97" s="365" t="s">
        <v>436</v>
      </c>
      <c r="E97" s="335" t="s">
        <v>438</v>
      </c>
      <c r="F97" s="337">
        <v>19500000</v>
      </c>
      <c r="G97" s="344"/>
      <c r="H97" s="344">
        <v>1100000</v>
      </c>
      <c r="I97" s="344">
        <f t="shared" si="34"/>
        <v>1100000</v>
      </c>
      <c r="J97" s="344"/>
      <c r="K97" s="344"/>
      <c r="L97" s="344">
        <f t="shared" si="22"/>
        <v>0</v>
      </c>
      <c r="M97" s="344">
        <f t="shared" si="32"/>
        <v>1100000</v>
      </c>
      <c r="N97" s="337">
        <f t="shared" si="38"/>
        <v>18400000</v>
      </c>
      <c r="P97" s="340"/>
      <c r="S97" s="347"/>
      <c r="T97" s="346"/>
      <c r="U97" s="342"/>
    </row>
    <row r="98" spans="1:21" s="339" customFormat="1" ht="18" customHeight="1" x14ac:dyDescent="0.25">
      <c r="A98" s="334"/>
      <c r="B98" s="335"/>
      <c r="C98" s="335"/>
      <c r="D98" s="365" t="s">
        <v>457</v>
      </c>
      <c r="E98" s="335" t="s">
        <v>458</v>
      </c>
      <c r="F98" s="337">
        <v>447850000</v>
      </c>
      <c r="G98" s="344"/>
      <c r="H98" s="344"/>
      <c r="I98" s="344">
        <f t="shared" si="34"/>
        <v>0</v>
      </c>
      <c r="J98" s="344"/>
      <c r="K98" s="344"/>
      <c r="L98" s="344">
        <f t="shared" si="22"/>
        <v>0</v>
      </c>
      <c r="M98" s="344">
        <f t="shared" si="32"/>
        <v>0</v>
      </c>
      <c r="N98" s="337">
        <f t="shared" si="38"/>
        <v>447850000</v>
      </c>
      <c r="P98" s="340"/>
      <c r="S98" s="347"/>
      <c r="T98" s="346"/>
      <c r="U98" s="342"/>
    </row>
    <row r="99" spans="1:21" s="339" customFormat="1" ht="18" customHeight="1" x14ac:dyDescent="0.25">
      <c r="A99" s="334"/>
      <c r="B99" s="335"/>
      <c r="C99" s="335"/>
      <c r="D99" s="365" t="s">
        <v>439</v>
      </c>
      <c r="E99" s="335" t="s">
        <v>442</v>
      </c>
      <c r="F99" s="337">
        <f>+F100</f>
        <v>461300000</v>
      </c>
      <c r="G99" s="344">
        <f>+G100</f>
        <v>0</v>
      </c>
      <c r="H99" s="344">
        <f>+H100</f>
        <v>34250000</v>
      </c>
      <c r="I99" s="344">
        <f t="shared" si="34"/>
        <v>34250000</v>
      </c>
      <c r="J99" s="344"/>
      <c r="K99" s="344">
        <f>+SUM(K104:K113)</f>
        <v>0</v>
      </c>
      <c r="L99" s="344">
        <f t="shared" si="22"/>
        <v>0</v>
      </c>
      <c r="M99" s="344">
        <f t="shared" si="32"/>
        <v>34250000</v>
      </c>
      <c r="N99" s="337">
        <f t="shared" si="38"/>
        <v>427050000</v>
      </c>
      <c r="P99" s="340"/>
      <c r="S99" s="347"/>
      <c r="T99" s="347"/>
      <c r="U99" s="342"/>
    </row>
    <row r="100" spans="1:21" s="339" customFormat="1" ht="18" customHeight="1" x14ac:dyDescent="0.25">
      <c r="A100" s="334"/>
      <c r="B100" s="335"/>
      <c r="C100" s="335"/>
      <c r="D100" s="365" t="s">
        <v>440</v>
      </c>
      <c r="E100" s="335" t="s">
        <v>441</v>
      </c>
      <c r="F100" s="337">
        <v>461300000</v>
      </c>
      <c r="G100" s="344"/>
      <c r="H100" s="344">
        <v>34250000</v>
      </c>
      <c r="I100" s="344">
        <f t="shared" si="34"/>
        <v>34250000</v>
      </c>
      <c r="J100" s="344"/>
      <c r="K100" s="344"/>
      <c r="L100" s="344">
        <f t="shared" si="22"/>
        <v>0</v>
      </c>
      <c r="M100" s="344">
        <f t="shared" si="32"/>
        <v>34250000</v>
      </c>
      <c r="N100" s="337">
        <f t="shared" si="38"/>
        <v>427050000</v>
      </c>
      <c r="P100" s="340"/>
      <c r="S100" s="347"/>
      <c r="T100" s="346"/>
      <c r="U100" s="342"/>
    </row>
    <row r="101" spans="1:21" s="339" customFormat="1" ht="18" customHeight="1" x14ac:dyDescent="0.25">
      <c r="A101" s="334"/>
      <c r="B101" s="335"/>
      <c r="C101" s="335"/>
      <c r="D101" s="365" t="s">
        <v>240</v>
      </c>
      <c r="E101" s="335" t="s">
        <v>241</v>
      </c>
      <c r="F101" s="337">
        <f>+F102</f>
        <v>757451250</v>
      </c>
      <c r="G101" s="344">
        <f>+G102</f>
        <v>0</v>
      </c>
      <c r="H101" s="344">
        <f>+H102</f>
        <v>0</v>
      </c>
      <c r="I101" s="344">
        <f>+G101+H101</f>
        <v>0</v>
      </c>
      <c r="J101" s="344">
        <f>+J102</f>
        <v>0</v>
      </c>
      <c r="K101" s="344">
        <f>+K102</f>
        <v>0</v>
      </c>
      <c r="L101" s="344">
        <f>+J101+K101</f>
        <v>0</v>
      </c>
      <c r="M101" s="344">
        <f t="shared" si="32"/>
        <v>0</v>
      </c>
      <c r="N101" s="337">
        <f>+F101-M101</f>
        <v>757451250</v>
      </c>
      <c r="P101" s="340"/>
      <c r="S101" s="347"/>
      <c r="T101" s="347"/>
      <c r="U101" s="342"/>
    </row>
    <row r="102" spans="1:21" s="339" customFormat="1" ht="18" customHeight="1" x14ac:dyDescent="0.25">
      <c r="A102" s="334"/>
      <c r="B102" s="335"/>
      <c r="C102" s="335"/>
      <c r="D102" s="365" t="s">
        <v>242</v>
      </c>
      <c r="E102" s="335" t="s">
        <v>409</v>
      </c>
      <c r="F102" s="337">
        <f>SUM(F103:F112)</f>
        <v>757451250</v>
      </c>
      <c r="G102" s="344">
        <f>SUM(G103:G112)</f>
        <v>0</v>
      </c>
      <c r="H102" s="344">
        <f>SUM(H103:H112)</f>
        <v>0</v>
      </c>
      <c r="I102" s="344">
        <f>+G102+H102</f>
        <v>0</v>
      </c>
      <c r="J102" s="344">
        <f>SUM(J103:J112)</f>
        <v>0</v>
      </c>
      <c r="K102" s="344">
        <f>SUM(K103:K112)</f>
        <v>0</v>
      </c>
      <c r="L102" s="344">
        <f>+J102+K102</f>
        <v>0</v>
      </c>
      <c r="M102" s="344">
        <f>+I102+L102</f>
        <v>0</v>
      </c>
      <c r="N102" s="337">
        <f>+F102-M102</f>
        <v>757451250</v>
      </c>
      <c r="P102" s="340"/>
      <c r="S102" s="347"/>
      <c r="T102" s="347"/>
      <c r="U102" s="342"/>
    </row>
    <row r="103" spans="1:21" s="339" customFormat="1" ht="18" customHeight="1" x14ac:dyDescent="0.25">
      <c r="A103" s="334"/>
      <c r="B103" s="335"/>
      <c r="C103" s="335"/>
      <c r="D103" s="365" t="s">
        <v>243</v>
      </c>
      <c r="E103" s="335" t="s">
        <v>331</v>
      </c>
      <c r="F103" s="337">
        <v>31387500</v>
      </c>
      <c r="G103" s="344"/>
      <c r="H103" s="344"/>
      <c r="I103" s="344">
        <f t="shared" ref="I103:I110" si="39">+G103+H103</f>
        <v>0</v>
      </c>
      <c r="J103" s="344"/>
      <c r="K103" s="344"/>
      <c r="L103" s="344">
        <f t="shared" si="22"/>
        <v>0</v>
      </c>
      <c r="M103" s="344">
        <f t="shared" ref="M103:M112" si="40">+I103+L103</f>
        <v>0</v>
      </c>
      <c r="N103" s="337">
        <f t="shared" ref="N103:N108" si="41">+F103-M103</f>
        <v>31387500</v>
      </c>
      <c r="P103" s="340"/>
      <c r="S103" s="347"/>
      <c r="T103" s="346"/>
      <c r="U103" s="342"/>
    </row>
    <row r="104" spans="1:21" s="339" customFormat="1" ht="18" customHeight="1" x14ac:dyDescent="0.25">
      <c r="A104" s="334"/>
      <c r="B104" s="335"/>
      <c r="C104" s="335"/>
      <c r="D104" s="365" t="s">
        <v>244</v>
      </c>
      <c r="E104" s="335" t="s">
        <v>245</v>
      </c>
      <c r="F104" s="337">
        <v>36450000</v>
      </c>
      <c r="G104" s="344"/>
      <c r="H104" s="344"/>
      <c r="I104" s="344">
        <f t="shared" si="39"/>
        <v>0</v>
      </c>
      <c r="J104" s="344"/>
      <c r="K104" s="344"/>
      <c r="L104" s="344">
        <f t="shared" si="22"/>
        <v>0</v>
      </c>
      <c r="M104" s="344">
        <f t="shared" si="40"/>
        <v>0</v>
      </c>
      <c r="N104" s="337">
        <f t="shared" si="41"/>
        <v>36450000</v>
      </c>
      <c r="P104" s="340"/>
      <c r="S104" s="347"/>
      <c r="T104" s="346"/>
      <c r="U104" s="342"/>
    </row>
    <row r="105" spans="1:21" s="339" customFormat="1" ht="18" customHeight="1" x14ac:dyDescent="0.25">
      <c r="A105" s="334"/>
      <c r="B105" s="335"/>
      <c r="C105" s="335"/>
      <c r="D105" s="365" t="s">
        <v>246</v>
      </c>
      <c r="E105" s="335" t="s">
        <v>247</v>
      </c>
      <c r="F105" s="337">
        <v>4050000</v>
      </c>
      <c r="G105" s="344"/>
      <c r="H105" s="344"/>
      <c r="I105" s="344">
        <f t="shared" si="39"/>
        <v>0</v>
      </c>
      <c r="J105" s="344"/>
      <c r="K105" s="344"/>
      <c r="L105" s="344">
        <f t="shared" si="22"/>
        <v>0</v>
      </c>
      <c r="M105" s="344">
        <f t="shared" si="40"/>
        <v>0</v>
      </c>
      <c r="N105" s="337">
        <f t="shared" si="41"/>
        <v>4050000</v>
      </c>
      <c r="P105" s="340"/>
      <c r="S105" s="347"/>
      <c r="T105" s="346"/>
      <c r="U105" s="342"/>
    </row>
    <row r="106" spans="1:21" s="339" customFormat="1" ht="18" customHeight="1" x14ac:dyDescent="0.25">
      <c r="A106" s="334"/>
      <c r="B106" s="335"/>
      <c r="C106" s="335"/>
      <c r="D106" s="365" t="s">
        <v>248</v>
      </c>
      <c r="E106" s="335" t="s">
        <v>249</v>
      </c>
      <c r="F106" s="337">
        <v>22275000</v>
      </c>
      <c r="G106" s="344"/>
      <c r="H106" s="344"/>
      <c r="I106" s="344">
        <f t="shared" si="39"/>
        <v>0</v>
      </c>
      <c r="J106" s="344"/>
      <c r="K106" s="344"/>
      <c r="L106" s="344">
        <f t="shared" si="22"/>
        <v>0</v>
      </c>
      <c r="M106" s="344">
        <f t="shared" si="40"/>
        <v>0</v>
      </c>
      <c r="N106" s="337">
        <f t="shared" si="41"/>
        <v>22275000</v>
      </c>
      <c r="P106" s="340"/>
      <c r="S106" s="347"/>
      <c r="T106" s="346"/>
      <c r="U106" s="342"/>
    </row>
    <row r="107" spans="1:21" s="339" customFormat="1" ht="18" customHeight="1" x14ac:dyDescent="0.25">
      <c r="A107" s="334"/>
      <c r="B107" s="335"/>
      <c r="C107" s="335"/>
      <c r="D107" s="365" t="s">
        <v>250</v>
      </c>
      <c r="E107" s="335" t="s">
        <v>251</v>
      </c>
      <c r="F107" s="337">
        <v>273375000</v>
      </c>
      <c r="G107" s="344"/>
      <c r="H107" s="344"/>
      <c r="I107" s="344">
        <f t="shared" si="39"/>
        <v>0</v>
      </c>
      <c r="J107" s="344"/>
      <c r="K107" s="344"/>
      <c r="L107" s="344">
        <f t="shared" si="22"/>
        <v>0</v>
      </c>
      <c r="M107" s="344">
        <f t="shared" si="40"/>
        <v>0</v>
      </c>
      <c r="N107" s="337">
        <f t="shared" si="41"/>
        <v>273375000</v>
      </c>
      <c r="P107" s="340"/>
      <c r="S107" s="347"/>
      <c r="T107" s="346"/>
      <c r="U107" s="342"/>
    </row>
    <row r="108" spans="1:21" s="339" customFormat="1" ht="18" customHeight="1" x14ac:dyDescent="0.25">
      <c r="A108" s="334"/>
      <c r="B108" s="335"/>
      <c r="C108" s="335"/>
      <c r="D108" s="365" t="s">
        <v>252</v>
      </c>
      <c r="E108" s="335" t="s">
        <v>253</v>
      </c>
      <c r="F108" s="337">
        <v>1215000</v>
      </c>
      <c r="G108" s="344"/>
      <c r="H108" s="344"/>
      <c r="I108" s="344">
        <f t="shared" si="39"/>
        <v>0</v>
      </c>
      <c r="J108" s="344"/>
      <c r="K108" s="344"/>
      <c r="L108" s="344">
        <f t="shared" si="22"/>
        <v>0</v>
      </c>
      <c r="M108" s="344">
        <f t="shared" si="40"/>
        <v>0</v>
      </c>
      <c r="N108" s="337">
        <f t="shared" si="41"/>
        <v>1215000</v>
      </c>
      <c r="P108" s="340"/>
      <c r="S108" s="347"/>
      <c r="T108" s="346"/>
      <c r="U108" s="342"/>
    </row>
    <row r="109" spans="1:21" s="339" customFormat="1" ht="18" customHeight="1" x14ac:dyDescent="0.25">
      <c r="A109" s="334"/>
      <c r="B109" s="335"/>
      <c r="C109" s="335"/>
      <c r="D109" s="365" t="s">
        <v>254</v>
      </c>
      <c r="E109" s="335" t="s">
        <v>255</v>
      </c>
      <c r="F109" s="337">
        <v>11137500</v>
      </c>
      <c r="G109" s="344"/>
      <c r="H109" s="344"/>
      <c r="I109" s="344">
        <f t="shared" si="39"/>
        <v>0</v>
      </c>
      <c r="J109" s="344"/>
      <c r="K109" s="344"/>
      <c r="L109" s="344">
        <f t="shared" si="22"/>
        <v>0</v>
      </c>
      <c r="M109" s="344">
        <f t="shared" si="40"/>
        <v>0</v>
      </c>
      <c r="N109" s="337">
        <f>+F109-M109</f>
        <v>11137500</v>
      </c>
      <c r="P109" s="340"/>
      <c r="S109" s="347"/>
      <c r="T109" s="346"/>
      <c r="U109" s="342"/>
    </row>
    <row r="110" spans="1:21" s="339" customFormat="1" ht="32.25" customHeight="1" x14ac:dyDescent="0.25">
      <c r="A110" s="366"/>
      <c r="B110" s="367"/>
      <c r="C110" s="367"/>
      <c r="D110" s="368" t="s">
        <v>256</v>
      </c>
      <c r="E110" s="369" t="s">
        <v>257</v>
      </c>
      <c r="F110" s="370">
        <v>202500</v>
      </c>
      <c r="G110" s="371"/>
      <c r="H110" s="371"/>
      <c r="I110" s="371">
        <f t="shared" si="39"/>
        <v>0</v>
      </c>
      <c r="J110" s="371"/>
      <c r="K110" s="371"/>
      <c r="L110" s="371">
        <f t="shared" si="22"/>
        <v>0</v>
      </c>
      <c r="M110" s="371">
        <f t="shared" si="40"/>
        <v>0</v>
      </c>
      <c r="N110" s="370">
        <f>+F110-M110</f>
        <v>202500</v>
      </c>
      <c r="P110" s="340"/>
      <c r="S110" s="347"/>
      <c r="T110" s="346"/>
      <c r="U110" s="342"/>
    </row>
    <row r="111" spans="1:21" s="339" customFormat="1" ht="31.5" x14ac:dyDescent="0.25">
      <c r="A111" s="366"/>
      <c r="B111" s="367"/>
      <c r="C111" s="367"/>
      <c r="D111" s="368" t="s">
        <v>258</v>
      </c>
      <c r="E111" s="369" t="s">
        <v>259</v>
      </c>
      <c r="F111" s="370">
        <v>101958750</v>
      </c>
      <c r="G111" s="371"/>
      <c r="H111" s="371"/>
      <c r="I111" s="371">
        <f>+G111+H111</f>
        <v>0</v>
      </c>
      <c r="J111" s="371"/>
      <c r="K111" s="371"/>
      <c r="L111" s="371">
        <f t="shared" si="22"/>
        <v>0</v>
      </c>
      <c r="M111" s="371">
        <f t="shared" si="40"/>
        <v>0</v>
      </c>
      <c r="N111" s="370">
        <f>+F111-M111</f>
        <v>101958750</v>
      </c>
      <c r="P111" s="340"/>
      <c r="S111" s="347"/>
      <c r="T111" s="346"/>
      <c r="U111" s="342"/>
    </row>
    <row r="112" spans="1:21" s="153" customFormat="1" ht="31.5" x14ac:dyDescent="0.25">
      <c r="A112" s="372"/>
      <c r="B112" s="373"/>
      <c r="C112" s="373"/>
      <c r="D112" s="374" t="s">
        <v>260</v>
      </c>
      <c r="E112" s="375" t="s">
        <v>261</v>
      </c>
      <c r="F112" s="376">
        <v>275400000</v>
      </c>
      <c r="G112" s="377"/>
      <c r="H112" s="377"/>
      <c r="I112" s="377">
        <f t="shared" ref="I112" si="42">+G112+H112</f>
        <v>0</v>
      </c>
      <c r="J112" s="377"/>
      <c r="K112" s="377"/>
      <c r="L112" s="377">
        <f t="shared" si="22"/>
        <v>0</v>
      </c>
      <c r="M112" s="377">
        <f t="shared" si="40"/>
        <v>0</v>
      </c>
      <c r="N112" s="376">
        <f>+F112-M112</f>
        <v>275400000</v>
      </c>
      <c r="P112" s="200"/>
      <c r="S112" s="221"/>
      <c r="T112" s="358"/>
      <c r="U112" s="254"/>
    </row>
    <row r="113" spans="1:21" s="319" customFormat="1" ht="18" customHeight="1" x14ac:dyDescent="0.25">
      <c r="A113" s="276">
        <v>4</v>
      </c>
      <c r="B113" s="305"/>
      <c r="C113" s="305" t="s">
        <v>84</v>
      </c>
      <c r="D113" s="363"/>
      <c r="E113" s="364" t="s">
        <v>85</v>
      </c>
      <c r="F113" s="307">
        <f>+F114</f>
        <v>31153000</v>
      </c>
      <c r="G113" s="308">
        <f t="shared" ref="F113:H114" si="43">+G114</f>
        <v>0</v>
      </c>
      <c r="H113" s="308">
        <f t="shared" si="43"/>
        <v>0</v>
      </c>
      <c r="I113" s="308">
        <f>+G113+H113</f>
        <v>0</v>
      </c>
      <c r="J113" s="308">
        <f>+J114</f>
        <v>0</v>
      </c>
      <c r="K113" s="308">
        <f>+K114</f>
        <v>0</v>
      </c>
      <c r="L113" s="308">
        <f>+J113+K113</f>
        <v>0</v>
      </c>
      <c r="M113" s="308">
        <f>+I113+L113</f>
        <v>0</v>
      </c>
      <c r="N113" s="307">
        <f>+F113-M113</f>
        <v>31153000</v>
      </c>
      <c r="P113" s="320"/>
      <c r="R113" s="321"/>
      <c r="S113" s="349"/>
      <c r="T113" s="349"/>
      <c r="U113" s="350"/>
    </row>
    <row r="114" spans="1:21" s="329" customFormat="1" ht="18" customHeight="1" x14ac:dyDescent="0.25">
      <c r="A114" s="323"/>
      <c r="B114" s="324"/>
      <c r="C114" s="324"/>
      <c r="D114" s="325" t="s">
        <v>207</v>
      </c>
      <c r="E114" s="326" t="s">
        <v>262</v>
      </c>
      <c r="F114" s="327">
        <f t="shared" si="43"/>
        <v>31153000</v>
      </c>
      <c r="G114" s="328">
        <f t="shared" si="43"/>
        <v>0</v>
      </c>
      <c r="H114" s="328">
        <f t="shared" si="43"/>
        <v>0</v>
      </c>
      <c r="I114" s="328">
        <f>+G114+H114</f>
        <v>0</v>
      </c>
      <c r="J114" s="328">
        <f t="shared" ref="J114:K116" si="44">+J115</f>
        <v>0</v>
      </c>
      <c r="K114" s="328">
        <f t="shared" si="44"/>
        <v>0</v>
      </c>
      <c r="L114" s="328">
        <f>+J114+K114</f>
        <v>0</v>
      </c>
      <c r="M114" s="328">
        <f t="shared" ref="M114:M120" si="45">+I114+L114</f>
        <v>0</v>
      </c>
      <c r="N114" s="327">
        <f t="shared" ref="N114:N117" si="46">+F114-M114</f>
        <v>31153000</v>
      </c>
      <c r="P114" s="330"/>
      <c r="R114" s="331"/>
      <c r="S114" s="351"/>
      <c r="T114" s="351"/>
      <c r="U114" s="333"/>
    </row>
    <row r="115" spans="1:21" s="339" customFormat="1" ht="18" customHeight="1" x14ac:dyDescent="0.25">
      <c r="A115" s="334"/>
      <c r="B115" s="378"/>
      <c r="C115" s="378"/>
      <c r="D115" s="335" t="s">
        <v>63</v>
      </c>
      <c r="E115" s="335" t="s">
        <v>30</v>
      </c>
      <c r="F115" s="337">
        <f>F116</f>
        <v>31153000</v>
      </c>
      <c r="G115" s="344">
        <f>+G116</f>
        <v>0</v>
      </c>
      <c r="H115" s="344">
        <f>+H116</f>
        <v>0</v>
      </c>
      <c r="I115" s="344">
        <f>+G115+H115</f>
        <v>0</v>
      </c>
      <c r="J115" s="344">
        <f>+J116</f>
        <v>0</v>
      </c>
      <c r="K115" s="344">
        <f t="shared" si="44"/>
        <v>0</v>
      </c>
      <c r="L115" s="344">
        <f>+J115+K115</f>
        <v>0</v>
      </c>
      <c r="M115" s="344">
        <f t="shared" si="45"/>
        <v>0</v>
      </c>
      <c r="N115" s="337">
        <f t="shared" si="46"/>
        <v>31153000</v>
      </c>
      <c r="P115" s="340"/>
      <c r="S115" s="347"/>
      <c r="T115" s="347"/>
      <c r="U115" s="342"/>
    </row>
    <row r="116" spans="1:21" s="339" customFormat="1" ht="18" customHeight="1" x14ac:dyDescent="0.25">
      <c r="A116" s="334"/>
      <c r="B116" s="335"/>
      <c r="C116" s="335"/>
      <c r="D116" s="335" t="s">
        <v>263</v>
      </c>
      <c r="E116" s="336" t="s">
        <v>264</v>
      </c>
      <c r="F116" s="337">
        <f>+F117</f>
        <v>31153000</v>
      </c>
      <c r="G116" s="338">
        <f>+G117</f>
        <v>0</v>
      </c>
      <c r="H116" s="338">
        <f>+H117</f>
        <v>0</v>
      </c>
      <c r="I116" s="338">
        <f>+G116+H116</f>
        <v>0</v>
      </c>
      <c r="J116" s="338">
        <f t="shared" si="44"/>
        <v>0</v>
      </c>
      <c r="K116" s="338">
        <f t="shared" si="44"/>
        <v>0</v>
      </c>
      <c r="L116" s="338">
        <f>+J116+K116</f>
        <v>0</v>
      </c>
      <c r="M116" s="338">
        <f t="shared" si="45"/>
        <v>0</v>
      </c>
      <c r="N116" s="337">
        <f t="shared" si="46"/>
        <v>31153000</v>
      </c>
      <c r="P116" s="340"/>
      <c r="S116" s="347"/>
      <c r="T116" s="347"/>
      <c r="U116" s="342"/>
    </row>
    <row r="117" spans="1:21" s="339" customFormat="1" ht="18" customHeight="1" x14ac:dyDescent="0.25">
      <c r="A117" s="334"/>
      <c r="B117" s="378"/>
      <c r="C117" s="378"/>
      <c r="D117" s="335" t="s">
        <v>64</v>
      </c>
      <c r="E117" s="335" t="s">
        <v>65</v>
      </c>
      <c r="F117" s="337">
        <f>F118+F119+F120</f>
        <v>31153000</v>
      </c>
      <c r="G117" s="344">
        <f>SUM(G118:G120)</f>
        <v>0</v>
      </c>
      <c r="H117" s="344">
        <f>SUM(H118:H120)</f>
        <v>0</v>
      </c>
      <c r="I117" s="344">
        <f>+G117+H117</f>
        <v>0</v>
      </c>
      <c r="J117" s="344">
        <f>SUM(J118:J120)</f>
        <v>0</v>
      </c>
      <c r="K117" s="344">
        <f>SUM(K118:K120)</f>
        <v>0</v>
      </c>
      <c r="L117" s="344">
        <f>+J117+K117</f>
        <v>0</v>
      </c>
      <c r="M117" s="344">
        <f t="shared" si="45"/>
        <v>0</v>
      </c>
      <c r="N117" s="337">
        <f t="shared" si="46"/>
        <v>31153000</v>
      </c>
      <c r="P117" s="340"/>
      <c r="S117" s="347"/>
      <c r="T117" s="347"/>
      <c r="U117" s="342"/>
    </row>
    <row r="118" spans="1:21" s="339" customFormat="1" ht="18" customHeight="1" x14ac:dyDescent="0.25">
      <c r="A118" s="334"/>
      <c r="B118" s="378"/>
      <c r="C118" s="378"/>
      <c r="D118" s="335" t="s">
        <v>66</v>
      </c>
      <c r="E118" s="335" t="s">
        <v>67</v>
      </c>
      <c r="F118" s="337">
        <v>1447000</v>
      </c>
      <c r="G118" s="344"/>
      <c r="H118" s="344"/>
      <c r="I118" s="344">
        <f t="shared" ref="I118:I120" si="47">+G118+H118</f>
        <v>0</v>
      </c>
      <c r="J118" s="344"/>
      <c r="K118" s="344"/>
      <c r="L118" s="344">
        <f t="shared" ref="L118:L120" si="48">+J118+K118</f>
        <v>0</v>
      </c>
      <c r="M118" s="344">
        <f t="shared" si="45"/>
        <v>0</v>
      </c>
      <c r="N118" s="337">
        <f>+F118-M118</f>
        <v>1447000</v>
      </c>
      <c r="P118" s="340"/>
      <c r="S118" s="347"/>
      <c r="T118" s="347"/>
      <c r="U118" s="342"/>
    </row>
    <row r="119" spans="1:21" s="339" customFormat="1" ht="18" customHeight="1" x14ac:dyDescent="0.25">
      <c r="A119" s="334"/>
      <c r="B119" s="378"/>
      <c r="C119" s="378"/>
      <c r="D119" s="335" t="s">
        <v>337</v>
      </c>
      <c r="E119" s="335" t="s">
        <v>338</v>
      </c>
      <c r="F119" s="337">
        <v>3792000</v>
      </c>
      <c r="G119" s="344"/>
      <c r="H119" s="344"/>
      <c r="I119" s="344">
        <f t="shared" si="47"/>
        <v>0</v>
      </c>
      <c r="J119" s="344"/>
      <c r="K119" s="344"/>
      <c r="L119" s="344">
        <f t="shared" si="48"/>
        <v>0</v>
      </c>
      <c r="M119" s="344">
        <f t="shared" si="45"/>
        <v>0</v>
      </c>
      <c r="N119" s="337">
        <f t="shared" ref="N119:N120" si="49">+F119-M119</f>
        <v>3792000</v>
      </c>
      <c r="P119" s="340"/>
      <c r="S119" s="347"/>
      <c r="T119" s="347"/>
      <c r="U119" s="342"/>
    </row>
    <row r="120" spans="1:21" s="339" customFormat="1" ht="18" customHeight="1" x14ac:dyDescent="0.25">
      <c r="A120" s="334"/>
      <c r="B120" s="378"/>
      <c r="C120" s="378"/>
      <c r="D120" s="335" t="s">
        <v>68</v>
      </c>
      <c r="E120" s="335" t="s">
        <v>69</v>
      </c>
      <c r="F120" s="337">
        <v>25914000</v>
      </c>
      <c r="G120" s="344"/>
      <c r="H120" s="344"/>
      <c r="I120" s="344">
        <f t="shared" si="47"/>
        <v>0</v>
      </c>
      <c r="J120" s="344"/>
      <c r="K120" s="344"/>
      <c r="L120" s="344">
        <f t="shared" si="48"/>
        <v>0</v>
      </c>
      <c r="M120" s="344">
        <f t="shared" si="45"/>
        <v>0</v>
      </c>
      <c r="N120" s="337">
        <f t="shared" si="49"/>
        <v>25914000</v>
      </c>
      <c r="P120" s="340"/>
      <c r="S120" s="347"/>
      <c r="T120" s="347"/>
      <c r="U120" s="342"/>
    </row>
    <row r="121" spans="1:21" s="153" customFormat="1" ht="18" customHeight="1" x14ac:dyDescent="0.25">
      <c r="A121" s="353"/>
      <c r="B121" s="354"/>
      <c r="C121" s="354"/>
      <c r="D121" s="355"/>
      <c r="E121" s="355"/>
      <c r="F121" s="356"/>
      <c r="G121" s="357"/>
      <c r="H121" s="357"/>
      <c r="I121" s="357"/>
      <c r="J121" s="357"/>
      <c r="K121" s="357"/>
      <c r="L121" s="357"/>
      <c r="M121" s="357"/>
      <c r="N121" s="356"/>
      <c r="P121" s="200"/>
      <c r="S121" s="221"/>
      <c r="T121" s="221"/>
      <c r="U121" s="254"/>
    </row>
    <row r="122" spans="1:21" s="319" customFormat="1" ht="18" customHeight="1" x14ac:dyDescent="0.25">
      <c r="A122" s="276"/>
      <c r="B122" s="305" t="s">
        <v>405</v>
      </c>
      <c r="C122" s="305"/>
      <c r="D122" s="305"/>
      <c r="E122" s="305" t="s">
        <v>406</v>
      </c>
      <c r="F122" s="359">
        <f t="shared" ref="F122:G124" si="50">+F123</f>
        <v>654671250</v>
      </c>
      <c r="G122" s="360">
        <f t="shared" si="50"/>
        <v>0</v>
      </c>
      <c r="H122" s="360">
        <f>+H123</f>
        <v>0</v>
      </c>
      <c r="I122" s="360">
        <f t="shared" ref="I122:I136" si="51">+G122+H122</f>
        <v>0</v>
      </c>
      <c r="J122" s="360">
        <f>+J124</f>
        <v>0</v>
      </c>
      <c r="K122" s="360">
        <f>+K123</f>
        <v>0</v>
      </c>
      <c r="L122" s="360">
        <f>+J122+K122</f>
        <v>0</v>
      </c>
      <c r="M122" s="360">
        <f t="shared" ref="M122" si="52">+I122+L122</f>
        <v>0</v>
      </c>
      <c r="N122" s="359">
        <f t="shared" ref="N122:N130" si="53">+F122-M122</f>
        <v>654671250</v>
      </c>
      <c r="P122" s="361"/>
      <c r="R122" s="321"/>
      <c r="S122" s="362"/>
      <c r="T122" s="362"/>
      <c r="U122" s="350"/>
    </row>
    <row r="123" spans="1:21" s="319" customFormat="1" ht="18" customHeight="1" x14ac:dyDescent="0.25">
      <c r="A123" s="277">
        <v>5</v>
      </c>
      <c r="B123" s="305"/>
      <c r="C123" s="305" t="s">
        <v>86</v>
      </c>
      <c r="D123" s="363"/>
      <c r="E123" s="364" t="s">
        <v>87</v>
      </c>
      <c r="F123" s="307">
        <f t="shared" si="50"/>
        <v>654671250</v>
      </c>
      <c r="G123" s="308">
        <f t="shared" si="50"/>
        <v>0</v>
      </c>
      <c r="H123" s="308">
        <f>+H124</f>
        <v>0</v>
      </c>
      <c r="I123" s="308">
        <f t="shared" si="51"/>
        <v>0</v>
      </c>
      <c r="J123" s="308">
        <f>+J124</f>
        <v>0</v>
      </c>
      <c r="K123" s="308">
        <f>+K124</f>
        <v>0</v>
      </c>
      <c r="L123" s="308">
        <f>+J123+K123</f>
        <v>0</v>
      </c>
      <c r="M123" s="308">
        <f>+I123+L123</f>
        <v>0</v>
      </c>
      <c r="N123" s="307">
        <f t="shared" si="53"/>
        <v>654671250</v>
      </c>
      <c r="P123" s="320"/>
      <c r="R123" s="321"/>
      <c r="S123" s="349"/>
      <c r="T123" s="349"/>
      <c r="U123" s="350"/>
    </row>
    <row r="124" spans="1:21" s="329" customFormat="1" ht="18" customHeight="1" x14ac:dyDescent="0.25">
      <c r="A124" s="323"/>
      <c r="B124" s="324"/>
      <c r="C124" s="324"/>
      <c r="D124" s="325" t="s">
        <v>207</v>
      </c>
      <c r="E124" s="326" t="s">
        <v>262</v>
      </c>
      <c r="F124" s="327">
        <f t="shared" si="50"/>
        <v>654671250</v>
      </c>
      <c r="G124" s="328">
        <f t="shared" si="50"/>
        <v>0</v>
      </c>
      <c r="H124" s="328">
        <f>+H125</f>
        <v>0</v>
      </c>
      <c r="I124" s="328">
        <f t="shared" si="51"/>
        <v>0</v>
      </c>
      <c r="J124" s="328">
        <f>+J125</f>
        <v>0</v>
      </c>
      <c r="K124" s="328">
        <f>+K125</f>
        <v>0</v>
      </c>
      <c r="L124" s="328">
        <f t="shared" ref="L124:L136" si="54">+J124+K124</f>
        <v>0</v>
      </c>
      <c r="M124" s="328">
        <f t="shared" ref="M124:M127" si="55">+I124+L124</f>
        <v>0</v>
      </c>
      <c r="N124" s="327">
        <f t="shared" si="53"/>
        <v>654671250</v>
      </c>
      <c r="P124" s="330"/>
      <c r="R124" s="331"/>
      <c r="S124" s="351"/>
      <c r="T124" s="351"/>
      <c r="U124" s="333"/>
    </row>
    <row r="125" spans="1:21" s="339" customFormat="1" ht="18" customHeight="1" x14ac:dyDescent="0.25">
      <c r="A125" s="334"/>
      <c r="B125" s="335"/>
      <c r="C125" s="335"/>
      <c r="D125" s="365" t="s">
        <v>63</v>
      </c>
      <c r="E125" s="335" t="s">
        <v>30</v>
      </c>
      <c r="F125" s="337">
        <f>F131+F126</f>
        <v>654671250</v>
      </c>
      <c r="G125" s="344">
        <f>+G126+G131</f>
        <v>0</v>
      </c>
      <c r="H125" s="344">
        <f>+H126+H131</f>
        <v>0</v>
      </c>
      <c r="I125" s="344">
        <f t="shared" si="51"/>
        <v>0</v>
      </c>
      <c r="J125" s="344">
        <f>+J126+J131</f>
        <v>0</v>
      </c>
      <c r="K125" s="344">
        <f>+K131+K126</f>
        <v>0</v>
      </c>
      <c r="L125" s="344">
        <f t="shared" si="54"/>
        <v>0</v>
      </c>
      <c r="M125" s="344">
        <f t="shared" si="55"/>
        <v>0</v>
      </c>
      <c r="N125" s="337">
        <f t="shared" si="53"/>
        <v>654671250</v>
      </c>
      <c r="P125" s="340"/>
      <c r="S125" s="347"/>
      <c r="T125" s="347"/>
      <c r="U125" s="342"/>
    </row>
    <row r="126" spans="1:21" s="339" customFormat="1" ht="18" customHeight="1" x14ac:dyDescent="0.25">
      <c r="A126" s="334"/>
      <c r="B126" s="335"/>
      <c r="C126" s="335"/>
      <c r="D126" s="365" t="s">
        <v>263</v>
      </c>
      <c r="E126" s="336" t="s">
        <v>264</v>
      </c>
      <c r="F126" s="337">
        <f>+F127</f>
        <v>137486250</v>
      </c>
      <c r="G126" s="344">
        <f>+G127</f>
        <v>0</v>
      </c>
      <c r="H126" s="344">
        <f>+H127</f>
        <v>0</v>
      </c>
      <c r="I126" s="344">
        <f t="shared" si="51"/>
        <v>0</v>
      </c>
      <c r="J126" s="344">
        <f>+J127</f>
        <v>0</v>
      </c>
      <c r="K126" s="344">
        <f>+K127</f>
        <v>0</v>
      </c>
      <c r="L126" s="344">
        <f t="shared" si="54"/>
        <v>0</v>
      </c>
      <c r="M126" s="344">
        <f t="shared" si="55"/>
        <v>0</v>
      </c>
      <c r="N126" s="337">
        <f t="shared" si="53"/>
        <v>137486250</v>
      </c>
      <c r="P126" s="340"/>
      <c r="S126" s="347"/>
      <c r="T126" s="347"/>
      <c r="U126" s="342"/>
    </row>
    <row r="127" spans="1:21" s="339" customFormat="1" ht="18" customHeight="1" x14ac:dyDescent="0.25">
      <c r="A127" s="334"/>
      <c r="B127" s="335"/>
      <c r="C127" s="335"/>
      <c r="D127" s="365" t="s">
        <v>64</v>
      </c>
      <c r="E127" s="335" t="s">
        <v>65</v>
      </c>
      <c r="F127" s="337">
        <f>+F128+F129+F130</f>
        <v>137486250</v>
      </c>
      <c r="G127" s="344">
        <f>SUM(G128:G129)</f>
        <v>0</v>
      </c>
      <c r="H127" s="344">
        <f>SUM(H128:H129)</f>
        <v>0</v>
      </c>
      <c r="I127" s="344">
        <f t="shared" si="51"/>
        <v>0</v>
      </c>
      <c r="J127" s="344">
        <f>SUM(J128:J130)</f>
        <v>0</v>
      </c>
      <c r="K127" s="344">
        <f>SUM(K128:K130)</f>
        <v>0</v>
      </c>
      <c r="L127" s="344">
        <f t="shared" si="54"/>
        <v>0</v>
      </c>
      <c r="M127" s="344">
        <f t="shared" si="55"/>
        <v>0</v>
      </c>
      <c r="N127" s="337">
        <f t="shared" si="53"/>
        <v>137486250</v>
      </c>
      <c r="P127" s="340"/>
      <c r="S127" s="347"/>
      <c r="T127" s="347"/>
      <c r="U127" s="342"/>
    </row>
    <row r="128" spans="1:21" s="339" customFormat="1" ht="18" customHeight="1" x14ac:dyDescent="0.25">
      <c r="A128" s="334"/>
      <c r="B128" s="335"/>
      <c r="C128" s="335"/>
      <c r="D128" s="365" t="s">
        <v>66</v>
      </c>
      <c r="E128" s="335" t="s">
        <v>67</v>
      </c>
      <c r="F128" s="337">
        <v>2756250</v>
      </c>
      <c r="G128" s="344"/>
      <c r="H128" s="344"/>
      <c r="I128" s="344">
        <f t="shared" si="51"/>
        <v>0</v>
      </c>
      <c r="J128" s="344"/>
      <c r="K128" s="344"/>
      <c r="L128" s="344">
        <f t="shared" si="54"/>
        <v>0</v>
      </c>
      <c r="M128" s="344">
        <f>+I128+L128</f>
        <v>0</v>
      </c>
      <c r="N128" s="337">
        <f t="shared" si="53"/>
        <v>2756250</v>
      </c>
      <c r="P128" s="340"/>
      <c r="S128" s="346"/>
      <c r="T128" s="347"/>
      <c r="U128" s="342"/>
    </row>
    <row r="129" spans="1:21" s="339" customFormat="1" ht="18" customHeight="1" x14ac:dyDescent="0.25">
      <c r="A129" s="334"/>
      <c r="B129" s="335"/>
      <c r="C129" s="335"/>
      <c r="D129" s="365" t="s">
        <v>369</v>
      </c>
      <c r="E129" s="335" t="s">
        <v>370</v>
      </c>
      <c r="F129" s="337">
        <v>7230000</v>
      </c>
      <c r="G129" s="344"/>
      <c r="H129" s="344"/>
      <c r="I129" s="344">
        <f t="shared" si="51"/>
        <v>0</v>
      </c>
      <c r="J129" s="344"/>
      <c r="K129" s="344"/>
      <c r="L129" s="344">
        <f t="shared" si="54"/>
        <v>0</v>
      </c>
      <c r="M129" s="344">
        <f>+I129+L129</f>
        <v>0</v>
      </c>
      <c r="N129" s="337">
        <f t="shared" si="53"/>
        <v>7230000</v>
      </c>
      <c r="P129" s="340"/>
      <c r="S129" s="347"/>
      <c r="T129" s="347"/>
      <c r="U129" s="342"/>
    </row>
    <row r="130" spans="1:21" s="339" customFormat="1" ht="18" customHeight="1" x14ac:dyDescent="0.25">
      <c r="A130" s="334"/>
      <c r="B130" s="335"/>
      <c r="C130" s="335"/>
      <c r="D130" s="365" t="s">
        <v>447</v>
      </c>
      <c r="E130" s="335" t="s">
        <v>448</v>
      </c>
      <c r="F130" s="337">
        <v>127500000</v>
      </c>
      <c r="G130" s="344"/>
      <c r="H130" s="344"/>
      <c r="I130" s="344">
        <f t="shared" si="51"/>
        <v>0</v>
      </c>
      <c r="J130" s="344"/>
      <c r="K130" s="344"/>
      <c r="L130" s="344">
        <f t="shared" si="54"/>
        <v>0</v>
      </c>
      <c r="M130" s="344">
        <f>+I130+L130</f>
        <v>0</v>
      </c>
      <c r="N130" s="337">
        <f t="shared" si="53"/>
        <v>127500000</v>
      </c>
      <c r="P130" s="340"/>
      <c r="S130" s="347"/>
      <c r="T130" s="347"/>
      <c r="U130" s="342"/>
    </row>
    <row r="131" spans="1:21" s="339" customFormat="1" ht="18" customHeight="1" x14ac:dyDescent="0.25">
      <c r="A131" s="334"/>
      <c r="B131" s="335"/>
      <c r="C131" s="335"/>
      <c r="D131" s="365" t="s">
        <v>265</v>
      </c>
      <c r="E131" s="335" t="s">
        <v>266</v>
      </c>
      <c r="F131" s="337">
        <f>+F132</f>
        <v>517185000</v>
      </c>
      <c r="G131" s="344">
        <f>+G132</f>
        <v>0</v>
      </c>
      <c r="H131" s="344">
        <f>+H132</f>
        <v>0</v>
      </c>
      <c r="I131" s="344">
        <f t="shared" si="51"/>
        <v>0</v>
      </c>
      <c r="J131" s="344">
        <f>+J132</f>
        <v>0</v>
      </c>
      <c r="K131" s="344">
        <f>+K132</f>
        <v>0</v>
      </c>
      <c r="L131" s="344">
        <f t="shared" si="54"/>
        <v>0</v>
      </c>
      <c r="M131" s="344">
        <f t="shared" ref="M131:M132" si="56">+I131+L131</f>
        <v>0</v>
      </c>
      <c r="N131" s="337">
        <f>+F131-M131</f>
        <v>517185000</v>
      </c>
      <c r="P131" s="340"/>
      <c r="S131" s="347"/>
      <c r="T131" s="347"/>
      <c r="U131" s="342"/>
    </row>
    <row r="132" spans="1:21" s="339" customFormat="1" ht="18" customHeight="1" x14ac:dyDescent="0.25">
      <c r="A132" s="334"/>
      <c r="B132" s="335"/>
      <c r="C132" s="335"/>
      <c r="D132" s="365" t="s">
        <v>71</v>
      </c>
      <c r="E132" s="335" t="s">
        <v>72</v>
      </c>
      <c r="F132" s="337">
        <f>SUM(F133:F136)</f>
        <v>517185000</v>
      </c>
      <c r="G132" s="344">
        <f>SUM(G133:G134)</f>
        <v>0</v>
      </c>
      <c r="H132" s="344">
        <f>SUM(H133:H134)</f>
        <v>0</v>
      </c>
      <c r="I132" s="344">
        <f t="shared" si="51"/>
        <v>0</v>
      </c>
      <c r="J132" s="344">
        <f>SUM(J133:J136)</f>
        <v>0</v>
      </c>
      <c r="K132" s="344">
        <f>SUM(K133:K136)</f>
        <v>0</v>
      </c>
      <c r="L132" s="344">
        <f>+J132+K132</f>
        <v>0</v>
      </c>
      <c r="M132" s="344">
        <f t="shared" si="56"/>
        <v>0</v>
      </c>
      <c r="N132" s="337">
        <f>+F132-M132</f>
        <v>517185000</v>
      </c>
      <c r="P132" s="340"/>
      <c r="S132" s="347"/>
      <c r="T132" s="347"/>
      <c r="U132" s="342"/>
    </row>
    <row r="133" spans="1:21" s="339" customFormat="1" ht="18" customHeight="1" x14ac:dyDescent="0.25">
      <c r="A133" s="334"/>
      <c r="B133" s="335"/>
      <c r="C133" s="335"/>
      <c r="D133" s="365" t="s">
        <v>73</v>
      </c>
      <c r="E133" s="335" t="s">
        <v>74</v>
      </c>
      <c r="F133" s="337">
        <v>128100000</v>
      </c>
      <c r="G133" s="344"/>
      <c r="H133" s="344"/>
      <c r="I133" s="344">
        <f t="shared" si="51"/>
        <v>0</v>
      </c>
      <c r="J133" s="344"/>
      <c r="K133" s="344"/>
      <c r="L133" s="344">
        <f t="shared" si="54"/>
        <v>0</v>
      </c>
      <c r="M133" s="344">
        <f>+I133+L133</f>
        <v>0</v>
      </c>
      <c r="N133" s="337">
        <f t="shared" ref="N133:N136" si="57">+F133-M133</f>
        <v>128100000</v>
      </c>
      <c r="P133" s="340"/>
      <c r="S133" s="346"/>
      <c r="T133" s="346"/>
      <c r="U133" s="342"/>
    </row>
    <row r="134" spans="1:21" s="339" customFormat="1" ht="18" customHeight="1" x14ac:dyDescent="0.25">
      <c r="A134" s="334"/>
      <c r="B134" s="335"/>
      <c r="C134" s="335"/>
      <c r="D134" s="365" t="s">
        <v>88</v>
      </c>
      <c r="E134" s="335" t="s">
        <v>89</v>
      </c>
      <c r="F134" s="337">
        <v>79635000</v>
      </c>
      <c r="G134" s="344"/>
      <c r="H134" s="344"/>
      <c r="I134" s="344">
        <f t="shared" si="51"/>
        <v>0</v>
      </c>
      <c r="J134" s="344"/>
      <c r="K134" s="344"/>
      <c r="L134" s="344">
        <f t="shared" si="54"/>
        <v>0</v>
      </c>
      <c r="M134" s="344">
        <f t="shared" ref="M134" si="58">+I134+L134</f>
        <v>0</v>
      </c>
      <c r="N134" s="337">
        <f t="shared" si="57"/>
        <v>79635000</v>
      </c>
      <c r="P134" s="340"/>
      <c r="S134" s="346"/>
      <c r="T134" s="347"/>
      <c r="U134" s="342"/>
    </row>
    <row r="135" spans="1:21" s="339" customFormat="1" ht="18" customHeight="1" x14ac:dyDescent="0.25">
      <c r="A135" s="334"/>
      <c r="B135" s="335"/>
      <c r="C135" s="335"/>
      <c r="D135" s="365" t="s">
        <v>445</v>
      </c>
      <c r="E135" s="335" t="s">
        <v>446</v>
      </c>
      <c r="F135" s="337">
        <v>241950000</v>
      </c>
      <c r="G135" s="344"/>
      <c r="H135" s="344"/>
      <c r="I135" s="344">
        <f t="shared" si="51"/>
        <v>0</v>
      </c>
      <c r="J135" s="344"/>
      <c r="K135" s="344"/>
      <c r="L135" s="344">
        <f t="shared" si="54"/>
        <v>0</v>
      </c>
      <c r="M135" s="344">
        <f>+I135+L135</f>
        <v>0</v>
      </c>
      <c r="N135" s="337">
        <f t="shared" si="57"/>
        <v>241950000</v>
      </c>
      <c r="P135" s="340"/>
      <c r="S135" s="347"/>
      <c r="T135" s="347"/>
      <c r="U135" s="342"/>
    </row>
    <row r="136" spans="1:21" s="339" customFormat="1" ht="18" customHeight="1" x14ac:dyDescent="0.25">
      <c r="A136" s="334"/>
      <c r="B136" s="335"/>
      <c r="C136" s="335"/>
      <c r="D136" s="365" t="s">
        <v>107</v>
      </c>
      <c r="E136" s="335" t="s">
        <v>108</v>
      </c>
      <c r="F136" s="337">
        <v>67500000</v>
      </c>
      <c r="G136" s="344"/>
      <c r="H136" s="344"/>
      <c r="I136" s="344">
        <f t="shared" si="51"/>
        <v>0</v>
      </c>
      <c r="J136" s="344"/>
      <c r="K136" s="344"/>
      <c r="L136" s="344">
        <f t="shared" si="54"/>
        <v>0</v>
      </c>
      <c r="M136" s="344">
        <f>+I136+L136</f>
        <v>0</v>
      </c>
      <c r="N136" s="337">
        <f t="shared" si="57"/>
        <v>67500000</v>
      </c>
      <c r="P136" s="340"/>
      <c r="S136" s="347"/>
      <c r="T136" s="347"/>
      <c r="U136" s="342"/>
    </row>
    <row r="137" spans="1:21" s="153" customFormat="1" ht="18" customHeight="1" x14ac:dyDescent="0.25">
      <c r="A137" s="353"/>
      <c r="B137" s="355"/>
      <c r="C137" s="355"/>
      <c r="D137" s="355"/>
      <c r="E137" s="355"/>
      <c r="F137" s="356"/>
      <c r="G137" s="357"/>
      <c r="H137" s="357"/>
      <c r="I137" s="357"/>
      <c r="J137" s="357"/>
      <c r="K137" s="357"/>
      <c r="L137" s="357"/>
      <c r="M137" s="357"/>
      <c r="N137" s="356"/>
      <c r="P137" s="200"/>
      <c r="S137" s="221"/>
      <c r="T137" s="221"/>
      <c r="U137" s="254"/>
    </row>
    <row r="138" spans="1:21" s="319" customFormat="1" ht="18" customHeight="1" x14ac:dyDescent="0.25">
      <c r="A138" s="276"/>
      <c r="B138" s="305" t="s">
        <v>380</v>
      </c>
      <c r="C138" s="305"/>
      <c r="D138" s="305"/>
      <c r="E138" s="305" t="s">
        <v>381</v>
      </c>
      <c r="F138" s="359">
        <f>+F139+F165+F173+F184+F206</f>
        <v>4317651500</v>
      </c>
      <c r="G138" s="360">
        <f>+G139+G165+G173+G184+G206</f>
        <v>0</v>
      </c>
      <c r="H138" s="360">
        <f>+H139+H165+H173+H184+H206</f>
        <v>0</v>
      </c>
      <c r="I138" s="360">
        <f t="shared" ref="I138:I164" si="59">+G138+H138</f>
        <v>0</v>
      </c>
      <c r="J138" s="360">
        <f>+J139+J165+J173+J184+J206</f>
        <v>0</v>
      </c>
      <c r="K138" s="360">
        <f>+K139+K165+K173+K184+K206</f>
        <v>7840000</v>
      </c>
      <c r="L138" s="360">
        <f t="shared" ref="L138:L146" si="60">+J138+K138</f>
        <v>7840000</v>
      </c>
      <c r="M138" s="360">
        <f t="shared" ref="M138" si="61">+I138+L138</f>
        <v>7840000</v>
      </c>
      <c r="N138" s="359">
        <f t="shared" ref="N138:N146" si="62">+F138-M138</f>
        <v>4309811500</v>
      </c>
      <c r="P138" s="361"/>
      <c r="R138" s="321"/>
      <c r="S138" s="362"/>
      <c r="T138" s="362"/>
      <c r="U138" s="350"/>
    </row>
    <row r="139" spans="1:21" s="319" customFormat="1" ht="18" customHeight="1" x14ac:dyDescent="0.25">
      <c r="A139" s="276">
        <v>6</v>
      </c>
      <c r="B139" s="305"/>
      <c r="C139" s="305" t="s">
        <v>90</v>
      </c>
      <c r="D139" s="363"/>
      <c r="E139" s="364" t="s">
        <v>91</v>
      </c>
      <c r="F139" s="307">
        <f>+F140+F147</f>
        <v>1165936000</v>
      </c>
      <c r="G139" s="308">
        <f>+G140+G147</f>
        <v>0</v>
      </c>
      <c r="H139" s="308">
        <f>+H140+H147</f>
        <v>0</v>
      </c>
      <c r="I139" s="308">
        <f t="shared" si="59"/>
        <v>0</v>
      </c>
      <c r="J139" s="308">
        <f>+J140+J147</f>
        <v>0</v>
      </c>
      <c r="K139" s="308">
        <f>+K140+K147</f>
        <v>0</v>
      </c>
      <c r="L139" s="308">
        <f t="shared" si="60"/>
        <v>0</v>
      </c>
      <c r="M139" s="308">
        <f>+I139+L139</f>
        <v>0</v>
      </c>
      <c r="N139" s="307">
        <f t="shared" si="62"/>
        <v>1165936000</v>
      </c>
      <c r="P139" s="320"/>
      <c r="R139" s="321"/>
      <c r="S139" s="349"/>
      <c r="T139" s="349"/>
      <c r="U139" s="350"/>
    </row>
    <row r="140" spans="1:21" s="329" customFormat="1" ht="18" customHeight="1" x14ac:dyDescent="0.25">
      <c r="A140" s="323"/>
      <c r="B140" s="324"/>
      <c r="C140" s="379"/>
      <c r="D140" s="325" t="s">
        <v>207</v>
      </c>
      <c r="E140" s="326" t="s">
        <v>262</v>
      </c>
      <c r="F140" s="327">
        <f>+F141</f>
        <v>39736000</v>
      </c>
      <c r="G140" s="328">
        <f>+G141</f>
        <v>0</v>
      </c>
      <c r="H140" s="328">
        <f>+H141</f>
        <v>0</v>
      </c>
      <c r="I140" s="328">
        <f t="shared" si="59"/>
        <v>0</v>
      </c>
      <c r="J140" s="328">
        <f t="shared" ref="J140:K142" si="63">+J141</f>
        <v>0</v>
      </c>
      <c r="K140" s="328">
        <f t="shared" si="63"/>
        <v>0</v>
      </c>
      <c r="L140" s="328">
        <f t="shared" si="60"/>
        <v>0</v>
      </c>
      <c r="M140" s="328">
        <f t="shared" ref="M140:M164" si="64">+I140+L140</f>
        <v>0</v>
      </c>
      <c r="N140" s="327">
        <f t="shared" si="62"/>
        <v>39736000</v>
      </c>
      <c r="P140" s="330"/>
      <c r="R140" s="331"/>
      <c r="S140" s="351"/>
      <c r="T140" s="351"/>
      <c r="U140" s="333"/>
    </row>
    <row r="141" spans="1:21" s="381" customFormat="1" ht="18" customHeight="1" x14ac:dyDescent="0.25">
      <c r="A141" s="380"/>
      <c r="B141" s="352"/>
      <c r="C141" s="334"/>
      <c r="D141" s="335" t="s">
        <v>63</v>
      </c>
      <c r="E141" s="335" t="s">
        <v>30</v>
      </c>
      <c r="F141" s="337">
        <f>+F142</f>
        <v>39736000</v>
      </c>
      <c r="G141" s="344">
        <f t="shared" ref="G141:H142" si="65">+G142</f>
        <v>0</v>
      </c>
      <c r="H141" s="344">
        <f t="shared" si="65"/>
        <v>0</v>
      </c>
      <c r="I141" s="344">
        <f t="shared" si="59"/>
        <v>0</v>
      </c>
      <c r="J141" s="344">
        <f t="shared" si="63"/>
        <v>0</v>
      </c>
      <c r="K141" s="344">
        <f t="shared" si="63"/>
        <v>0</v>
      </c>
      <c r="L141" s="344">
        <f t="shared" si="60"/>
        <v>0</v>
      </c>
      <c r="M141" s="344">
        <f t="shared" si="64"/>
        <v>0</v>
      </c>
      <c r="N141" s="337">
        <f t="shared" si="62"/>
        <v>39736000</v>
      </c>
      <c r="P141" s="340"/>
      <c r="S141" s="347"/>
      <c r="T141" s="347"/>
      <c r="U141" s="382"/>
    </row>
    <row r="142" spans="1:21" s="339" customFormat="1" ht="18" customHeight="1" x14ac:dyDescent="0.25">
      <c r="A142" s="334"/>
      <c r="B142" s="335"/>
      <c r="C142" s="334"/>
      <c r="D142" s="365" t="s">
        <v>263</v>
      </c>
      <c r="E142" s="335" t="s">
        <v>264</v>
      </c>
      <c r="F142" s="337">
        <f>+F143</f>
        <v>39736000</v>
      </c>
      <c r="G142" s="344">
        <f t="shared" si="65"/>
        <v>0</v>
      </c>
      <c r="H142" s="344">
        <f t="shared" si="65"/>
        <v>0</v>
      </c>
      <c r="I142" s="344">
        <f t="shared" si="59"/>
        <v>0</v>
      </c>
      <c r="J142" s="344">
        <f t="shared" si="63"/>
        <v>0</v>
      </c>
      <c r="K142" s="344">
        <f t="shared" si="63"/>
        <v>0</v>
      </c>
      <c r="L142" s="344">
        <f t="shared" si="60"/>
        <v>0</v>
      </c>
      <c r="M142" s="344">
        <f t="shared" si="64"/>
        <v>0</v>
      </c>
      <c r="N142" s="337">
        <f t="shared" si="62"/>
        <v>39736000</v>
      </c>
      <c r="P142" s="340"/>
      <c r="S142" s="347"/>
      <c r="T142" s="347"/>
      <c r="U142" s="342"/>
    </row>
    <row r="143" spans="1:21" s="381" customFormat="1" ht="18" customHeight="1" x14ac:dyDescent="0.25">
      <c r="A143" s="380"/>
      <c r="B143" s="352"/>
      <c r="C143" s="334"/>
      <c r="D143" s="335" t="s">
        <v>64</v>
      </c>
      <c r="E143" s="335" t="s">
        <v>65</v>
      </c>
      <c r="F143" s="337">
        <f>F145+F144+F146</f>
        <v>39736000</v>
      </c>
      <c r="G143" s="344">
        <f>+G145</f>
        <v>0</v>
      </c>
      <c r="H143" s="344">
        <f>+H145</f>
        <v>0</v>
      </c>
      <c r="I143" s="344">
        <f t="shared" si="59"/>
        <v>0</v>
      </c>
      <c r="J143" s="344">
        <f>+J145</f>
        <v>0</v>
      </c>
      <c r="K143" s="344">
        <f>+K145</f>
        <v>0</v>
      </c>
      <c r="L143" s="344">
        <f t="shared" si="60"/>
        <v>0</v>
      </c>
      <c r="M143" s="344">
        <f t="shared" si="64"/>
        <v>0</v>
      </c>
      <c r="N143" s="337">
        <f t="shared" si="62"/>
        <v>39736000</v>
      </c>
      <c r="P143" s="340"/>
      <c r="S143" s="347"/>
      <c r="T143" s="347"/>
      <c r="U143" s="382"/>
    </row>
    <row r="144" spans="1:21" s="381" customFormat="1" ht="18" customHeight="1" x14ac:dyDescent="0.25">
      <c r="A144" s="380"/>
      <c r="B144" s="352"/>
      <c r="C144" s="334"/>
      <c r="D144" s="335" t="s">
        <v>66</v>
      </c>
      <c r="E144" s="335" t="s">
        <v>67</v>
      </c>
      <c r="F144" s="337">
        <v>13500</v>
      </c>
      <c r="G144" s="344"/>
      <c r="H144" s="344"/>
      <c r="I144" s="344">
        <f t="shared" si="59"/>
        <v>0</v>
      </c>
      <c r="J144" s="344"/>
      <c r="K144" s="344"/>
      <c r="L144" s="344">
        <f t="shared" si="60"/>
        <v>0</v>
      </c>
      <c r="M144" s="344">
        <f t="shared" si="64"/>
        <v>0</v>
      </c>
      <c r="N144" s="337">
        <f t="shared" si="62"/>
        <v>13500</v>
      </c>
      <c r="P144" s="340"/>
      <c r="S144" s="347"/>
      <c r="T144" s="347"/>
      <c r="U144" s="382"/>
    </row>
    <row r="145" spans="1:21" s="381" customFormat="1" ht="18" customHeight="1" x14ac:dyDescent="0.25">
      <c r="A145" s="380"/>
      <c r="B145" s="352"/>
      <c r="C145" s="334"/>
      <c r="D145" s="335" t="s">
        <v>339</v>
      </c>
      <c r="E145" s="335" t="s">
        <v>340</v>
      </c>
      <c r="F145" s="337">
        <v>29175000</v>
      </c>
      <c r="G145" s="344"/>
      <c r="H145" s="344"/>
      <c r="I145" s="344">
        <f t="shared" si="59"/>
        <v>0</v>
      </c>
      <c r="J145" s="344"/>
      <c r="K145" s="344"/>
      <c r="L145" s="344">
        <f t="shared" si="60"/>
        <v>0</v>
      </c>
      <c r="M145" s="344">
        <f t="shared" si="64"/>
        <v>0</v>
      </c>
      <c r="N145" s="337">
        <f t="shared" si="62"/>
        <v>29175000</v>
      </c>
      <c r="P145" s="340"/>
      <c r="S145" s="347"/>
      <c r="T145" s="347"/>
      <c r="U145" s="382"/>
    </row>
    <row r="146" spans="1:21" s="381" customFormat="1" ht="18" customHeight="1" x14ac:dyDescent="0.25">
      <c r="A146" s="380"/>
      <c r="B146" s="352"/>
      <c r="C146" s="334"/>
      <c r="D146" s="335" t="s">
        <v>371</v>
      </c>
      <c r="E146" s="335" t="s">
        <v>372</v>
      </c>
      <c r="F146" s="337">
        <v>10547500</v>
      </c>
      <c r="G146" s="344"/>
      <c r="H146" s="344"/>
      <c r="I146" s="344">
        <f t="shared" si="59"/>
        <v>0</v>
      </c>
      <c r="J146" s="344"/>
      <c r="K146" s="344"/>
      <c r="L146" s="344">
        <f t="shared" si="60"/>
        <v>0</v>
      </c>
      <c r="M146" s="344">
        <f t="shared" si="64"/>
        <v>0</v>
      </c>
      <c r="N146" s="337">
        <f t="shared" si="62"/>
        <v>10547500</v>
      </c>
      <c r="P146" s="340"/>
      <c r="S146" s="347"/>
      <c r="T146" s="347"/>
      <c r="U146" s="382"/>
    </row>
    <row r="147" spans="1:21" s="381" customFormat="1" ht="18" customHeight="1" x14ac:dyDescent="0.25">
      <c r="A147" s="380"/>
      <c r="B147" s="383"/>
      <c r="C147" s="384"/>
      <c r="D147" s="365" t="s">
        <v>267</v>
      </c>
      <c r="E147" s="335" t="s">
        <v>268</v>
      </c>
      <c r="F147" s="337">
        <f>+F148</f>
        <v>1126200000</v>
      </c>
      <c r="G147" s="344">
        <f>+G148</f>
        <v>0</v>
      </c>
      <c r="H147" s="344">
        <f>+H148</f>
        <v>0</v>
      </c>
      <c r="I147" s="344">
        <f>+G147+H147</f>
        <v>0</v>
      </c>
      <c r="J147" s="344">
        <f>+J148</f>
        <v>0</v>
      </c>
      <c r="K147" s="344">
        <f>+K148</f>
        <v>0</v>
      </c>
      <c r="L147" s="344">
        <f>+J147+K147</f>
        <v>0</v>
      </c>
      <c r="M147" s="344">
        <f t="shared" si="64"/>
        <v>0</v>
      </c>
      <c r="N147" s="337">
        <f>+F147-M147</f>
        <v>1126200000</v>
      </c>
      <c r="P147" s="340"/>
      <c r="R147" s="385"/>
      <c r="S147" s="347"/>
      <c r="T147" s="347"/>
      <c r="U147" s="382"/>
    </row>
    <row r="148" spans="1:21" s="381" customFormat="1" ht="18" customHeight="1" x14ac:dyDescent="0.25">
      <c r="A148" s="380"/>
      <c r="B148" s="352"/>
      <c r="C148" s="334"/>
      <c r="D148" s="335" t="s">
        <v>78</v>
      </c>
      <c r="E148" s="335" t="s">
        <v>75</v>
      </c>
      <c r="F148" s="337">
        <f>+F149+F159+F156</f>
        <v>1126200000</v>
      </c>
      <c r="G148" s="344">
        <f>+G149+G159</f>
        <v>0</v>
      </c>
      <c r="H148" s="344">
        <f>+H149+H159</f>
        <v>0</v>
      </c>
      <c r="I148" s="344">
        <f>+G148+H148</f>
        <v>0</v>
      </c>
      <c r="J148" s="344">
        <f>+J149+J159</f>
        <v>0</v>
      </c>
      <c r="K148" s="344">
        <f>+K149+K159</f>
        <v>0</v>
      </c>
      <c r="L148" s="344">
        <f>+J148+K148</f>
        <v>0</v>
      </c>
      <c r="M148" s="344">
        <f t="shared" si="64"/>
        <v>0</v>
      </c>
      <c r="N148" s="337">
        <f>+F148-M148</f>
        <v>1126200000</v>
      </c>
      <c r="P148" s="340"/>
      <c r="S148" s="347"/>
      <c r="T148" s="347"/>
      <c r="U148" s="382"/>
    </row>
    <row r="149" spans="1:21" s="339" customFormat="1" ht="18" customHeight="1" x14ac:dyDescent="0.25">
      <c r="A149" s="334"/>
      <c r="B149" s="335"/>
      <c r="C149" s="334"/>
      <c r="D149" s="365" t="s">
        <v>269</v>
      </c>
      <c r="E149" s="335" t="s">
        <v>270</v>
      </c>
      <c r="F149" s="337">
        <f>+F153+F150</f>
        <v>385400000</v>
      </c>
      <c r="G149" s="344">
        <f>+G153</f>
        <v>0</v>
      </c>
      <c r="H149" s="344">
        <f>+H153</f>
        <v>0</v>
      </c>
      <c r="I149" s="344">
        <f>+G149+H149</f>
        <v>0</v>
      </c>
      <c r="J149" s="344">
        <f>+J153</f>
        <v>0</v>
      </c>
      <c r="K149" s="344">
        <f>+K153+K150</f>
        <v>0</v>
      </c>
      <c r="L149" s="344">
        <f>+J149+K149</f>
        <v>0</v>
      </c>
      <c r="M149" s="344">
        <f t="shared" si="64"/>
        <v>0</v>
      </c>
      <c r="N149" s="337">
        <f>+F149-M149</f>
        <v>385400000</v>
      </c>
      <c r="P149" s="340"/>
      <c r="S149" s="347"/>
      <c r="T149" s="347"/>
      <c r="U149" s="342"/>
    </row>
    <row r="150" spans="1:21" s="381" customFormat="1" ht="18" customHeight="1" x14ac:dyDescent="0.25">
      <c r="A150" s="380"/>
      <c r="B150" s="352"/>
      <c r="C150" s="334"/>
      <c r="D150" s="335" t="s">
        <v>76</v>
      </c>
      <c r="E150" s="335" t="s">
        <v>484</v>
      </c>
      <c r="F150" s="337">
        <f>F151+F152</f>
        <v>180100000</v>
      </c>
      <c r="G150" s="344">
        <f>G151</f>
        <v>0</v>
      </c>
      <c r="H150" s="344">
        <f>+H151</f>
        <v>0</v>
      </c>
      <c r="I150" s="344">
        <f>+G150+H150</f>
        <v>0</v>
      </c>
      <c r="J150" s="344">
        <f>J151</f>
        <v>0</v>
      </c>
      <c r="K150" s="344">
        <f>+K151</f>
        <v>0</v>
      </c>
      <c r="L150" s="344">
        <f>+J150+K150</f>
        <v>0</v>
      </c>
      <c r="M150" s="344">
        <f t="shared" si="64"/>
        <v>0</v>
      </c>
      <c r="N150" s="337">
        <f>+F150-M150</f>
        <v>180100000</v>
      </c>
      <c r="P150" s="340"/>
      <c r="S150" s="347"/>
      <c r="T150" s="347"/>
      <c r="U150" s="382"/>
    </row>
    <row r="151" spans="1:21" s="381" customFormat="1" ht="18" customHeight="1" x14ac:dyDescent="0.25">
      <c r="A151" s="380"/>
      <c r="B151" s="352"/>
      <c r="C151" s="334"/>
      <c r="D151" s="335" t="s">
        <v>393</v>
      </c>
      <c r="E151" s="335" t="s">
        <v>394</v>
      </c>
      <c r="F151" s="337">
        <v>99600000</v>
      </c>
      <c r="G151" s="344"/>
      <c r="H151" s="344"/>
      <c r="I151" s="344">
        <f t="shared" ref="I151:I152" si="66">+G151+H151</f>
        <v>0</v>
      </c>
      <c r="J151" s="344"/>
      <c r="K151" s="344"/>
      <c r="L151" s="344">
        <f t="shared" ref="L151:L152" si="67">+J151+K151</f>
        <v>0</v>
      </c>
      <c r="M151" s="344">
        <f t="shared" si="64"/>
        <v>0</v>
      </c>
      <c r="N151" s="337">
        <f t="shared" ref="N151:N152" si="68">+F151-M151</f>
        <v>99600000</v>
      </c>
      <c r="P151" s="340"/>
      <c r="S151" s="346"/>
      <c r="T151" s="347"/>
      <c r="U151" s="382"/>
    </row>
    <row r="152" spans="1:21" s="381" customFormat="1" ht="18" customHeight="1" x14ac:dyDescent="0.25">
      <c r="A152" s="380"/>
      <c r="B152" s="352"/>
      <c r="C152" s="334"/>
      <c r="D152" s="335" t="s">
        <v>117</v>
      </c>
      <c r="E152" s="335" t="s">
        <v>118</v>
      </c>
      <c r="F152" s="337">
        <v>80500000</v>
      </c>
      <c r="G152" s="344"/>
      <c r="H152" s="344"/>
      <c r="I152" s="344">
        <f t="shared" si="66"/>
        <v>0</v>
      </c>
      <c r="J152" s="344"/>
      <c r="K152" s="344"/>
      <c r="L152" s="344">
        <f t="shared" si="67"/>
        <v>0</v>
      </c>
      <c r="M152" s="344">
        <f t="shared" si="64"/>
        <v>0</v>
      </c>
      <c r="N152" s="337">
        <f t="shared" si="68"/>
        <v>80500000</v>
      </c>
      <c r="P152" s="340"/>
      <c r="S152" s="346"/>
      <c r="T152" s="347"/>
      <c r="U152" s="382"/>
    </row>
    <row r="153" spans="1:21" s="381" customFormat="1" ht="18" customHeight="1" x14ac:dyDescent="0.25">
      <c r="A153" s="380"/>
      <c r="B153" s="352"/>
      <c r="C153" s="334"/>
      <c r="D153" s="335" t="s">
        <v>92</v>
      </c>
      <c r="E153" s="335" t="s">
        <v>94</v>
      </c>
      <c r="F153" s="337">
        <f>F154+F155</f>
        <v>205300000</v>
      </c>
      <c r="G153" s="344">
        <f>+G154+G155</f>
        <v>0</v>
      </c>
      <c r="H153" s="344">
        <f>+H154+H155</f>
        <v>0</v>
      </c>
      <c r="I153" s="344">
        <f>+G153+H153</f>
        <v>0</v>
      </c>
      <c r="J153" s="344">
        <f>J154+J155</f>
        <v>0</v>
      </c>
      <c r="K153" s="344">
        <f>+K154+K155</f>
        <v>0</v>
      </c>
      <c r="L153" s="344">
        <f>+J153+K153</f>
        <v>0</v>
      </c>
      <c r="M153" s="344">
        <f t="shared" si="64"/>
        <v>0</v>
      </c>
      <c r="N153" s="337">
        <f>+F153-M153</f>
        <v>205300000</v>
      </c>
      <c r="P153" s="340"/>
      <c r="S153" s="347"/>
      <c r="T153" s="347"/>
      <c r="U153" s="382"/>
    </row>
    <row r="154" spans="1:21" s="381" customFormat="1" ht="18" customHeight="1" x14ac:dyDescent="0.25">
      <c r="A154" s="380"/>
      <c r="B154" s="352"/>
      <c r="C154" s="334"/>
      <c r="D154" s="335" t="s">
        <v>93</v>
      </c>
      <c r="E154" s="335" t="s">
        <v>95</v>
      </c>
      <c r="F154" s="337">
        <v>180000000</v>
      </c>
      <c r="G154" s="344"/>
      <c r="H154" s="344"/>
      <c r="I154" s="344">
        <f t="shared" ref="I154:I155" si="69">+G154+H154</f>
        <v>0</v>
      </c>
      <c r="J154" s="344"/>
      <c r="K154" s="344"/>
      <c r="L154" s="344">
        <f t="shared" ref="L154:L164" si="70">+J154+K154</f>
        <v>0</v>
      </c>
      <c r="M154" s="344">
        <f t="shared" si="64"/>
        <v>0</v>
      </c>
      <c r="N154" s="337">
        <f t="shared" ref="N154:N155" si="71">+F154-M154</f>
        <v>180000000</v>
      </c>
      <c r="P154" s="340"/>
      <c r="S154" s="347"/>
      <c r="T154" s="347"/>
      <c r="U154" s="382"/>
    </row>
    <row r="155" spans="1:21" s="381" customFormat="1" ht="18" customHeight="1" x14ac:dyDescent="0.25">
      <c r="A155" s="380"/>
      <c r="B155" s="352"/>
      <c r="C155" s="334"/>
      <c r="D155" s="335" t="s">
        <v>397</v>
      </c>
      <c r="E155" s="335" t="s">
        <v>398</v>
      </c>
      <c r="F155" s="337">
        <v>25300000</v>
      </c>
      <c r="G155" s="344"/>
      <c r="H155" s="344"/>
      <c r="I155" s="344">
        <f t="shared" si="69"/>
        <v>0</v>
      </c>
      <c r="J155" s="344"/>
      <c r="K155" s="344"/>
      <c r="L155" s="344">
        <f t="shared" si="70"/>
        <v>0</v>
      </c>
      <c r="M155" s="344">
        <f t="shared" si="64"/>
        <v>0</v>
      </c>
      <c r="N155" s="337">
        <f t="shared" si="71"/>
        <v>25300000</v>
      </c>
      <c r="P155" s="340"/>
      <c r="S155" s="347"/>
      <c r="T155" s="347"/>
      <c r="U155" s="382"/>
    </row>
    <row r="156" spans="1:21" s="339" customFormat="1" ht="18" customHeight="1" x14ac:dyDescent="0.25">
      <c r="A156" s="334"/>
      <c r="B156" s="335"/>
      <c r="C156" s="334"/>
      <c r="D156" s="365" t="s">
        <v>399</v>
      </c>
      <c r="E156" s="335" t="s">
        <v>400</v>
      </c>
      <c r="F156" s="337">
        <f>+F157</f>
        <v>200000000</v>
      </c>
      <c r="G156" s="344">
        <f>+G160</f>
        <v>0</v>
      </c>
      <c r="H156" s="344">
        <f>+H160</f>
        <v>0</v>
      </c>
      <c r="I156" s="344">
        <f>+G156+H156</f>
        <v>0</v>
      </c>
      <c r="J156" s="344">
        <f>+J160</f>
        <v>0</v>
      </c>
      <c r="K156" s="344">
        <f>+K160+K157</f>
        <v>0</v>
      </c>
      <c r="L156" s="344">
        <f>+J156+K156</f>
        <v>0</v>
      </c>
      <c r="M156" s="344">
        <f t="shared" si="64"/>
        <v>0</v>
      </c>
      <c r="N156" s="337">
        <f>+F156-M156</f>
        <v>200000000</v>
      </c>
      <c r="P156" s="340"/>
      <c r="S156" s="347"/>
      <c r="T156" s="347"/>
      <c r="U156" s="342"/>
    </row>
    <row r="157" spans="1:21" s="381" customFormat="1" ht="18" customHeight="1" x14ac:dyDescent="0.25">
      <c r="A157" s="380"/>
      <c r="B157" s="352"/>
      <c r="C157" s="334"/>
      <c r="D157" s="335" t="s">
        <v>401</v>
      </c>
      <c r="E157" s="335" t="s">
        <v>402</v>
      </c>
      <c r="F157" s="337">
        <f>+F158</f>
        <v>200000000</v>
      </c>
      <c r="G157" s="344">
        <f>G158</f>
        <v>0</v>
      </c>
      <c r="H157" s="344">
        <f>+H158</f>
        <v>0</v>
      </c>
      <c r="I157" s="344">
        <f>+G157+H157</f>
        <v>0</v>
      </c>
      <c r="J157" s="344">
        <f>J158</f>
        <v>0</v>
      </c>
      <c r="K157" s="344">
        <f>+K158</f>
        <v>0</v>
      </c>
      <c r="L157" s="344">
        <f>+J157+K157</f>
        <v>0</v>
      </c>
      <c r="M157" s="344">
        <f t="shared" si="64"/>
        <v>0</v>
      </c>
      <c r="N157" s="337">
        <f>+F157-M157</f>
        <v>200000000</v>
      </c>
      <c r="P157" s="340"/>
      <c r="S157" s="347"/>
      <c r="T157" s="347"/>
      <c r="U157" s="382"/>
    </row>
    <row r="158" spans="1:21" s="381" customFormat="1" ht="18" customHeight="1" x14ac:dyDescent="0.25">
      <c r="A158" s="380"/>
      <c r="B158" s="352"/>
      <c r="C158" s="334"/>
      <c r="D158" s="335" t="s">
        <v>459</v>
      </c>
      <c r="E158" s="335" t="s">
        <v>460</v>
      </c>
      <c r="F158" s="337">
        <v>200000000</v>
      </c>
      <c r="G158" s="344"/>
      <c r="H158" s="344"/>
      <c r="I158" s="344">
        <f t="shared" ref="I158" si="72">+G158+H158</f>
        <v>0</v>
      </c>
      <c r="J158" s="344"/>
      <c r="K158" s="344"/>
      <c r="L158" s="344">
        <f t="shared" ref="L158" si="73">+J158+K158</f>
        <v>0</v>
      </c>
      <c r="M158" s="344">
        <f t="shared" si="64"/>
        <v>0</v>
      </c>
      <c r="N158" s="337">
        <f t="shared" ref="N158" si="74">+F158-M158</f>
        <v>200000000</v>
      </c>
      <c r="P158" s="340"/>
      <c r="S158" s="346"/>
      <c r="T158" s="347"/>
      <c r="U158" s="382"/>
    </row>
    <row r="159" spans="1:21" s="339" customFormat="1" ht="18" customHeight="1" x14ac:dyDescent="0.25">
      <c r="A159" s="334"/>
      <c r="B159" s="335"/>
      <c r="C159" s="334"/>
      <c r="D159" s="365" t="s">
        <v>273</v>
      </c>
      <c r="E159" s="335" t="s">
        <v>274</v>
      </c>
      <c r="F159" s="337">
        <f>+F160+F162</f>
        <v>540800000</v>
      </c>
      <c r="G159" s="344">
        <f>+G160+G162</f>
        <v>0</v>
      </c>
      <c r="H159" s="344">
        <f>+H160+H162</f>
        <v>0</v>
      </c>
      <c r="I159" s="344">
        <f>+G159+H159</f>
        <v>0</v>
      </c>
      <c r="J159" s="344">
        <f t="shared" ref="J159:K160" si="75">+J160</f>
        <v>0</v>
      </c>
      <c r="K159" s="344">
        <f t="shared" si="75"/>
        <v>0</v>
      </c>
      <c r="L159" s="344">
        <f t="shared" si="70"/>
        <v>0</v>
      </c>
      <c r="M159" s="344">
        <f t="shared" si="64"/>
        <v>0</v>
      </c>
      <c r="N159" s="337">
        <f>+F159-M159</f>
        <v>540800000</v>
      </c>
      <c r="P159" s="340"/>
      <c r="S159" s="347"/>
      <c r="T159" s="347"/>
      <c r="U159" s="342"/>
    </row>
    <row r="160" spans="1:21" s="381" customFormat="1" ht="18" customHeight="1" x14ac:dyDescent="0.25">
      <c r="A160" s="380"/>
      <c r="B160" s="352"/>
      <c r="C160" s="334"/>
      <c r="D160" s="335" t="s">
        <v>96</v>
      </c>
      <c r="E160" s="335" t="s">
        <v>98</v>
      </c>
      <c r="F160" s="337">
        <f>F161</f>
        <v>335000000</v>
      </c>
      <c r="G160" s="344">
        <f>+G161</f>
        <v>0</v>
      </c>
      <c r="H160" s="344">
        <f>+H161</f>
        <v>0</v>
      </c>
      <c r="I160" s="344">
        <f>+G160+H160</f>
        <v>0</v>
      </c>
      <c r="J160" s="344">
        <f>+J161</f>
        <v>0</v>
      </c>
      <c r="K160" s="344">
        <f t="shared" si="75"/>
        <v>0</v>
      </c>
      <c r="L160" s="344">
        <f t="shared" si="70"/>
        <v>0</v>
      </c>
      <c r="M160" s="344">
        <f t="shared" si="64"/>
        <v>0</v>
      </c>
      <c r="N160" s="337">
        <f>+F160-M160</f>
        <v>335000000</v>
      </c>
      <c r="P160" s="340"/>
      <c r="S160" s="347"/>
      <c r="T160" s="347"/>
      <c r="U160" s="382"/>
    </row>
    <row r="161" spans="1:21" s="381" customFormat="1" ht="18" customHeight="1" x14ac:dyDescent="0.25">
      <c r="A161" s="380"/>
      <c r="B161" s="352"/>
      <c r="C161" s="334"/>
      <c r="D161" s="335" t="s">
        <v>97</v>
      </c>
      <c r="E161" s="335" t="s">
        <v>99</v>
      </c>
      <c r="F161" s="337">
        <v>335000000</v>
      </c>
      <c r="G161" s="344"/>
      <c r="H161" s="344"/>
      <c r="I161" s="344">
        <f t="shared" si="59"/>
        <v>0</v>
      </c>
      <c r="J161" s="344"/>
      <c r="K161" s="344"/>
      <c r="L161" s="344">
        <f t="shared" si="70"/>
        <v>0</v>
      </c>
      <c r="M161" s="344">
        <f t="shared" si="64"/>
        <v>0</v>
      </c>
      <c r="N161" s="337">
        <f t="shared" ref="N161" si="76">+F161-M161</f>
        <v>335000000</v>
      </c>
      <c r="P161" s="340"/>
      <c r="S161" s="347"/>
      <c r="T161" s="347"/>
      <c r="U161" s="382"/>
    </row>
    <row r="162" spans="1:21" s="381" customFormat="1" ht="18" customHeight="1" x14ac:dyDescent="0.25">
      <c r="A162" s="380"/>
      <c r="B162" s="352"/>
      <c r="C162" s="334"/>
      <c r="D162" s="335" t="s">
        <v>382</v>
      </c>
      <c r="E162" s="335" t="s">
        <v>383</v>
      </c>
      <c r="F162" s="337">
        <f>SUM(F163:F164)</f>
        <v>205800000</v>
      </c>
      <c r="G162" s="344">
        <f>SUM(G163:G164)</f>
        <v>0</v>
      </c>
      <c r="H162" s="344">
        <f>SUM(H163:H164)</f>
        <v>0</v>
      </c>
      <c r="I162" s="344">
        <f>+G162+H162</f>
        <v>0</v>
      </c>
      <c r="J162" s="344">
        <f>SUM(J163:J164)</f>
        <v>0</v>
      </c>
      <c r="K162" s="344">
        <f>SUM(K163:K164)</f>
        <v>0</v>
      </c>
      <c r="L162" s="344">
        <f>+J162+K162</f>
        <v>0</v>
      </c>
      <c r="M162" s="344">
        <f t="shared" si="64"/>
        <v>0</v>
      </c>
      <c r="N162" s="337">
        <f>+F162-M162</f>
        <v>205800000</v>
      </c>
      <c r="P162" s="340"/>
      <c r="S162" s="347"/>
      <c r="T162" s="347"/>
      <c r="U162" s="382"/>
    </row>
    <row r="163" spans="1:21" s="381" customFormat="1" ht="18" customHeight="1" x14ac:dyDescent="0.25">
      <c r="A163" s="380"/>
      <c r="B163" s="352"/>
      <c r="C163" s="334"/>
      <c r="D163" s="335" t="s">
        <v>384</v>
      </c>
      <c r="E163" s="335" t="s">
        <v>385</v>
      </c>
      <c r="F163" s="337">
        <v>170400000</v>
      </c>
      <c r="G163" s="344"/>
      <c r="H163" s="344"/>
      <c r="I163" s="344">
        <f t="shared" si="59"/>
        <v>0</v>
      </c>
      <c r="J163" s="344"/>
      <c r="K163" s="344"/>
      <c r="L163" s="344">
        <f t="shared" si="70"/>
        <v>0</v>
      </c>
      <c r="M163" s="344">
        <f t="shared" si="64"/>
        <v>0</v>
      </c>
      <c r="N163" s="337">
        <f t="shared" ref="N163:N164" si="77">+F163-M163</f>
        <v>170400000</v>
      </c>
      <c r="P163" s="340"/>
      <c r="S163" s="347"/>
      <c r="T163" s="347"/>
      <c r="U163" s="382"/>
    </row>
    <row r="164" spans="1:21" s="388" customFormat="1" ht="18" customHeight="1" x14ac:dyDescent="0.25">
      <c r="A164" s="386"/>
      <c r="B164" s="387"/>
      <c r="C164" s="353"/>
      <c r="D164" s="355" t="s">
        <v>386</v>
      </c>
      <c r="E164" s="355" t="s">
        <v>387</v>
      </c>
      <c r="F164" s="356">
        <v>35400000</v>
      </c>
      <c r="G164" s="357"/>
      <c r="H164" s="357"/>
      <c r="I164" s="357">
        <f t="shared" si="59"/>
        <v>0</v>
      </c>
      <c r="J164" s="357"/>
      <c r="K164" s="357"/>
      <c r="L164" s="357">
        <f t="shared" si="70"/>
        <v>0</v>
      </c>
      <c r="M164" s="357">
        <f t="shared" si="64"/>
        <v>0</v>
      </c>
      <c r="N164" s="356">
        <f t="shared" si="77"/>
        <v>35400000</v>
      </c>
      <c r="P164" s="200"/>
      <c r="S164" s="221"/>
      <c r="T164" s="221"/>
      <c r="U164" s="389"/>
    </row>
    <row r="165" spans="1:21" s="319" customFormat="1" ht="18" customHeight="1" x14ac:dyDescent="0.25">
      <c r="A165" s="276">
        <v>7</v>
      </c>
      <c r="B165" s="305"/>
      <c r="C165" s="390" t="s">
        <v>102</v>
      </c>
      <c r="D165" s="363"/>
      <c r="E165" s="364" t="s">
        <v>103</v>
      </c>
      <c r="F165" s="307">
        <f t="shared" ref="F165:H168" si="78">+F166</f>
        <v>540210000</v>
      </c>
      <c r="G165" s="308">
        <f t="shared" si="78"/>
        <v>0</v>
      </c>
      <c r="H165" s="308">
        <f t="shared" si="78"/>
        <v>0</v>
      </c>
      <c r="I165" s="308">
        <f>+G165+H165</f>
        <v>0</v>
      </c>
      <c r="J165" s="308">
        <f>+J166</f>
        <v>0</v>
      </c>
      <c r="K165" s="308">
        <f t="shared" ref="J165:K168" si="79">+K166</f>
        <v>0</v>
      </c>
      <c r="L165" s="308">
        <f>+J165+K165</f>
        <v>0</v>
      </c>
      <c r="M165" s="308">
        <f>+I165+L165</f>
        <v>0</v>
      </c>
      <c r="N165" s="307">
        <f>+F165-M165</f>
        <v>540210000</v>
      </c>
      <c r="P165" s="320"/>
      <c r="R165" s="321"/>
      <c r="S165" s="349"/>
      <c r="T165" s="349"/>
      <c r="U165" s="350"/>
    </row>
    <row r="166" spans="1:21" s="329" customFormat="1" ht="18" customHeight="1" x14ac:dyDescent="0.25">
      <c r="A166" s="323"/>
      <c r="B166" s="324"/>
      <c r="C166" s="379"/>
      <c r="D166" s="325" t="s">
        <v>207</v>
      </c>
      <c r="E166" s="326" t="s">
        <v>262</v>
      </c>
      <c r="F166" s="327">
        <f t="shared" si="78"/>
        <v>540210000</v>
      </c>
      <c r="G166" s="328">
        <f t="shared" si="78"/>
        <v>0</v>
      </c>
      <c r="H166" s="328">
        <f t="shared" si="78"/>
        <v>0</v>
      </c>
      <c r="I166" s="328">
        <f>+G166+H166</f>
        <v>0</v>
      </c>
      <c r="J166" s="328">
        <f t="shared" si="79"/>
        <v>0</v>
      </c>
      <c r="K166" s="328">
        <f t="shared" si="79"/>
        <v>0</v>
      </c>
      <c r="L166" s="328">
        <f>+J166+K166</f>
        <v>0</v>
      </c>
      <c r="M166" s="328">
        <f t="shared" ref="M166:M169" si="80">+I166+L166</f>
        <v>0</v>
      </c>
      <c r="N166" s="327">
        <f>+F166-M166</f>
        <v>540210000</v>
      </c>
      <c r="P166" s="330"/>
      <c r="R166" s="331"/>
      <c r="S166" s="351"/>
      <c r="T166" s="351"/>
      <c r="U166" s="333"/>
    </row>
    <row r="167" spans="1:21" s="381" customFormat="1" ht="18" customHeight="1" x14ac:dyDescent="0.25">
      <c r="A167" s="380"/>
      <c r="B167" s="352"/>
      <c r="C167" s="334"/>
      <c r="D167" s="335" t="s">
        <v>63</v>
      </c>
      <c r="E167" s="335" t="s">
        <v>30</v>
      </c>
      <c r="F167" s="337">
        <f t="shared" si="78"/>
        <v>540210000</v>
      </c>
      <c r="G167" s="344">
        <f t="shared" si="78"/>
        <v>0</v>
      </c>
      <c r="H167" s="344">
        <f t="shared" si="78"/>
        <v>0</v>
      </c>
      <c r="I167" s="344">
        <f>+G167+H167</f>
        <v>0</v>
      </c>
      <c r="J167" s="344">
        <f t="shared" si="79"/>
        <v>0</v>
      </c>
      <c r="K167" s="344">
        <f t="shared" si="79"/>
        <v>0</v>
      </c>
      <c r="L167" s="344">
        <f>+J167+K167</f>
        <v>0</v>
      </c>
      <c r="M167" s="344">
        <f t="shared" si="80"/>
        <v>0</v>
      </c>
      <c r="N167" s="337">
        <f>+F167-M167</f>
        <v>540210000</v>
      </c>
      <c r="P167" s="340"/>
      <c r="S167" s="347"/>
      <c r="T167" s="347"/>
      <c r="U167" s="382"/>
    </row>
    <row r="168" spans="1:21" s="339" customFormat="1" ht="18" customHeight="1" x14ac:dyDescent="0.25">
      <c r="A168" s="334"/>
      <c r="B168" s="335"/>
      <c r="C168" s="334"/>
      <c r="D168" s="365" t="s">
        <v>263</v>
      </c>
      <c r="E168" s="335" t="s">
        <v>264</v>
      </c>
      <c r="F168" s="337">
        <f t="shared" si="78"/>
        <v>540210000</v>
      </c>
      <c r="G168" s="344">
        <f>+G169</f>
        <v>0</v>
      </c>
      <c r="H168" s="344">
        <f>+H169</f>
        <v>0</v>
      </c>
      <c r="I168" s="344">
        <f>+G168+H168</f>
        <v>0</v>
      </c>
      <c r="J168" s="344">
        <f t="shared" si="79"/>
        <v>0</v>
      </c>
      <c r="K168" s="344">
        <f t="shared" si="79"/>
        <v>0</v>
      </c>
      <c r="L168" s="344">
        <f>+J168+K168</f>
        <v>0</v>
      </c>
      <c r="M168" s="344">
        <f t="shared" si="80"/>
        <v>0</v>
      </c>
      <c r="N168" s="337">
        <f>+F168-M168</f>
        <v>540210000</v>
      </c>
      <c r="P168" s="340"/>
      <c r="S168" s="347"/>
      <c r="T168" s="347"/>
      <c r="U168" s="342"/>
    </row>
    <row r="169" spans="1:21" s="381" customFormat="1" ht="18" customHeight="1" x14ac:dyDescent="0.25">
      <c r="A169" s="380"/>
      <c r="B169" s="352"/>
      <c r="C169" s="334"/>
      <c r="D169" s="335" t="s">
        <v>64</v>
      </c>
      <c r="E169" s="335" t="s">
        <v>65</v>
      </c>
      <c r="F169" s="337">
        <f>SUM(F170:F172)</f>
        <v>540210000</v>
      </c>
      <c r="G169" s="344">
        <f>SUM(G170:G172)</f>
        <v>0</v>
      </c>
      <c r="H169" s="344">
        <f>SUM(H170:H172)</f>
        <v>0</v>
      </c>
      <c r="I169" s="344">
        <f>+G169+H169</f>
        <v>0</v>
      </c>
      <c r="J169" s="344">
        <f>SUM(J170:J172)</f>
        <v>0</v>
      </c>
      <c r="K169" s="344">
        <f>SUM(K170:K172)</f>
        <v>0</v>
      </c>
      <c r="L169" s="344">
        <f>+J169+K169</f>
        <v>0</v>
      </c>
      <c r="M169" s="344">
        <f t="shared" si="80"/>
        <v>0</v>
      </c>
      <c r="N169" s="337">
        <f>+F169-M169</f>
        <v>540210000</v>
      </c>
      <c r="P169" s="340"/>
      <c r="S169" s="347"/>
      <c r="T169" s="347"/>
      <c r="U169" s="382"/>
    </row>
    <row r="170" spans="1:21" s="381" customFormat="1" ht="18" customHeight="1" x14ac:dyDescent="0.25">
      <c r="A170" s="380"/>
      <c r="B170" s="352"/>
      <c r="C170" s="334"/>
      <c r="D170" s="335" t="s">
        <v>388</v>
      </c>
      <c r="E170" s="335" t="s">
        <v>389</v>
      </c>
      <c r="F170" s="337">
        <v>57760000</v>
      </c>
      <c r="G170" s="344"/>
      <c r="H170" s="344"/>
      <c r="I170" s="344">
        <f t="shared" ref="I170" si="81">+G170+H170</f>
        <v>0</v>
      </c>
      <c r="J170" s="344"/>
      <c r="K170" s="344"/>
      <c r="L170" s="344">
        <f t="shared" ref="L170:L172" si="82">+J170+K170</f>
        <v>0</v>
      </c>
      <c r="M170" s="344">
        <f>+I170+L170</f>
        <v>0</v>
      </c>
      <c r="N170" s="337">
        <f t="shared" ref="N170:N172" si="83">+F170-M170</f>
        <v>57760000</v>
      </c>
      <c r="P170" s="340"/>
      <c r="S170" s="346"/>
      <c r="T170" s="347"/>
      <c r="U170" s="382"/>
    </row>
    <row r="171" spans="1:21" s="381" customFormat="1" ht="18" customHeight="1" x14ac:dyDescent="0.25">
      <c r="A171" s="380"/>
      <c r="B171" s="352"/>
      <c r="C171" s="334"/>
      <c r="D171" s="335" t="s">
        <v>70</v>
      </c>
      <c r="E171" s="335" t="s">
        <v>33</v>
      </c>
      <c r="F171" s="337">
        <v>382450000</v>
      </c>
      <c r="G171" s="344"/>
      <c r="H171" s="344"/>
      <c r="I171" s="344">
        <f>+G171+H171</f>
        <v>0</v>
      </c>
      <c r="J171" s="344"/>
      <c r="K171" s="344"/>
      <c r="L171" s="344">
        <f t="shared" si="82"/>
        <v>0</v>
      </c>
      <c r="M171" s="344">
        <f t="shared" ref="M171:M172" si="84">+I171+L171</f>
        <v>0</v>
      </c>
      <c r="N171" s="337">
        <f t="shared" si="83"/>
        <v>382450000</v>
      </c>
      <c r="P171" s="340"/>
      <c r="S171" s="346"/>
      <c r="T171" s="347"/>
      <c r="U171" s="382"/>
    </row>
    <row r="172" spans="1:21" s="388" customFormat="1" ht="18" customHeight="1" x14ac:dyDescent="0.25">
      <c r="A172" s="386"/>
      <c r="B172" s="387"/>
      <c r="C172" s="353"/>
      <c r="D172" s="355" t="s">
        <v>104</v>
      </c>
      <c r="E172" s="355" t="s">
        <v>390</v>
      </c>
      <c r="F172" s="356">
        <v>100000000</v>
      </c>
      <c r="G172" s="357"/>
      <c r="H172" s="357"/>
      <c r="I172" s="357"/>
      <c r="J172" s="357">
        <v>0</v>
      </c>
      <c r="K172" s="357"/>
      <c r="L172" s="357">
        <f t="shared" si="82"/>
        <v>0</v>
      </c>
      <c r="M172" s="357">
        <f t="shared" si="84"/>
        <v>0</v>
      </c>
      <c r="N172" s="356">
        <f t="shared" si="83"/>
        <v>100000000</v>
      </c>
      <c r="P172" s="200"/>
      <c r="S172" s="221"/>
      <c r="T172" s="221"/>
      <c r="U172" s="389"/>
    </row>
    <row r="173" spans="1:21" s="319" customFormat="1" ht="18" customHeight="1" x14ac:dyDescent="0.25">
      <c r="A173" s="276">
        <v>8</v>
      </c>
      <c r="B173" s="305"/>
      <c r="C173" s="390" t="s">
        <v>105</v>
      </c>
      <c r="D173" s="363"/>
      <c r="E173" s="364" t="s">
        <v>106</v>
      </c>
      <c r="F173" s="307">
        <f t="shared" ref="F173:H180" si="85">+F174</f>
        <v>1600450000</v>
      </c>
      <c r="G173" s="308">
        <f t="shared" si="85"/>
        <v>0</v>
      </c>
      <c r="H173" s="308">
        <f>+H174</f>
        <v>0</v>
      </c>
      <c r="I173" s="308">
        <f>+G173+H173</f>
        <v>0</v>
      </c>
      <c r="J173" s="308">
        <f t="shared" ref="J173:K180" si="86">+J174</f>
        <v>0</v>
      </c>
      <c r="K173" s="308">
        <f t="shared" si="86"/>
        <v>0</v>
      </c>
      <c r="L173" s="308">
        <f>+J173+K173</f>
        <v>0</v>
      </c>
      <c r="M173" s="308">
        <f>+I173+L173</f>
        <v>0</v>
      </c>
      <c r="N173" s="307">
        <f>+F173-M173</f>
        <v>1600450000</v>
      </c>
      <c r="P173" s="320"/>
      <c r="R173" s="321"/>
      <c r="S173" s="349"/>
      <c r="T173" s="349"/>
      <c r="U173" s="350"/>
    </row>
    <row r="174" spans="1:21" s="329" customFormat="1" ht="18" customHeight="1" x14ac:dyDescent="0.25">
      <c r="A174" s="323"/>
      <c r="B174" s="324"/>
      <c r="C174" s="379"/>
      <c r="D174" s="325" t="s">
        <v>207</v>
      </c>
      <c r="E174" s="326" t="s">
        <v>262</v>
      </c>
      <c r="F174" s="327">
        <f>+F175</f>
        <v>1600450000</v>
      </c>
      <c r="G174" s="328">
        <f t="shared" si="85"/>
        <v>0</v>
      </c>
      <c r="H174" s="328">
        <f t="shared" si="85"/>
        <v>0</v>
      </c>
      <c r="I174" s="328">
        <f>+G174+H174</f>
        <v>0</v>
      </c>
      <c r="J174" s="328">
        <f t="shared" si="86"/>
        <v>0</v>
      </c>
      <c r="K174" s="328">
        <f t="shared" si="86"/>
        <v>0</v>
      </c>
      <c r="L174" s="328">
        <f>+J174+K174</f>
        <v>0</v>
      </c>
      <c r="M174" s="328">
        <f t="shared" ref="M174:M182" si="87">+I174+L174</f>
        <v>0</v>
      </c>
      <c r="N174" s="327">
        <f>+F174-M174</f>
        <v>1600450000</v>
      </c>
      <c r="P174" s="330"/>
      <c r="R174" s="331"/>
      <c r="S174" s="351"/>
      <c r="T174" s="351"/>
      <c r="U174" s="333"/>
    </row>
    <row r="175" spans="1:21" s="381" customFormat="1" ht="18" customHeight="1" x14ac:dyDescent="0.25">
      <c r="A175" s="380"/>
      <c r="B175" s="352"/>
      <c r="C175" s="334"/>
      <c r="D175" s="335" t="s">
        <v>63</v>
      </c>
      <c r="E175" s="335" t="s">
        <v>30</v>
      </c>
      <c r="F175" s="337">
        <f>+F180+F176</f>
        <v>1600450000</v>
      </c>
      <c r="G175" s="344">
        <f>+G180</f>
        <v>0</v>
      </c>
      <c r="H175" s="344">
        <f>+H180+H176</f>
        <v>0</v>
      </c>
      <c r="I175" s="344">
        <f>+G175+H175</f>
        <v>0</v>
      </c>
      <c r="J175" s="344">
        <f>+J180+J176</f>
        <v>0</v>
      </c>
      <c r="K175" s="344">
        <f>+K180+K176</f>
        <v>0</v>
      </c>
      <c r="L175" s="344">
        <f>+J175+K175</f>
        <v>0</v>
      </c>
      <c r="M175" s="344">
        <f t="shared" si="87"/>
        <v>0</v>
      </c>
      <c r="N175" s="337">
        <f>+F175-M175</f>
        <v>1600450000</v>
      </c>
      <c r="P175" s="340"/>
      <c r="S175" s="347"/>
      <c r="T175" s="347"/>
      <c r="U175" s="382"/>
    </row>
    <row r="176" spans="1:21" s="339" customFormat="1" ht="18" customHeight="1" x14ac:dyDescent="0.25">
      <c r="A176" s="334"/>
      <c r="B176" s="335"/>
      <c r="C176" s="334"/>
      <c r="D176" s="365" t="s">
        <v>263</v>
      </c>
      <c r="E176" s="335" t="s">
        <v>264</v>
      </c>
      <c r="F176" s="337">
        <f>+F177</f>
        <v>32500000</v>
      </c>
      <c r="G176" s="344">
        <f>+G177</f>
        <v>0</v>
      </c>
      <c r="H176" s="344">
        <f>+H177</f>
        <v>0</v>
      </c>
      <c r="I176" s="344">
        <f>+G176+H176</f>
        <v>0</v>
      </c>
      <c r="J176" s="344">
        <f t="shared" si="86"/>
        <v>0</v>
      </c>
      <c r="K176" s="344">
        <f t="shared" si="86"/>
        <v>0</v>
      </c>
      <c r="L176" s="344">
        <f>+J176+K176</f>
        <v>0</v>
      </c>
      <c r="M176" s="344">
        <f t="shared" si="87"/>
        <v>0</v>
      </c>
      <c r="N176" s="337">
        <f>+F176-M176</f>
        <v>32500000</v>
      </c>
      <c r="P176" s="340"/>
      <c r="S176" s="347"/>
      <c r="T176" s="347"/>
      <c r="U176" s="342"/>
    </row>
    <row r="177" spans="1:21" s="381" customFormat="1" ht="18" customHeight="1" x14ac:dyDescent="0.25">
      <c r="A177" s="380"/>
      <c r="B177" s="352"/>
      <c r="C177" s="334"/>
      <c r="D177" s="335" t="s">
        <v>64</v>
      </c>
      <c r="E177" s="335" t="s">
        <v>65</v>
      </c>
      <c r="F177" s="337">
        <f>+F179+F178</f>
        <v>32500000</v>
      </c>
      <c r="G177" s="344">
        <f>+G179</f>
        <v>0</v>
      </c>
      <c r="H177" s="344">
        <f>SUM(H179)</f>
        <v>0</v>
      </c>
      <c r="I177" s="344">
        <f>+G177+H177</f>
        <v>0</v>
      </c>
      <c r="J177" s="344">
        <f>+J179</f>
        <v>0</v>
      </c>
      <c r="K177" s="344">
        <f>+K179</f>
        <v>0</v>
      </c>
      <c r="L177" s="344">
        <f>+J177+K177</f>
        <v>0</v>
      </c>
      <c r="M177" s="344">
        <f t="shared" si="87"/>
        <v>0</v>
      </c>
      <c r="N177" s="337">
        <f>+F177-M177</f>
        <v>32500000</v>
      </c>
      <c r="P177" s="340"/>
      <c r="S177" s="347"/>
      <c r="T177" s="347"/>
      <c r="U177" s="382"/>
    </row>
    <row r="178" spans="1:21" s="381" customFormat="1" ht="18" customHeight="1" x14ac:dyDescent="0.25">
      <c r="A178" s="380"/>
      <c r="B178" s="352"/>
      <c r="C178" s="334"/>
      <c r="D178" s="335" t="s">
        <v>443</v>
      </c>
      <c r="E178" s="335" t="s">
        <v>444</v>
      </c>
      <c r="F178" s="337">
        <v>17500000</v>
      </c>
      <c r="G178" s="344"/>
      <c r="H178" s="344"/>
      <c r="I178" s="344">
        <f t="shared" ref="I178:I179" si="88">+G178+H178</f>
        <v>0</v>
      </c>
      <c r="J178" s="344"/>
      <c r="K178" s="344"/>
      <c r="L178" s="344">
        <f t="shared" ref="L178:L179" si="89">+J178+K178</f>
        <v>0</v>
      </c>
      <c r="M178" s="344">
        <f t="shared" si="87"/>
        <v>0</v>
      </c>
      <c r="N178" s="337">
        <f t="shared" ref="N178:N179" si="90">+F178-M178</f>
        <v>17500000</v>
      </c>
      <c r="P178" s="340"/>
      <c r="S178" s="347"/>
      <c r="T178" s="347"/>
      <c r="U178" s="382"/>
    </row>
    <row r="179" spans="1:21" s="381" customFormat="1" ht="18" customHeight="1" x14ac:dyDescent="0.25">
      <c r="A179" s="380"/>
      <c r="B179" s="352"/>
      <c r="C179" s="334"/>
      <c r="D179" s="335" t="s">
        <v>447</v>
      </c>
      <c r="E179" s="335" t="s">
        <v>448</v>
      </c>
      <c r="F179" s="337">
        <v>15000000</v>
      </c>
      <c r="G179" s="344"/>
      <c r="H179" s="344"/>
      <c r="I179" s="344">
        <f t="shared" si="88"/>
        <v>0</v>
      </c>
      <c r="J179" s="344"/>
      <c r="K179" s="344"/>
      <c r="L179" s="344">
        <f t="shared" si="89"/>
        <v>0</v>
      </c>
      <c r="M179" s="344">
        <f t="shared" si="87"/>
        <v>0</v>
      </c>
      <c r="N179" s="337">
        <f t="shared" si="90"/>
        <v>15000000</v>
      </c>
      <c r="P179" s="340"/>
      <c r="S179" s="347"/>
      <c r="T179" s="347"/>
      <c r="U179" s="382"/>
    </row>
    <row r="180" spans="1:21" s="339" customFormat="1" ht="18" customHeight="1" x14ac:dyDescent="0.25">
      <c r="A180" s="334"/>
      <c r="B180" s="335"/>
      <c r="C180" s="334"/>
      <c r="D180" s="365" t="s">
        <v>265</v>
      </c>
      <c r="E180" s="335" t="s">
        <v>266</v>
      </c>
      <c r="F180" s="337">
        <f t="shared" si="85"/>
        <v>1567950000</v>
      </c>
      <c r="G180" s="344">
        <f>+G181</f>
        <v>0</v>
      </c>
      <c r="H180" s="344">
        <f>+H181</f>
        <v>0</v>
      </c>
      <c r="I180" s="344">
        <f>+G180+H180</f>
        <v>0</v>
      </c>
      <c r="J180" s="344">
        <f t="shared" si="86"/>
        <v>0</v>
      </c>
      <c r="K180" s="344">
        <f t="shared" si="86"/>
        <v>0</v>
      </c>
      <c r="L180" s="344">
        <f>+J180+K180</f>
        <v>0</v>
      </c>
      <c r="M180" s="344">
        <f t="shared" si="87"/>
        <v>0</v>
      </c>
      <c r="N180" s="337">
        <f>+F180-M180</f>
        <v>1567950000</v>
      </c>
      <c r="P180" s="340"/>
      <c r="S180" s="347"/>
      <c r="T180" s="347"/>
      <c r="U180" s="342"/>
    </row>
    <row r="181" spans="1:21" s="381" customFormat="1" ht="18" customHeight="1" x14ac:dyDescent="0.25">
      <c r="A181" s="380"/>
      <c r="B181" s="352"/>
      <c r="C181" s="334"/>
      <c r="D181" s="335" t="s">
        <v>71</v>
      </c>
      <c r="E181" s="335" t="s">
        <v>72</v>
      </c>
      <c r="F181" s="337">
        <f>SUM(F182:F183)</f>
        <v>1567950000</v>
      </c>
      <c r="G181" s="344">
        <f>SUM(G182:G183)</f>
        <v>0</v>
      </c>
      <c r="H181" s="344">
        <f>SUM(H182:H183)</f>
        <v>0</v>
      </c>
      <c r="I181" s="344">
        <f>+G181+H181</f>
        <v>0</v>
      </c>
      <c r="J181" s="344">
        <f>SUM(J182:J183)</f>
        <v>0</v>
      </c>
      <c r="K181" s="344">
        <f>SUM(K182:K183)</f>
        <v>0</v>
      </c>
      <c r="L181" s="344">
        <f>+J181+K181</f>
        <v>0</v>
      </c>
      <c r="M181" s="344">
        <f t="shared" si="87"/>
        <v>0</v>
      </c>
      <c r="N181" s="337">
        <f>+F181-M181</f>
        <v>1567950000</v>
      </c>
      <c r="P181" s="340"/>
      <c r="S181" s="347"/>
      <c r="T181" s="347"/>
      <c r="U181" s="382"/>
    </row>
    <row r="182" spans="1:21" s="381" customFormat="1" ht="18" customHeight="1" x14ac:dyDescent="0.25">
      <c r="A182" s="380"/>
      <c r="B182" s="352"/>
      <c r="C182" s="334"/>
      <c r="D182" s="335" t="s">
        <v>73</v>
      </c>
      <c r="E182" s="335" t="s">
        <v>74</v>
      </c>
      <c r="F182" s="337">
        <v>1501270000</v>
      </c>
      <c r="G182" s="344"/>
      <c r="H182" s="344"/>
      <c r="I182" s="344">
        <f t="shared" ref="I182" si="91">+G182+H182</f>
        <v>0</v>
      </c>
      <c r="J182" s="344"/>
      <c r="K182" s="344"/>
      <c r="L182" s="344">
        <f t="shared" ref="L182:L193" si="92">+J182+K182</f>
        <v>0</v>
      </c>
      <c r="M182" s="344">
        <f t="shared" si="87"/>
        <v>0</v>
      </c>
      <c r="N182" s="337">
        <f t="shared" ref="N182:N183" si="93">+F182-M182</f>
        <v>1501270000</v>
      </c>
      <c r="P182" s="340"/>
      <c r="S182" s="346"/>
      <c r="T182" s="346"/>
      <c r="U182" s="382"/>
    </row>
    <row r="183" spans="1:21" s="388" customFormat="1" ht="18" customHeight="1" x14ac:dyDescent="0.25">
      <c r="A183" s="386"/>
      <c r="B183" s="387"/>
      <c r="C183" s="353"/>
      <c r="D183" s="355" t="s">
        <v>88</v>
      </c>
      <c r="E183" s="355" t="s">
        <v>89</v>
      </c>
      <c r="F183" s="356">
        <v>66680000</v>
      </c>
      <c r="G183" s="357"/>
      <c r="H183" s="357"/>
      <c r="I183" s="357"/>
      <c r="J183" s="357"/>
      <c r="K183" s="357"/>
      <c r="L183" s="357">
        <f t="shared" si="92"/>
        <v>0</v>
      </c>
      <c r="M183" s="357">
        <f>+I183+L183</f>
        <v>0</v>
      </c>
      <c r="N183" s="356">
        <f t="shared" si="93"/>
        <v>66680000</v>
      </c>
      <c r="P183" s="200"/>
      <c r="S183" s="358"/>
      <c r="T183" s="221"/>
      <c r="U183" s="389"/>
    </row>
    <row r="184" spans="1:21" s="319" customFormat="1" ht="18" customHeight="1" x14ac:dyDescent="0.25">
      <c r="A184" s="276">
        <v>9</v>
      </c>
      <c r="B184" s="305"/>
      <c r="C184" s="390" t="s">
        <v>109</v>
      </c>
      <c r="D184" s="363"/>
      <c r="E184" s="364" t="s">
        <v>110</v>
      </c>
      <c r="F184" s="307">
        <f>+F185+F201</f>
        <v>200844000</v>
      </c>
      <c r="G184" s="308">
        <f>+G185+G201</f>
        <v>0</v>
      </c>
      <c r="H184" s="308">
        <f>+H185+H201</f>
        <v>0</v>
      </c>
      <c r="I184" s="308">
        <f>+G184+H184</f>
        <v>0</v>
      </c>
      <c r="J184" s="308">
        <f>+J185+J201</f>
        <v>0</v>
      </c>
      <c r="K184" s="308">
        <f>+K185+K201</f>
        <v>6240000</v>
      </c>
      <c r="L184" s="308">
        <f t="shared" si="92"/>
        <v>6240000</v>
      </c>
      <c r="M184" s="308">
        <f>+I184+L184</f>
        <v>6240000</v>
      </c>
      <c r="N184" s="307">
        <f>+F184-M184</f>
        <v>194604000</v>
      </c>
      <c r="P184" s="320"/>
      <c r="R184" s="321"/>
      <c r="S184" s="349"/>
      <c r="T184" s="349"/>
      <c r="U184" s="350"/>
    </row>
    <row r="185" spans="1:21" s="329" customFormat="1" ht="18" customHeight="1" x14ac:dyDescent="0.25">
      <c r="A185" s="323"/>
      <c r="B185" s="324"/>
      <c r="C185" s="379"/>
      <c r="D185" s="325" t="s">
        <v>207</v>
      </c>
      <c r="E185" s="326" t="s">
        <v>262</v>
      </c>
      <c r="F185" s="327">
        <f>+F186</f>
        <v>174844000</v>
      </c>
      <c r="G185" s="328">
        <f>+G186</f>
        <v>0</v>
      </c>
      <c r="H185" s="328">
        <f>+H186</f>
        <v>0</v>
      </c>
      <c r="I185" s="328">
        <f>+G185+H185</f>
        <v>0</v>
      </c>
      <c r="J185" s="328">
        <f>+J186</f>
        <v>0</v>
      </c>
      <c r="K185" s="328">
        <f>+K186</f>
        <v>6240000</v>
      </c>
      <c r="L185" s="328">
        <f t="shared" si="92"/>
        <v>6240000</v>
      </c>
      <c r="M185" s="328">
        <f>+I185+L185</f>
        <v>6240000</v>
      </c>
      <c r="N185" s="327">
        <f>+F185-M185</f>
        <v>168604000</v>
      </c>
      <c r="P185" s="330"/>
      <c r="R185" s="331"/>
      <c r="S185" s="351"/>
      <c r="T185" s="351"/>
      <c r="U185" s="333"/>
    </row>
    <row r="186" spans="1:21" s="381" customFormat="1" ht="18" customHeight="1" x14ac:dyDescent="0.25">
      <c r="A186" s="380"/>
      <c r="B186" s="352"/>
      <c r="C186" s="334"/>
      <c r="D186" s="335" t="s">
        <v>63</v>
      </c>
      <c r="E186" s="335" t="s">
        <v>30</v>
      </c>
      <c r="F186" s="337">
        <f>+F187+F194+F198</f>
        <v>174844000</v>
      </c>
      <c r="G186" s="344">
        <f>+G187+G194</f>
        <v>0</v>
      </c>
      <c r="H186" s="344">
        <f>+H187+H194</f>
        <v>0</v>
      </c>
      <c r="I186" s="344">
        <f>+G186+H186</f>
        <v>0</v>
      </c>
      <c r="J186" s="344">
        <f>+J187+J194</f>
        <v>0</v>
      </c>
      <c r="K186" s="344">
        <f>+K187+K194</f>
        <v>6240000</v>
      </c>
      <c r="L186" s="344">
        <f t="shared" si="92"/>
        <v>6240000</v>
      </c>
      <c r="M186" s="344">
        <f t="shared" ref="M186:M196" si="94">+I186+L186</f>
        <v>6240000</v>
      </c>
      <c r="N186" s="337">
        <f>+F186-M186</f>
        <v>168604000</v>
      </c>
      <c r="P186" s="340"/>
      <c r="S186" s="347"/>
      <c r="T186" s="347"/>
      <c r="U186" s="382"/>
    </row>
    <row r="187" spans="1:21" s="339" customFormat="1" ht="18" customHeight="1" x14ac:dyDescent="0.25">
      <c r="A187" s="334"/>
      <c r="B187" s="335"/>
      <c r="C187" s="334"/>
      <c r="D187" s="365" t="s">
        <v>263</v>
      </c>
      <c r="E187" s="335" t="s">
        <v>264</v>
      </c>
      <c r="F187" s="337">
        <f t="shared" ref="F187" si="95">+F188</f>
        <v>44044000</v>
      </c>
      <c r="G187" s="344">
        <f>+G188</f>
        <v>0</v>
      </c>
      <c r="H187" s="344">
        <f>+H188</f>
        <v>0</v>
      </c>
      <c r="I187" s="344">
        <f>+G187+H187</f>
        <v>0</v>
      </c>
      <c r="J187" s="344">
        <f>+J188</f>
        <v>0</v>
      </c>
      <c r="K187" s="344">
        <f>+K188</f>
        <v>0</v>
      </c>
      <c r="L187" s="344">
        <f t="shared" si="92"/>
        <v>0</v>
      </c>
      <c r="M187" s="344">
        <f t="shared" si="94"/>
        <v>0</v>
      </c>
      <c r="N187" s="337">
        <f>+F187-M187</f>
        <v>44044000</v>
      </c>
      <c r="P187" s="340"/>
      <c r="S187" s="347"/>
      <c r="T187" s="347"/>
      <c r="U187" s="342"/>
    </row>
    <row r="188" spans="1:21" s="381" customFormat="1" ht="18" customHeight="1" x14ac:dyDescent="0.25">
      <c r="A188" s="380"/>
      <c r="B188" s="352"/>
      <c r="C188" s="334"/>
      <c r="D188" s="335" t="s">
        <v>64</v>
      </c>
      <c r="E188" s="335" t="s">
        <v>65</v>
      </c>
      <c r="F188" s="337">
        <f>SUM(F189:F193)</f>
        <v>44044000</v>
      </c>
      <c r="G188" s="344">
        <f>SUM(G189:G193)</f>
        <v>0</v>
      </c>
      <c r="H188" s="344">
        <f>SUM(H189:H193)</f>
        <v>0</v>
      </c>
      <c r="I188" s="344">
        <f>+G188+H188</f>
        <v>0</v>
      </c>
      <c r="J188" s="344">
        <f>SUM(J189:J193)</f>
        <v>0</v>
      </c>
      <c r="K188" s="344">
        <f>SUM(K189:K193)</f>
        <v>0</v>
      </c>
      <c r="L188" s="344">
        <f t="shared" si="92"/>
        <v>0</v>
      </c>
      <c r="M188" s="344">
        <f t="shared" si="94"/>
        <v>0</v>
      </c>
      <c r="N188" s="337">
        <f>+F188-M188</f>
        <v>44044000</v>
      </c>
      <c r="P188" s="340"/>
      <c r="S188" s="347"/>
      <c r="T188" s="347"/>
      <c r="U188" s="382"/>
    </row>
    <row r="189" spans="1:21" s="381" customFormat="1" ht="18" customHeight="1" x14ac:dyDescent="0.25">
      <c r="A189" s="380"/>
      <c r="B189" s="352"/>
      <c r="C189" s="334"/>
      <c r="D189" s="335" t="s">
        <v>66</v>
      </c>
      <c r="E189" s="335" t="s">
        <v>67</v>
      </c>
      <c r="F189" s="337">
        <v>24037500</v>
      </c>
      <c r="G189" s="344"/>
      <c r="H189" s="344"/>
      <c r="I189" s="344">
        <f t="shared" ref="I189" si="96">+G189+H189</f>
        <v>0</v>
      </c>
      <c r="J189" s="344"/>
      <c r="K189" s="344"/>
      <c r="L189" s="344">
        <f t="shared" si="92"/>
        <v>0</v>
      </c>
      <c r="M189" s="357">
        <f t="shared" si="94"/>
        <v>0</v>
      </c>
      <c r="N189" s="337">
        <f t="shared" ref="N189:N193" si="97">+F189-M189</f>
        <v>24037500</v>
      </c>
      <c r="P189" s="340"/>
      <c r="S189" s="347"/>
      <c r="T189" s="347"/>
      <c r="U189" s="382"/>
    </row>
    <row r="190" spans="1:21" s="381" customFormat="1" ht="18" customHeight="1" x14ac:dyDescent="0.25">
      <c r="A190" s="380"/>
      <c r="B190" s="352"/>
      <c r="C190" s="334"/>
      <c r="D190" s="335" t="s">
        <v>337</v>
      </c>
      <c r="E190" s="335" t="s">
        <v>338</v>
      </c>
      <c r="F190" s="337">
        <v>12104000</v>
      </c>
      <c r="G190" s="344"/>
      <c r="H190" s="344"/>
      <c r="I190" s="344"/>
      <c r="J190" s="344"/>
      <c r="K190" s="344"/>
      <c r="L190" s="344">
        <f t="shared" si="92"/>
        <v>0</v>
      </c>
      <c r="M190" s="357">
        <f t="shared" si="94"/>
        <v>0</v>
      </c>
      <c r="N190" s="337">
        <f t="shared" si="97"/>
        <v>12104000</v>
      </c>
      <c r="P190" s="340"/>
      <c r="S190" s="347"/>
      <c r="T190" s="347"/>
      <c r="U190" s="382"/>
    </row>
    <row r="191" spans="1:21" s="381" customFormat="1" ht="18" customHeight="1" x14ac:dyDescent="0.25">
      <c r="A191" s="380"/>
      <c r="B191" s="352"/>
      <c r="C191" s="334"/>
      <c r="D191" s="335" t="s">
        <v>367</v>
      </c>
      <c r="E191" s="335" t="s">
        <v>368</v>
      </c>
      <c r="F191" s="337">
        <v>3142500</v>
      </c>
      <c r="G191" s="344"/>
      <c r="H191" s="344"/>
      <c r="I191" s="344"/>
      <c r="J191" s="344"/>
      <c r="K191" s="344"/>
      <c r="L191" s="344">
        <f t="shared" si="92"/>
        <v>0</v>
      </c>
      <c r="M191" s="357">
        <f t="shared" si="94"/>
        <v>0</v>
      </c>
      <c r="N191" s="337">
        <f t="shared" si="97"/>
        <v>3142500</v>
      </c>
      <c r="P191" s="340"/>
      <c r="S191" s="347"/>
      <c r="T191" s="347"/>
      <c r="U191" s="382"/>
    </row>
    <row r="192" spans="1:21" s="381" customFormat="1" ht="18" customHeight="1" x14ac:dyDescent="0.25">
      <c r="A192" s="380"/>
      <c r="B192" s="352"/>
      <c r="C192" s="334"/>
      <c r="D192" s="335" t="s">
        <v>373</v>
      </c>
      <c r="E192" s="335" t="s">
        <v>392</v>
      </c>
      <c r="F192" s="337">
        <v>560000</v>
      </c>
      <c r="G192" s="344"/>
      <c r="H192" s="344"/>
      <c r="I192" s="344"/>
      <c r="J192" s="344"/>
      <c r="K192" s="344"/>
      <c r="L192" s="344">
        <f t="shared" si="92"/>
        <v>0</v>
      </c>
      <c r="M192" s="357">
        <f t="shared" si="94"/>
        <v>0</v>
      </c>
      <c r="N192" s="337">
        <f t="shared" si="97"/>
        <v>560000</v>
      </c>
      <c r="P192" s="340"/>
      <c r="S192" s="347"/>
      <c r="T192" s="347"/>
      <c r="U192" s="382"/>
    </row>
    <row r="193" spans="1:21" s="381" customFormat="1" ht="18" customHeight="1" x14ac:dyDescent="0.25">
      <c r="A193" s="380"/>
      <c r="B193" s="352"/>
      <c r="C193" s="334"/>
      <c r="D193" s="335" t="s">
        <v>70</v>
      </c>
      <c r="E193" s="335" t="s">
        <v>33</v>
      </c>
      <c r="F193" s="337">
        <v>4200000</v>
      </c>
      <c r="G193" s="344"/>
      <c r="H193" s="344"/>
      <c r="I193" s="344"/>
      <c r="J193" s="344"/>
      <c r="K193" s="344"/>
      <c r="L193" s="344">
        <f t="shared" si="92"/>
        <v>0</v>
      </c>
      <c r="M193" s="357">
        <f t="shared" si="94"/>
        <v>0</v>
      </c>
      <c r="N193" s="337">
        <f t="shared" si="97"/>
        <v>4200000</v>
      </c>
      <c r="P193" s="340"/>
      <c r="S193" s="347"/>
      <c r="T193" s="347"/>
      <c r="U193" s="382"/>
    </row>
    <row r="194" spans="1:21" s="339" customFormat="1" ht="18" customHeight="1" x14ac:dyDescent="0.25">
      <c r="A194" s="334"/>
      <c r="B194" s="335"/>
      <c r="C194" s="334"/>
      <c r="D194" s="365" t="s">
        <v>271</v>
      </c>
      <c r="E194" s="335" t="s">
        <v>272</v>
      </c>
      <c r="F194" s="337">
        <f t="shared" ref="F194" si="98">+F195</f>
        <v>78300000</v>
      </c>
      <c r="G194" s="344">
        <f>+G195</f>
        <v>0</v>
      </c>
      <c r="H194" s="344">
        <f>+H195</f>
        <v>0</v>
      </c>
      <c r="I194" s="344">
        <f>+G194+H194</f>
        <v>0</v>
      </c>
      <c r="J194" s="344">
        <f>+J195</f>
        <v>0</v>
      </c>
      <c r="K194" s="344">
        <f>+K195</f>
        <v>6240000</v>
      </c>
      <c r="L194" s="344">
        <f>+J194+K194</f>
        <v>6240000</v>
      </c>
      <c r="M194" s="344">
        <f t="shared" si="94"/>
        <v>6240000</v>
      </c>
      <c r="N194" s="337">
        <f>+F194-M194</f>
        <v>72060000</v>
      </c>
      <c r="P194" s="340"/>
      <c r="S194" s="347"/>
      <c r="T194" s="347"/>
      <c r="U194" s="342"/>
    </row>
    <row r="195" spans="1:21" s="381" customFormat="1" ht="18" customHeight="1" x14ac:dyDescent="0.25">
      <c r="A195" s="380"/>
      <c r="B195" s="352"/>
      <c r="C195" s="334"/>
      <c r="D195" s="335" t="s">
        <v>81</v>
      </c>
      <c r="E195" s="335" t="s">
        <v>31</v>
      </c>
      <c r="F195" s="337">
        <f>SUM(F196:F197)</f>
        <v>78300000</v>
      </c>
      <c r="G195" s="344">
        <f>SUM(G197:G197)</f>
        <v>0</v>
      </c>
      <c r="H195" s="344">
        <f>+H197</f>
        <v>0</v>
      </c>
      <c r="I195" s="344">
        <f>+G195+H195</f>
        <v>0</v>
      </c>
      <c r="J195" s="344">
        <f>SUM(J197:J197)</f>
        <v>0</v>
      </c>
      <c r="K195" s="344">
        <f>+K197</f>
        <v>6240000</v>
      </c>
      <c r="L195" s="344">
        <f>+J195+K195</f>
        <v>6240000</v>
      </c>
      <c r="M195" s="344">
        <f t="shared" si="94"/>
        <v>6240000</v>
      </c>
      <c r="N195" s="337">
        <f>+F195-M195</f>
        <v>72060000</v>
      </c>
      <c r="P195" s="340"/>
      <c r="S195" s="347"/>
      <c r="T195" s="347"/>
      <c r="U195" s="382"/>
    </row>
    <row r="196" spans="1:21" s="381" customFormat="1" ht="18" customHeight="1" x14ac:dyDescent="0.25">
      <c r="A196" s="380"/>
      <c r="B196" s="352"/>
      <c r="C196" s="334"/>
      <c r="D196" s="335" t="s">
        <v>451</v>
      </c>
      <c r="E196" s="335" t="s">
        <v>452</v>
      </c>
      <c r="F196" s="337">
        <v>1500000</v>
      </c>
      <c r="G196" s="344"/>
      <c r="H196" s="344"/>
      <c r="I196" s="344">
        <f t="shared" ref="I196" si="99">+G196+H196</f>
        <v>0</v>
      </c>
      <c r="J196" s="344"/>
      <c r="K196" s="344"/>
      <c r="L196" s="344">
        <f t="shared" ref="L196" si="100">+J196+K196</f>
        <v>0</v>
      </c>
      <c r="M196" s="344">
        <f t="shared" si="94"/>
        <v>0</v>
      </c>
      <c r="N196" s="337">
        <f t="shared" ref="N196:N197" si="101">+F196-M196</f>
        <v>1500000</v>
      </c>
      <c r="P196" s="340"/>
      <c r="S196" s="347"/>
      <c r="T196" s="347"/>
      <c r="U196" s="382"/>
    </row>
    <row r="197" spans="1:21" s="381" customFormat="1" ht="18" customHeight="1" x14ac:dyDescent="0.25">
      <c r="A197" s="380"/>
      <c r="B197" s="352"/>
      <c r="C197" s="334"/>
      <c r="D197" s="335" t="s">
        <v>82</v>
      </c>
      <c r="E197" s="335" t="s">
        <v>83</v>
      </c>
      <c r="F197" s="337">
        <v>76800000</v>
      </c>
      <c r="G197" s="344"/>
      <c r="H197" s="344"/>
      <c r="I197" s="344">
        <f>+G197+H197</f>
        <v>0</v>
      </c>
      <c r="J197" s="344"/>
      <c r="K197" s="344">
        <v>6240000</v>
      </c>
      <c r="L197" s="344">
        <f>+J197+K197</f>
        <v>6240000</v>
      </c>
      <c r="M197" s="344">
        <f>+I197+L197</f>
        <v>6240000</v>
      </c>
      <c r="N197" s="337">
        <f t="shared" si="101"/>
        <v>70560000</v>
      </c>
      <c r="P197" s="340"/>
      <c r="S197" s="346"/>
      <c r="T197" s="347"/>
      <c r="U197" s="382"/>
    </row>
    <row r="198" spans="1:21" s="339" customFormat="1" ht="18" customHeight="1" x14ac:dyDescent="0.25">
      <c r="A198" s="334"/>
      <c r="B198" s="335"/>
      <c r="C198" s="334"/>
      <c r="D198" s="365" t="s">
        <v>275</v>
      </c>
      <c r="E198" s="335" t="s">
        <v>276</v>
      </c>
      <c r="F198" s="337">
        <f>+F199</f>
        <v>52500000</v>
      </c>
      <c r="G198" s="344">
        <f>+G199</f>
        <v>0</v>
      </c>
      <c r="H198" s="344">
        <f>+H199</f>
        <v>0</v>
      </c>
      <c r="I198" s="344">
        <f>+G198+H198</f>
        <v>0</v>
      </c>
      <c r="J198" s="344">
        <f>+J199</f>
        <v>0</v>
      </c>
      <c r="K198" s="344">
        <f>+K199</f>
        <v>0</v>
      </c>
      <c r="L198" s="344">
        <f>+J198+K198</f>
        <v>0</v>
      </c>
      <c r="M198" s="344">
        <f t="shared" ref="M198:M205" si="102">+I198+L198</f>
        <v>0</v>
      </c>
      <c r="N198" s="337">
        <f>+F198-M198</f>
        <v>52500000</v>
      </c>
      <c r="P198" s="340"/>
      <c r="S198" s="347"/>
      <c r="T198" s="347"/>
      <c r="U198" s="342"/>
    </row>
    <row r="199" spans="1:21" s="381" customFormat="1" ht="18" customHeight="1" x14ac:dyDescent="0.25">
      <c r="A199" s="380"/>
      <c r="B199" s="352"/>
      <c r="C199" s="334"/>
      <c r="D199" s="335" t="s">
        <v>150</v>
      </c>
      <c r="E199" s="335" t="s">
        <v>32</v>
      </c>
      <c r="F199" s="337">
        <f>+F200</f>
        <v>52500000</v>
      </c>
      <c r="G199" s="344">
        <f>SUM(G201:G201)</f>
        <v>0</v>
      </c>
      <c r="H199" s="344">
        <f>+H201</f>
        <v>0</v>
      </c>
      <c r="I199" s="344">
        <f>+G199+H199</f>
        <v>0</v>
      </c>
      <c r="J199" s="344">
        <f>SUM(J201:J201)</f>
        <v>0</v>
      </c>
      <c r="K199" s="344">
        <f>+K201</f>
        <v>0</v>
      </c>
      <c r="L199" s="344">
        <f>+J199+K199</f>
        <v>0</v>
      </c>
      <c r="M199" s="344">
        <f t="shared" si="102"/>
        <v>0</v>
      </c>
      <c r="N199" s="337">
        <f>+F199-M199</f>
        <v>52500000</v>
      </c>
      <c r="P199" s="340"/>
      <c r="S199" s="347"/>
      <c r="T199" s="347"/>
      <c r="U199" s="382"/>
    </row>
    <row r="200" spans="1:21" s="381" customFormat="1" ht="36" customHeight="1" x14ac:dyDescent="0.25">
      <c r="A200" s="380"/>
      <c r="B200" s="352"/>
      <c r="C200" s="334"/>
      <c r="D200" s="335" t="s">
        <v>462</v>
      </c>
      <c r="E200" s="391" t="s">
        <v>463</v>
      </c>
      <c r="F200" s="337">
        <v>52500000</v>
      </c>
      <c r="G200" s="344"/>
      <c r="H200" s="344"/>
      <c r="I200" s="344">
        <f t="shared" ref="I200" si="103">+G200+H200</f>
        <v>0</v>
      </c>
      <c r="J200" s="344"/>
      <c r="K200" s="344"/>
      <c r="L200" s="344">
        <f t="shared" ref="L200" si="104">+J200+K200</f>
        <v>0</v>
      </c>
      <c r="M200" s="344">
        <f t="shared" si="102"/>
        <v>0</v>
      </c>
      <c r="N200" s="337">
        <f t="shared" ref="N200" si="105">+F200-M200</f>
        <v>52500000</v>
      </c>
      <c r="P200" s="340"/>
      <c r="S200" s="347"/>
      <c r="T200" s="347"/>
      <c r="U200" s="382"/>
    </row>
    <row r="201" spans="1:21" s="381" customFormat="1" ht="18" customHeight="1" x14ac:dyDescent="0.25">
      <c r="A201" s="380"/>
      <c r="B201" s="383"/>
      <c r="C201" s="384"/>
      <c r="D201" s="365" t="s">
        <v>267</v>
      </c>
      <c r="E201" s="335" t="s">
        <v>268</v>
      </c>
      <c r="F201" s="337">
        <f t="shared" ref="F201:H203" si="106">+F202</f>
        <v>26000000</v>
      </c>
      <c r="G201" s="344">
        <f t="shared" si="106"/>
        <v>0</v>
      </c>
      <c r="H201" s="344">
        <f t="shared" si="106"/>
        <v>0</v>
      </c>
      <c r="I201" s="344">
        <f>+G201+H201</f>
        <v>0</v>
      </c>
      <c r="J201" s="344">
        <f t="shared" ref="J201:K204" si="107">+J202</f>
        <v>0</v>
      </c>
      <c r="K201" s="344">
        <f t="shared" si="107"/>
        <v>0</v>
      </c>
      <c r="L201" s="344">
        <f>+J201+K201</f>
        <v>0</v>
      </c>
      <c r="M201" s="344">
        <f t="shared" si="102"/>
        <v>0</v>
      </c>
      <c r="N201" s="337">
        <f>+F201-M201</f>
        <v>26000000</v>
      </c>
      <c r="P201" s="340"/>
      <c r="R201" s="385"/>
      <c r="S201" s="347"/>
      <c r="T201" s="347"/>
      <c r="U201" s="382"/>
    </row>
    <row r="202" spans="1:21" s="381" customFormat="1" ht="18" customHeight="1" x14ac:dyDescent="0.25">
      <c r="A202" s="380"/>
      <c r="B202" s="352"/>
      <c r="C202" s="334"/>
      <c r="D202" s="335" t="s">
        <v>78</v>
      </c>
      <c r="E202" s="335" t="s">
        <v>75</v>
      </c>
      <c r="F202" s="337">
        <f t="shared" si="106"/>
        <v>26000000</v>
      </c>
      <c r="G202" s="344">
        <f t="shared" si="106"/>
        <v>0</v>
      </c>
      <c r="H202" s="344">
        <f t="shared" si="106"/>
        <v>0</v>
      </c>
      <c r="I202" s="344">
        <f t="shared" ref="I202:I205" si="108">+G202+H202</f>
        <v>0</v>
      </c>
      <c r="J202" s="344">
        <f t="shared" si="107"/>
        <v>0</v>
      </c>
      <c r="K202" s="344">
        <f t="shared" si="107"/>
        <v>0</v>
      </c>
      <c r="L202" s="344">
        <f t="shared" ref="L202:L203" si="109">+J202+K202</f>
        <v>0</v>
      </c>
      <c r="M202" s="344">
        <f t="shared" si="102"/>
        <v>0</v>
      </c>
      <c r="N202" s="337">
        <f>+F202-M202</f>
        <v>26000000</v>
      </c>
      <c r="P202" s="340"/>
      <c r="S202" s="347"/>
      <c r="T202" s="347"/>
      <c r="U202" s="382"/>
    </row>
    <row r="203" spans="1:21" s="339" customFormat="1" ht="18" customHeight="1" x14ac:dyDescent="0.25">
      <c r="A203" s="334"/>
      <c r="B203" s="335"/>
      <c r="C203" s="334"/>
      <c r="D203" s="365" t="s">
        <v>269</v>
      </c>
      <c r="E203" s="335" t="s">
        <v>270</v>
      </c>
      <c r="F203" s="337">
        <f t="shared" si="106"/>
        <v>26000000</v>
      </c>
      <c r="G203" s="344">
        <f>+G204</f>
        <v>0</v>
      </c>
      <c r="H203" s="344">
        <f>+H204</f>
        <v>0</v>
      </c>
      <c r="I203" s="344">
        <f t="shared" si="108"/>
        <v>0</v>
      </c>
      <c r="J203" s="344">
        <f t="shared" si="107"/>
        <v>0</v>
      </c>
      <c r="K203" s="344">
        <f t="shared" si="107"/>
        <v>0</v>
      </c>
      <c r="L203" s="344">
        <f t="shared" si="109"/>
        <v>0</v>
      </c>
      <c r="M203" s="344">
        <f t="shared" si="102"/>
        <v>0</v>
      </c>
      <c r="N203" s="337">
        <f>+F203-M203</f>
        <v>26000000</v>
      </c>
      <c r="P203" s="340"/>
      <c r="S203" s="347"/>
      <c r="T203" s="347"/>
      <c r="U203" s="342"/>
    </row>
    <row r="204" spans="1:21" s="381" customFormat="1" ht="18" customHeight="1" x14ac:dyDescent="0.25">
      <c r="A204" s="380"/>
      <c r="B204" s="352"/>
      <c r="C204" s="334"/>
      <c r="D204" s="335" t="s">
        <v>76</v>
      </c>
      <c r="E204" s="335" t="s">
        <v>77</v>
      </c>
      <c r="F204" s="337">
        <f>SUM(F205)</f>
        <v>26000000</v>
      </c>
      <c r="G204" s="344">
        <f>+G205</f>
        <v>0</v>
      </c>
      <c r="H204" s="344">
        <f>+H205</f>
        <v>0</v>
      </c>
      <c r="I204" s="344">
        <f>+G204+H204</f>
        <v>0</v>
      </c>
      <c r="J204" s="344">
        <f t="shared" si="107"/>
        <v>0</v>
      </c>
      <c r="K204" s="344">
        <f t="shared" si="107"/>
        <v>0</v>
      </c>
      <c r="L204" s="344">
        <f>+J204+K204</f>
        <v>0</v>
      </c>
      <c r="M204" s="344">
        <f t="shared" si="102"/>
        <v>0</v>
      </c>
      <c r="N204" s="337">
        <f>+F204-M204</f>
        <v>26000000</v>
      </c>
      <c r="P204" s="340"/>
      <c r="S204" s="347"/>
      <c r="T204" s="347"/>
      <c r="U204" s="382"/>
    </row>
    <row r="205" spans="1:21" s="388" customFormat="1" ht="18" customHeight="1" x14ac:dyDescent="0.25">
      <c r="A205" s="386"/>
      <c r="B205" s="387"/>
      <c r="C205" s="353"/>
      <c r="D205" s="355" t="s">
        <v>393</v>
      </c>
      <c r="E205" s="355" t="s">
        <v>394</v>
      </c>
      <c r="F205" s="356">
        <v>26000000</v>
      </c>
      <c r="G205" s="357"/>
      <c r="H205" s="357"/>
      <c r="I205" s="357">
        <f t="shared" si="108"/>
        <v>0</v>
      </c>
      <c r="J205" s="357"/>
      <c r="K205" s="357"/>
      <c r="L205" s="357">
        <f t="shared" ref="L205" si="110">+J205+K205</f>
        <v>0</v>
      </c>
      <c r="M205" s="357">
        <f t="shared" si="102"/>
        <v>0</v>
      </c>
      <c r="N205" s="356">
        <f t="shared" ref="N205" si="111">+F205-M205</f>
        <v>26000000</v>
      </c>
      <c r="P205" s="200"/>
      <c r="S205" s="221"/>
      <c r="T205" s="221"/>
      <c r="U205" s="389"/>
    </row>
    <row r="206" spans="1:21" s="319" customFormat="1" ht="18" customHeight="1" x14ac:dyDescent="0.25">
      <c r="A206" s="276">
        <v>10</v>
      </c>
      <c r="B206" s="305"/>
      <c r="C206" s="390" t="s">
        <v>112</v>
      </c>
      <c r="D206" s="363"/>
      <c r="E206" s="364" t="s">
        <v>113</v>
      </c>
      <c r="F206" s="307">
        <f>+F207+F221</f>
        <v>810211500</v>
      </c>
      <c r="G206" s="308">
        <f>G207+G221</f>
        <v>0</v>
      </c>
      <c r="H206" s="308">
        <f>H207+H221</f>
        <v>0</v>
      </c>
      <c r="I206" s="308">
        <f>+G206+H206</f>
        <v>0</v>
      </c>
      <c r="J206" s="308">
        <f>J207+J221</f>
        <v>0</v>
      </c>
      <c r="K206" s="308">
        <f>K207+K221</f>
        <v>1600000</v>
      </c>
      <c r="L206" s="308">
        <f>+J206+K206</f>
        <v>1600000</v>
      </c>
      <c r="M206" s="308">
        <f>+I206+L206</f>
        <v>1600000</v>
      </c>
      <c r="N206" s="307">
        <f>+F206-M206</f>
        <v>808611500</v>
      </c>
      <c r="P206" s="320"/>
      <c r="R206" s="321"/>
      <c r="S206" s="349"/>
      <c r="T206" s="349"/>
      <c r="U206" s="350"/>
    </row>
    <row r="207" spans="1:21" s="329" customFormat="1" ht="18" customHeight="1" x14ac:dyDescent="0.25">
      <c r="A207" s="323"/>
      <c r="B207" s="324"/>
      <c r="C207" s="379"/>
      <c r="D207" s="325" t="s">
        <v>207</v>
      </c>
      <c r="E207" s="326" t="s">
        <v>262</v>
      </c>
      <c r="F207" s="327">
        <f>+F208</f>
        <v>441471500</v>
      </c>
      <c r="G207" s="328">
        <f>+G208</f>
        <v>0</v>
      </c>
      <c r="H207" s="328">
        <f>+H208</f>
        <v>0</v>
      </c>
      <c r="I207" s="328">
        <f>+G207+H207</f>
        <v>0</v>
      </c>
      <c r="J207" s="328">
        <f>+J208</f>
        <v>0</v>
      </c>
      <c r="K207" s="328">
        <f>+K208</f>
        <v>1600000</v>
      </c>
      <c r="L207" s="328">
        <f>+J207+K207</f>
        <v>1600000</v>
      </c>
      <c r="M207" s="328">
        <f t="shared" ref="M207:M220" si="112">+I207+L207</f>
        <v>1600000</v>
      </c>
      <c r="N207" s="327">
        <f>+F207-M207</f>
        <v>439871500</v>
      </c>
      <c r="P207" s="330"/>
      <c r="R207" s="331"/>
      <c r="S207" s="351"/>
      <c r="T207" s="351"/>
      <c r="U207" s="333"/>
    </row>
    <row r="208" spans="1:21" s="381" customFormat="1" ht="18" customHeight="1" x14ac:dyDescent="0.25">
      <c r="A208" s="380"/>
      <c r="B208" s="352"/>
      <c r="C208" s="334"/>
      <c r="D208" s="335" t="s">
        <v>63</v>
      </c>
      <c r="E208" s="335" t="s">
        <v>30</v>
      </c>
      <c r="F208" s="337">
        <f>+F209+F212+F216</f>
        <v>441471500</v>
      </c>
      <c r="G208" s="344">
        <f>+G209+G212+G216</f>
        <v>0</v>
      </c>
      <c r="H208" s="344">
        <f>+H209+H212+H216</f>
        <v>0</v>
      </c>
      <c r="I208" s="344">
        <f t="shared" ref="I208:I218" si="113">+G208+H208</f>
        <v>0</v>
      </c>
      <c r="J208" s="344">
        <f>+J209+J212+J216</f>
        <v>0</v>
      </c>
      <c r="K208" s="344">
        <f>+K209+K212+K216</f>
        <v>1600000</v>
      </c>
      <c r="L208" s="344">
        <f t="shared" ref="L208:L209" si="114">+J208+K208</f>
        <v>1600000</v>
      </c>
      <c r="M208" s="344">
        <f t="shared" si="112"/>
        <v>1600000</v>
      </c>
      <c r="N208" s="337">
        <f>+F208-M208</f>
        <v>439871500</v>
      </c>
      <c r="P208" s="340"/>
      <c r="S208" s="347"/>
      <c r="T208" s="347"/>
      <c r="U208" s="382"/>
    </row>
    <row r="209" spans="1:21" s="339" customFormat="1" ht="18" customHeight="1" x14ac:dyDescent="0.25">
      <c r="A209" s="334"/>
      <c r="B209" s="335"/>
      <c r="C209" s="334"/>
      <c r="D209" s="365" t="s">
        <v>263</v>
      </c>
      <c r="E209" s="335" t="s">
        <v>264</v>
      </c>
      <c r="F209" s="337">
        <f t="shared" ref="F209:H209" si="115">+F210</f>
        <v>4031500</v>
      </c>
      <c r="G209" s="344">
        <f>+G210</f>
        <v>0</v>
      </c>
      <c r="H209" s="344">
        <f t="shared" si="115"/>
        <v>0</v>
      </c>
      <c r="I209" s="344">
        <f t="shared" si="113"/>
        <v>0</v>
      </c>
      <c r="J209" s="344">
        <f>+J210</f>
        <v>0</v>
      </c>
      <c r="K209" s="344">
        <f t="shared" ref="K209" si="116">+K210</f>
        <v>0</v>
      </c>
      <c r="L209" s="344">
        <f t="shared" si="114"/>
        <v>0</v>
      </c>
      <c r="M209" s="344">
        <f t="shared" si="112"/>
        <v>0</v>
      </c>
      <c r="N209" s="337">
        <f>+F209-M209</f>
        <v>4031500</v>
      </c>
      <c r="P209" s="340"/>
      <c r="S209" s="347"/>
      <c r="T209" s="347"/>
      <c r="U209" s="342"/>
    </row>
    <row r="210" spans="1:21" s="381" customFormat="1" ht="18" customHeight="1" x14ac:dyDescent="0.25">
      <c r="A210" s="380"/>
      <c r="B210" s="352"/>
      <c r="C210" s="334"/>
      <c r="D210" s="335" t="s">
        <v>64</v>
      </c>
      <c r="E210" s="335" t="s">
        <v>65</v>
      </c>
      <c r="F210" s="337">
        <f>F211</f>
        <v>4031500</v>
      </c>
      <c r="G210" s="344">
        <f>SUM(G211:G211)</f>
        <v>0</v>
      </c>
      <c r="H210" s="344">
        <f>SUM(H211:H211)</f>
        <v>0</v>
      </c>
      <c r="I210" s="344">
        <f>+G210+H210</f>
        <v>0</v>
      </c>
      <c r="J210" s="344">
        <f>SUM(J211:J211)</f>
        <v>0</v>
      </c>
      <c r="K210" s="344">
        <f>SUM(K211:K211)</f>
        <v>0</v>
      </c>
      <c r="L210" s="344">
        <f>+J210+K210</f>
        <v>0</v>
      </c>
      <c r="M210" s="344">
        <f t="shared" si="112"/>
        <v>0</v>
      </c>
      <c r="N210" s="337">
        <f>+F210-M210</f>
        <v>4031500</v>
      </c>
      <c r="P210" s="340"/>
      <c r="S210" s="347"/>
      <c r="T210" s="347"/>
      <c r="U210" s="382"/>
    </row>
    <row r="211" spans="1:21" s="381" customFormat="1" ht="18" customHeight="1" x14ac:dyDescent="0.25">
      <c r="A211" s="380"/>
      <c r="B211" s="352"/>
      <c r="C211" s="334"/>
      <c r="D211" s="335" t="s">
        <v>339</v>
      </c>
      <c r="E211" s="335" t="s">
        <v>340</v>
      </c>
      <c r="F211" s="337">
        <v>4031500</v>
      </c>
      <c r="G211" s="344"/>
      <c r="H211" s="344"/>
      <c r="I211" s="344">
        <f t="shared" si="113"/>
        <v>0</v>
      </c>
      <c r="J211" s="344"/>
      <c r="K211" s="344"/>
      <c r="L211" s="344">
        <f t="shared" ref="L211" si="117">+J211+K211</f>
        <v>0</v>
      </c>
      <c r="M211" s="344">
        <f t="shared" si="112"/>
        <v>0</v>
      </c>
      <c r="N211" s="337">
        <f t="shared" ref="N211" si="118">+F211-M211</f>
        <v>4031500</v>
      </c>
      <c r="P211" s="340"/>
      <c r="S211" s="347"/>
      <c r="T211" s="347"/>
      <c r="U211" s="382"/>
    </row>
    <row r="212" spans="1:21" s="339" customFormat="1" ht="18" customHeight="1" x14ac:dyDescent="0.25">
      <c r="A212" s="334"/>
      <c r="B212" s="335"/>
      <c r="C212" s="334"/>
      <c r="D212" s="365" t="s">
        <v>271</v>
      </c>
      <c r="E212" s="335" t="s">
        <v>272</v>
      </c>
      <c r="F212" s="337">
        <f t="shared" ref="F212:H212" si="119">+F213</f>
        <v>98700000</v>
      </c>
      <c r="G212" s="344">
        <f>+G213</f>
        <v>0</v>
      </c>
      <c r="H212" s="344">
        <f t="shared" si="119"/>
        <v>0</v>
      </c>
      <c r="I212" s="344">
        <f t="shared" si="113"/>
        <v>0</v>
      </c>
      <c r="J212" s="344">
        <f>+J213</f>
        <v>0</v>
      </c>
      <c r="K212" s="344">
        <f t="shared" ref="K212" si="120">+K213</f>
        <v>1600000</v>
      </c>
      <c r="L212" s="344">
        <f>+J212+K212</f>
        <v>1600000</v>
      </c>
      <c r="M212" s="344">
        <f t="shared" si="112"/>
        <v>1600000</v>
      </c>
      <c r="N212" s="337">
        <f>+F212-M212</f>
        <v>97100000</v>
      </c>
      <c r="P212" s="340"/>
      <c r="S212" s="347"/>
      <c r="T212" s="347"/>
      <c r="U212" s="342"/>
    </row>
    <row r="213" spans="1:21" s="381" customFormat="1" ht="18" customHeight="1" x14ac:dyDescent="0.25">
      <c r="A213" s="380"/>
      <c r="B213" s="352"/>
      <c r="C213" s="334"/>
      <c r="D213" s="335" t="s">
        <v>81</v>
      </c>
      <c r="E213" s="335" t="s">
        <v>31</v>
      </c>
      <c r="F213" s="337">
        <f>SUM(F214:F215)</f>
        <v>98700000</v>
      </c>
      <c r="G213" s="344">
        <f>SUM(G214:G215)</f>
        <v>0</v>
      </c>
      <c r="H213" s="344">
        <f>SUM(H214:H215)</f>
        <v>0</v>
      </c>
      <c r="I213" s="344">
        <f t="shared" si="113"/>
        <v>0</v>
      </c>
      <c r="J213" s="344">
        <f>SUM(J214:J215)</f>
        <v>0</v>
      </c>
      <c r="K213" s="344">
        <f>SUM(K214:K215)</f>
        <v>1600000</v>
      </c>
      <c r="L213" s="344">
        <f>+J213+K213</f>
        <v>1600000</v>
      </c>
      <c r="M213" s="344">
        <f t="shared" si="112"/>
        <v>1600000</v>
      </c>
      <c r="N213" s="337">
        <f>+F213-M213</f>
        <v>97100000</v>
      </c>
      <c r="P213" s="340"/>
      <c r="S213" s="347"/>
      <c r="T213" s="347"/>
      <c r="U213" s="382"/>
    </row>
    <row r="214" spans="1:21" s="381" customFormat="1" ht="18" customHeight="1" x14ac:dyDescent="0.25">
      <c r="A214" s="392"/>
      <c r="B214" s="339"/>
      <c r="C214" s="366"/>
      <c r="D214" s="367" t="s">
        <v>82</v>
      </c>
      <c r="E214" s="367" t="s">
        <v>83</v>
      </c>
      <c r="F214" s="370">
        <v>38400000</v>
      </c>
      <c r="G214" s="371"/>
      <c r="H214" s="371"/>
      <c r="I214" s="371">
        <f t="shared" si="113"/>
        <v>0</v>
      </c>
      <c r="J214" s="371"/>
      <c r="K214" s="371">
        <v>1600000</v>
      </c>
      <c r="L214" s="371">
        <f>+J214+K214</f>
        <v>1600000</v>
      </c>
      <c r="M214" s="371">
        <f>+I214+L214</f>
        <v>1600000</v>
      </c>
      <c r="N214" s="370">
        <f>+F214-M214</f>
        <v>36800000</v>
      </c>
      <c r="P214" s="340"/>
      <c r="S214" s="346"/>
      <c r="T214" s="347"/>
      <c r="U214" s="382"/>
    </row>
    <row r="215" spans="1:21" s="381" customFormat="1" ht="18" customHeight="1" x14ac:dyDescent="0.25">
      <c r="A215" s="392"/>
      <c r="B215" s="339"/>
      <c r="C215" s="366"/>
      <c r="D215" s="367" t="s">
        <v>111</v>
      </c>
      <c r="E215" s="367" t="s">
        <v>44</v>
      </c>
      <c r="F215" s="370">
        <v>60300000</v>
      </c>
      <c r="G215" s="371"/>
      <c r="H215" s="371"/>
      <c r="I215" s="371">
        <f t="shared" si="113"/>
        <v>0</v>
      </c>
      <c r="J215" s="371"/>
      <c r="K215" s="371"/>
      <c r="L215" s="371">
        <f t="shared" ref="L215" si="121">+J215+K215</f>
        <v>0</v>
      </c>
      <c r="M215" s="371">
        <f t="shared" si="112"/>
        <v>0</v>
      </c>
      <c r="N215" s="370">
        <f t="shared" ref="N215" si="122">+F215-M215</f>
        <v>60300000</v>
      </c>
      <c r="P215" s="340"/>
      <c r="S215" s="346"/>
      <c r="T215" s="347"/>
      <c r="U215" s="382"/>
    </row>
    <row r="216" spans="1:21" s="339" customFormat="1" ht="18" customHeight="1" x14ac:dyDescent="0.25">
      <c r="A216" s="334"/>
      <c r="B216" s="335"/>
      <c r="C216" s="334"/>
      <c r="D216" s="365" t="s">
        <v>275</v>
      </c>
      <c r="E216" s="335" t="s">
        <v>276</v>
      </c>
      <c r="F216" s="337">
        <f t="shared" ref="F216:H216" si="123">+F217</f>
        <v>338740000</v>
      </c>
      <c r="G216" s="344">
        <f>+G217</f>
        <v>0</v>
      </c>
      <c r="H216" s="344">
        <f t="shared" si="123"/>
        <v>0</v>
      </c>
      <c r="I216" s="344">
        <f t="shared" si="113"/>
        <v>0</v>
      </c>
      <c r="J216" s="344">
        <f>+J217</f>
        <v>0</v>
      </c>
      <c r="K216" s="344">
        <f t="shared" ref="K216" si="124">+K217</f>
        <v>0</v>
      </c>
      <c r="L216" s="344">
        <f>+J216+K216</f>
        <v>0</v>
      </c>
      <c r="M216" s="344">
        <f t="shared" si="112"/>
        <v>0</v>
      </c>
      <c r="N216" s="337">
        <f>+F216-M216</f>
        <v>338740000</v>
      </c>
      <c r="P216" s="340"/>
      <c r="S216" s="346"/>
      <c r="T216" s="347"/>
      <c r="U216" s="342"/>
    </row>
    <row r="217" spans="1:21" s="381" customFormat="1" ht="18" customHeight="1" x14ac:dyDescent="0.25">
      <c r="A217" s="380"/>
      <c r="B217" s="352"/>
      <c r="C217" s="334"/>
      <c r="D217" s="335" t="s">
        <v>114</v>
      </c>
      <c r="E217" s="335" t="s">
        <v>43</v>
      </c>
      <c r="F217" s="337">
        <f>SUM(F218:F220)</f>
        <v>338740000</v>
      </c>
      <c r="G217" s="344">
        <f>SUM(G218:G220)</f>
        <v>0</v>
      </c>
      <c r="H217" s="344">
        <f>SUM(H218:H220)</f>
        <v>0</v>
      </c>
      <c r="I217" s="344">
        <f t="shared" si="113"/>
        <v>0</v>
      </c>
      <c r="J217" s="344">
        <f>SUM(J218:J220)</f>
        <v>0</v>
      </c>
      <c r="K217" s="344">
        <f>SUM(K218:K220)</f>
        <v>0</v>
      </c>
      <c r="L217" s="344">
        <f>+J217+K217</f>
        <v>0</v>
      </c>
      <c r="M217" s="344">
        <f t="shared" si="112"/>
        <v>0</v>
      </c>
      <c r="N217" s="337">
        <f>+F217-M217</f>
        <v>338740000</v>
      </c>
      <c r="P217" s="340"/>
      <c r="S217" s="346"/>
      <c r="T217" s="347"/>
      <c r="U217" s="382"/>
    </row>
    <row r="218" spans="1:21" s="381" customFormat="1" ht="21" customHeight="1" x14ac:dyDescent="0.25">
      <c r="A218" s="392"/>
      <c r="B218" s="339"/>
      <c r="C218" s="366"/>
      <c r="D218" s="367" t="s">
        <v>349</v>
      </c>
      <c r="E218" s="369" t="s">
        <v>350</v>
      </c>
      <c r="F218" s="370">
        <v>21240000</v>
      </c>
      <c r="G218" s="371"/>
      <c r="H218" s="371"/>
      <c r="I218" s="371">
        <f t="shared" si="113"/>
        <v>0</v>
      </c>
      <c r="J218" s="371"/>
      <c r="K218" s="371"/>
      <c r="L218" s="371">
        <f t="shared" ref="L218" si="125">+J218+K218</f>
        <v>0</v>
      </c>
      <c r="M218" s="371">
        <f t="shared" si="112"/>
        <v>0</v>
      </c>
      <c r="N218" s="370">
        <f>+F218-M218</f>
        <v>21240000</v>
      </c>
      <c r="P218" s="340"/>
      <c r="S218" s="346"/>
      <c r="T218" s="347"/>
      <c r="U218" s="382"/>
    </row>
    <row r="219" spans="1:21" s="381" customFormat="1" ht="30.75" customHeight="1" x14ac:dyDescent="0.25">
      <c r="A219" s="392"/>
      <c r="B219" s="339"/>
      <c r="C219" s="366"/>
      <c r="D219" s="367" t="s">
        <v>395</v>
      </c>
      <c r="E219" s="369" t="s">
        <v>396</v>
      </c>
      <c r="F219" s="370">
        <v>2500000</v>
      </c>
      <c r="G219" s="371"/>
      <c r="H219" s="371"/>
      <c r="I219" s="371"/>
      <c r="J219" s="371"/>
      <c r="K219" s="371"/>
      <c r="L219" s="371">
        <f>+J219+K219</f>
        <v>0</v>
      </c>
      <c r="M219" s="371">
        <f t="shared" si="112"/>
        <v>0</v>
      </c>
      <c r="N219" s="370">
        <f>+F219-M219</f>
        <v>2500000</v>
      </c>
      <c r="P219" s="340"/>
      <c r="S219" s="347"/>
      <c r="T219" s="347"/>
      <c r="U219" s="382"/>
    </row>
    <row r="220" spans="1:21" s="381" customFormat="1" ht="18" customHeight="1" x14ac:dyDescent="0.25">
      <c r="A220" s="392"/>
      <c r="B220" s="339"/>
      <c r="C220" s="366"/>
      <c r="D220" s="367" t="s">
        <v>354</v>
      </c>
      <c r="E220" s="369" t="s">
        <v>355</v>
      </c>
      <c r="F220" s="370">
        <v>315000000</v>
      </c>
      <c r="G220" s="371"/>
      <c r="H220" s="371"/>
      <c r="I220" s="371">
        <f>+G220+H220</f>
        <v>0</v>
      </c>
      <c r="J220" s="371"/>
      <c r="K220" s="371"/>
      <c r="L220" s="371"/>
      <c r="M220" s="371">
        <f t="shared" si="112"/>
        <v>0</v>
      </c>
      <c r="N220" s="370">
        <f t="shared" ref="N220" si="126">+F220-M220</f>
        <v>315000000</v>
      </c>
      <c r="P220" s="340"/>
      <c r="S220" s="347"/>
      <c r="T220" s="346"/>
      <c r="U220" s="382"/>
    </row>
    <row r="221" spans="1:21" s="381" customFormat="1" ht="18" customHeight="1" x14ac:dyDescent="0.25">
      <c r="A221" s="380"/>
      <c r="B221" s="383"/>
      <c r="C221" s="384"/>
      <c r="D221" s="365" t="s">
        <v>267</v>
      </c>
      <c r="E221" s="335" t="s">
        <v>268</v>
      </c>
      <c r="F221" s="337">
        <f>+F222+F234</f>
        <v>368740000</v>
      </c>
      <c r="G221" s="344">
        <f>+G222+G234</f>
        <v>0</v>
      </c>
      <c r="H221" s="344">
        <f>+H222+H234</f>
        <v>0</v>
      </c>
      <c r="I221" s="344">
        <f>+G221+H221</f>
        <v>0</v>
      </c>
      <c r="J221" s="344">
        <f>+J222</f>
        <v>0</v>
      </c>
      <c r="K221" s="344">
        <f>+K222</f>
        <v>0</v>
      </c>
      <c r="L221" s="344">
        <f>+J221+K221</f>
        <v>0</v>
      </c>
      <c r="M221" s="344">
        <f>+I221+L221</f>
        <v>0</v>
      </c>
      <c r="N221" s="337">
        <f>+F221-M221</f>
        <v>368740000</v>
      </c>
      <c r="P221" s="340"/>
      <c r="R221" s="385"/>
      <c r="S221" s="347"/>
      <c r="T221" s="347"/>
      <c r="U221" s="382"/>
    </row>
    <row r="222" spans="1:21" s="381" customFormat="1" ht="18" customHeight="1" x14ac:dyDescent="0.25">
      <c r="A222" s="380"/>
      <c r="B222" s="352"/>
      <c r="C222" s="334"/>
      <c r="D222" s="335" t="s">
        <v>78</v>
      </c>
      <c r="E222" s="335" t="s">
        <v>75</v>
      </c>
      <c r="F222" s="337">
        <f>+F223+F226+F231</f>
        <v>268740000</v>
      </c>
      <c r="G222" s="344">
        <f>+G223+G226</f>
        <v>0</v>
      </c>
      <c r="H222" s="344">
        <f>+H223+H226</f>
        <v>0</v>
      </c>
      <c r="I222" s="344">
        <f t="shared" ref="I222:I235" si="127">+G222+H222</f>
        <v>0</v>
      </c>
      <c r="J222" s="344">
        <f>+J223+J226</f>
        <v>0</v>
      </c>
      <c r="K222" s="344">
        <f t="shared" ref="K222:K223" si="128">+K223</f>
        <v>0</v>
      </c>
      <c r="L222" s="344">
        <f t="shared" ref="L222:L223" si="129">+J222+K222</f>
        <v>0</v>
      </c>
      <c r="M222" s="344">
        <f t="shared" ref="M222:M226" si="130">+I222+L222</f>
        <v>0</v>
      </c>
      <c r="N222" s="337">
        <f>+F222-M222</f>
        <v>268740000</v>
      </c>
      <c r="P222" s="340"/>
      <c r="S222" s="347"/>
      <c r="T222" s="347"/>
      <c r="U222" s="382"/>
    </row>
    <row r="223" spans="1:21" s="339" customFormat="1" ht="18" customHeight="1" x14ac:dyDescent="0.25">
      <c r="A223" s="334"/>
      <c r="B223" s="335"/>
      <c r="C223" s="334"/>
      <c r="D223" s="365" t="s">
        <v>269</v>
      </c>
      <c r="E223" s="335" t="s">
        <v>270</v>
      </c>
      <c r="F223" s="337">
        <f t="shared" ref="F223:H223" si="131">+F224</f>
        <v>32340000</v>
      </c>
      <c r="G223" s="344">
        <f>+G224</f>
        <v>0</v>
      </c>
      <c r="H223" s="344">
        <f t="shared" si="131"/>
        <v>0</v>
      </c>
      <c r="I223" s="344">
        <f t="shared" si="127"/>
        <v>0</v>
      </c>
      <c r="J223" s="344">
        <f>+J224</f>
        <v>0</v>
      </c>
      <c r="K223" s="344">
        <f t="shared" si="128"/>
        <v>0</v>
      </c>
      <c r="L223" s="344">
        <f t="shared" si="129"/>
        <v>0</v>
      </c>
      <c r="M223" s="344">
        <f t="shared" si="130"/>
        <v>0</v>
      </c>
      <c r="N223" s="337">
        <f>+F223-M223</f>
        <v>32340000</v>
      </c>
      <c r="P223" s="340"/>
      <c r="S223" s="347"/>
      <c r="T223" s="347"/>
      <c r="U223" s="342"/>
    </row>
    <row r="224" spans="1:21" s="381" customFormat="1" ht="18" customHeight="1" x14ac:dyDescent="0.25">
      <c r="A224" s="380"/>
      <c r="B224" s="352"/>
      <c r="C224" s="334"/>
      <c r="D224" s="335" t="s">
        <v>92</v>
      </c>
      <c r="E224" s="335" t="s">
        <v>94</v>
      </c>
      <c r="F224" s="337">
        <f>SUM(F225)</f>
        <v>32340000</v>
      </c>
      <c r="G224" s="344">
        <f>+G225</f>
        <v>0</v>
      </c>
      <c r="H224" s="344">
        <f>+H225</f>
        <v>0</v>
      </c>
      <c r="I224" s="344">
        <f>+G224+H224</f>
        <v>0</v>
      </c>
      <c r="J224" s="344">
        <f>+J225</f>
        <v>0</v>
      </c>
      <c r="K224" s="344">
        <f>+K225</f>
        <v>0</v>
      </c>
      <c r="L224" s="344">
        <f>+J224+K224</f>
        <v>0</v>
      </c>
      <c r="M224" s="344">
        <f t="shared" si="130"/>
        <v>0</v>
      </c>
      <c r="N224" s="337">
        <f>+F224-M224</f>
        <v>32340000</v>
      </c>
      <c r="P224" s="340"/>
      <c r="S224" s="347"/>
      <c r="T224" s="347"/>
      <c r="U224" s="382"/>
    </row>
    <row r="225" spans="1:21" s="381" customFormat="1" ht="18" customHeight="1" x14ac:dyDescent="0.25">
      <c r="A225" s="380"/>
      <c r="B225" s="352"/>
      <c r="C225" s="334"/>
      <c r="D225" s="335" t="s">
        <v>397</v>
      </c>
      <c r="E225" s="335" t="s">
        <v>398</v>
      </c>
      <c r="F225" s="337">
        <v>32340000</v>
      </c>
      <c r="G225" s="344"/>
      <c r="H225" s="344"/>
      <c r="I225" s="344">
        <f t="shared" si="127"/>
        <v>0</v>
      </c>
      <c r="J225" s="344"/>
      <c r="K225" s="344"/>
      <c r="L225" s="344">
        <f t="shared" ref="L225:L235" si="132">+J225+K225</f>
        <v>0</v>
      </c>
      <c r="M225" s="344">
        <f t="shared" si="130"/>
        <v>0</v>
      </c>
      <c r="N225" s="337">
        <f t="shared" ref="N225:N237" si="133">+F225-M225</f>
        <v>32340000</v>
      </c>
      <c r="P225" s="340"/>
      <c r="S225" s="347"/>
      <c r="T225" s="347"/>
      <c r="U225" s="382"/>
    </row>
    <row r="226" spans="1:21" s="339" customFormat="1" ht="18" customHeight="1" x14ac:dyDescent="0.25">
      <c r="A226" s="334"/>
      <c r="B226" s="335"/>
      <c r="C226" s="334"/>
      <c r="D226" s="365" t="s">
        <v>399</v>
      </c>
      <c r="E226" s="335" t="s">
        <v>400</v>
      </c>
      <c r="F226" s="337">
        <f t="shared" ref="F226:H226" si="134">+F227</f>
        <v>234600000</v>
      </c>
      <c r="G226" s="344">
        <f>+G227</f>
        <v>0</v>
      </c>
      <c r="H226" s="344">
        <f t="shared" si="134"/>
        <v>0</v>
      </c>
      <c r="I226" s="344">
        <f t="shared" si="127"/>
        <v>0</v>
      </c>
      <c r="J226" s="344">
        <f>+J227</f>
        <v>0</v>
      </c>
      <c r="K226" s="344">
        <f t="shared" ref="K226" si="135">+K227</f>
        <v>0</v>
      </c>
      <c r="L226" s="344">
        <f t="shared" si="132"/>
        <v>0</v>
      </c>
      <c r="M226" s="344">
        <f t="shared" si="130"/>
        <v>0</v>
      </c>
      <c r="N226" s="337">
        <f t="shared" si="133"/>
        <v>234600000</v>
      </c>
      <c r="P226" s="340"/>
      <c r="S226" s="347"/>
      <c r="T226" s="347"/>
      <c r="U226" s="342"/>
    </row>
    <row r="227" spans="1:21" s="381" customFormat="1" ht="18" customHeight="1" x14ac:dyDescent="0.25">
      <c r="A227" s="380"/>
      <c r="B227" s="352"/>
      <c r="C227" s="334"/>
      <c r="D227" s="335" t="s">
        <v>401</v>
      </c>
      <c r="E227" s="335" t="s">
        <v>402</v>
      </c>
      <c r="F227" s="337">
        <f>SUM(F228:F230)</f>
        <v>234600000</v>
      </c>
      <c r="G227" s="344">
        <f>SUM(G229:G229)</f>
        <v>0</v>
      </c>
      <c r="H227" s="344">
        <f>SUM(H229:H229)</f>
        <v>0</v>
      </c>
      <c r="I227" s="344">
        <f t="shared" si="127"/>
        <v>0</v>
      </c>
      <c r="J227" s="344">
        <f>SUM(J229:J229)</f>
        <v>0</v>
      </c>
      <c r="K227" s="344">
        <f>SUM(K229:K229)</f>
        <v>0</v>
      </c>
      <c r="L227" s="344">
        <f t="shared" si="132"/>
        <v>0</v>
      </c>
      <c r="M227" s="344">
        <f>+I227+L227</f>
        <v>0</v>
      </c>
      <c r="N227" s="337">
        <f t="shared" si="133"/>
        <v>234600000</v>
      </c>
      <c r="P227" s="340"/>
      <c r="S227" s="347"/>
      <c r="T227" s="347"/>
      <c r="U227" s="382"/>
    </row>
    <row r="228" spans="1:21" s="381" customFormat="1" ht="18" customHeight="1" x14ac:dyDescent="0.25">
      <c r="A228" s="380"/>
      <c r="B228" s="352"/>
      <c r="C228" s="334"/>
      <c r="D228" s="335" t="s">
        <v>464</v>
      </c>
      <c r="E228" s="335" t="s">
        <v>465</v>
      </c>
      <c r="F228" s="337">
        <v>3000000</v>
      </c>
      <c r="G228" s="344"/>
      <c r="H228" s="344"/>
      <c r="I228" s="344">
        <f t="shared" si="127"/>
        <v>0</v>
      </c>
      <c r="J228" s="344"/>
      <c r="K228" s="344"/>
      <c r="L228" s="344">
        <f t="shared" si="132"/>
        <v>0</v>
      </c>
      <c r="M228" s="344">
        <f>+I228+L228</f>
        <v>0</v>
      </c>
      <c r="N228" s="337">
        <f t="shared" si="133"/>
        <v>3000000</v>
      </c>
      <c r="P228" s="340"/>
      <c r="S228" s="347"/>
      <c r="T228" s="347"/>
      <c r="U228" s="382"/>
    </row>
    <row r="229" spans="1:21" s="381" customFormat="1" ht="18" customHeight="1" x14ac:dyDescent="0.25">
      <c r="A229" s="380"/>
      <c r="B229" s="352"/>
      <c r="C229" s="334"/>
      <c r="D229" s="335" t="s">
        <v>403</v>
      </c>
      <c r="E229" s="335" t="s">
        <v>404</v>
      </c>
      <c r="F229" s="337">
        <v>36600000</v>
      </c>
      <c r="G229" s="344"/>
      <c r="H229" s="344"/>
      <c r="I229" s="344">
        <f t="shared" si="127"/>
        <v>0</v>
      </c>
      <c r="J229" s="344"/>
      <c r="K229" s="344"/>
      <c r="L229" s="344">
        <f t="shared" si="132"/>
        <v>0</v>
      </c>
      <c r="M229" s="344">
        <f>+I229+L229</f>
        <v>0</v>
      </c>
      <c r="N229" s="337">
        <f t="shared" si="133"/>
        <v>36600000</v>
      </c>
      <c r="P229" s="340"/>
      <c r="S229" s="347"/>
      <c r="T229" s="347"/>
      <c r="U229" s="382"/>
    </row>
    <row r="230" spans="1:21" s="381" customFormat="1" ht="18" customHeight="1" x14ac:dyDescent="0.25">
      <c r="A230" s="380"/>
      <c r="B230" s="352"/>
      <c r="C230" s="334"/>
      <c r="D230" s="335" t="s">
        <v>459</v>
      </c>
      <c r="E230" s="335" t="s">
        <v>460</v>
      </c>
      <c r="F230" s="337">
        <v>195000000</v>
      </c>
      <c r="G230" s="344"/>
      <c r="H230" s="344"/>
      <c r="I230" s="344">
        <f t="shared" si="127"/>
        <v>0</v>
      </c>
      <c r="J230" s="344"/>
      <c r="K230" s="344"/>
      <c r="L230" s="344">
        <f t="shared" si="132"/>
        <v>0</v>
      </c>
      <c r="M230" s="344">
        <f>+I230+L230</f>
        <v>0</v>
      </c>
      <c r="N230" s="337">
        <f t="shared" si="133"/>
        <v>195000000</v>
      </c>
      <c r="P230" s="340"/>
      <c r="S230" s="347"/>
      <c r="T230" s="347"/>
      <c r="U230" s="382"/>
    </row>
    <row r="231" spans="1:21" s="339" customFormat="1" ht="18" customHeight="1" x14ac:dyDescent="0.25">
      <c r="A231" s="334"/>
      <c r="B231" s="335"/>
      <c r="C231" s="334"/>
      <c r="D231" s="365" t="s">
        <v>273</v>
      </c>
      <c r="E231" s="335" t="s">
        <v>274</v>
      </c>
      <c r="F231" s="337">
        <f>+F232</f>
        <v>1800000</v>
      </c>
      <c r="G231" s="344">
        <f>+G232</f>
        <v>0</v>
      </c>
      <c r="H231" s="344">
        <f t="shared" ref="H231" si="136">+H232</f>
        <v>0</v>
      </c>
      <c r="I231" s="344">
        <f t="shared" si="127"/>
        <v>0</v>
      </c>
      <c r="J231" s="344">
        <f>+J232</f>
        <v>0</v>
      </c>
      <c r="K231" s="344">
        <f t="shared" ref="K231" si="137">+K232</f>
        <v>0</v>
      </c>
      <c r="L231" s="344">
        <f t="shared" si="132"/>
        <v>0</v>
      </c>
      <c r="M231" s="344">
        <f t="shared" ref="M231" si="138">+I231+L231</f>
        <v>0</v>
      </c>
      <c r="N231" s="337">
        <f t="shared" si="133"/>
        <v>1800000</v>
      </c>
      <c r="P231" s="340"/>
      <c r="S231" s="347"/>
      <c r="T231" s="347"/>
      <c r="U231" s="342"/>
    </row>
    <row r="232" spans="1:21" s="381" customFormat="1" ht="18" customHeight="1" x14ac:dyDescent="0.25">
      <c r="A232" s="380"/>
      <c r="B232" s="352"/>
      <c r="C232" s="334"/>
      <c r="D232" s="335" t="s">
        <v>382</v>
      </c>
      <c r="E232" s="335" t="s">
        <v>383</v>
      </c>
      <c r="F232" s="337">
        <f>+F233</f>
        <v>1800000</v>
      </c>
      <c r="G232" s="344">
        <f>SUM(G234:G234)</f>
        <v>0</v>
      </c>
      <c r="H232" s="344">
        <f>SUM(H234:H234)</f>
        <v>0</v>
      </c>
      <c r="I232" s="344">
        <f t="shared" si="127"/>
        <v>0</v>
      </c>
      <c r="J232" s="344">
        <f>SUM(J234:J234)</f>
        <v>0</v>
      </c>
      <c r="K232" s="344">
        <f>SUM(K234:K234)</f>
        <v>0</v>
      </c>
      <c r="L232" s="344">
        <f t="shared" si="132"/>
        <v>0</v>
      </c>
      <c r="M232" s="344">
        <f>+I232+L232</f>
        <v>0</v>
      </c>
      <c r="N232" s="337">
        <f t="shared" si="133"/>
        <v>1800000</v>
      </c>
      <c r="P232" s="340"/>
      <c r="S232" s="347"/>
      <c r="T232" s="347"/>
      <c r="U232" s="382"/>
    </row>
    <row r="233" spans="1:21" s="381" customFormat="1" ht="18" customHeight="1" x14ac:dyDescent="0.25">
      <c r="A233" s="380"/>
      <c r="B233" s="352"/>
      <c r="C233" s="334"/>
      <c r="D233" s="335" t="s">
        <v>386</v>
      </c>
      <c r="E233" s="335" t="s">
        <v>387</v>
      </c>
      <c r="F233" s="337">
        <v>1800000</v>
      </c>
      <c r="G233" s="344"/>
      <c r="H233" s="344"/>
      <c r="I233" s="344">
        <f t="shared" si="127"/>
        <v>0</v>
      </c>
      <c r="J233" s="344"/>
      <c r="K233" s="344"/>
      <c r="L233" s="344">
        <f t="shared" si="132"/>
        <v>0</v>
      </c>
      <c r="M233" s="344">
        <f>+I233+L233</f>
        <v>0</v>
      </c>
      <c r="N233" s="337">
        <f t="shared" si="133"/>
        <v>1800000</v>
      </c>
      <c r="P233" s="340"/>
      <c r="S233" s="347"/>
      <c r="T233" s="347"/>
      <c r="U233" s="382"/>
    </row>
    <row r="234" spans="1:21" s="381" customFormat="1" ht="18" customHeight="1" x14ac:dyDescent="0.25">
      <c r="A234" s="380"/>
      <c r="B234" s="352"/>
      <c r="C234" s="334"/>
      <c r="D234" s="335" t="s">
        <v>466</v>
      </c>
      <c r="E234" s="335" t="s">
        <v>467</v>
      </c>
      <c r="F234" s="337">
        <f>+F235</f>
        <v>100000000</v>
      </c>
      <c r="G234" s="344">
        <f>+G235</f>
        <v>0</v>
      </c>
      <c r="H234" s="344">
        <f>+H235+H238</f>
        <v>0</v>
      </c>
      <c r="I234" s="344">
        <f t="shared" si="127"/>
        <v>0</v>
      </c>
      <c r="J234" s="344">
        <f>+J235</f>
        <v>0</v>
      </c>
      <c r="K234" s="344">
        <f t="shared" ref="K234:K235" si="139">+K235</f>
        <v>0</v>
      </c>
      <c r="L234" s="344">
        <f t="shared" si="132"/>
        <v>0</v>
      </c>
      <c r="M234" s="344">
        <f>+I234+L234</f>
        <v>0</v>
      </c>
      <c r="N234" s="337">
        <f t="shared" si="133"/>
        <v>100000000</v>
      </c>
      <c r="P234" s="340"/>
      <c r="S234" s="347"/>
      <c r="T234" s="347"/>
      <c r="U234" s="382"/>
    </row>
    <row r="235" spans="1:21" s="339" customFormat="1" ht="18" customHeight="1" x14ac:dyDescent="0.25">
      <c r="A235" s="334"/>
      <c r="B235" s="335"/>
      <c r="C235" s="334"/>
      <c r="D235" s="365" t="s">
        <v>468</v>
      </c>
      <c r="E235" s="335" t="s">
        <v>469</v>
      </c>
      <c r="F235" s="337">
        <f t="shared" ref="F235:H235" si="140">+F236</f>
        <v>100000000</v>
      </c>
      <c r="G235" s="344">
        <f>+G236</f>
        <v>0</v>
      </c>
      <c r="H235" s="344">
        <f t="shared" si="140"/>
        <v>0</v>
      </c>
      <c r="I235" s="344">
        <f t="shared" si="127"/>
        <v>0</v>
      </c>
      <c r="J235" s="344">
        <f>+J236</f>
        <v>0</v>
      </c>
      <c r="K235" s="344">
        <f t="shared" si="139"/>
        <v>0</v>
      </c>
      <c r="L235" s="344">
        <f t="shared" si="132"/>
        <v>0</v>
      </c>
      <c r="M235" s="344">
        <f t="shared" ref="M235:M236" si="141">+I235+L235</f>
        <v>0</v>
      </c>
      <c r="N235" s="337">
        <f t="shared" si="133"/>
        <v>100000000</v>
      </c>
      <c r="P235" s="340"/>
      <c r="S235" s="347"/>
      <c r="T235" s="347"/>
      <c r="U235" s="342"/>
    </row>
    <row r="236" spans="1:21" s="381" customFormat="1" ht="18" customHeight="1" x14ac:dyDescent="0.25">
      <c r="A236" s="380"/>
      <c r="B236" s="352"/>
      <c r="C236" s="334"/>
      <c r="D236" s="335" t="s">
        <v>470</v>
      </c>
      <c r="E236" s="335" t="s">
        <v>471</v>
      </c>
      <c r="F236" s="337">
        <f>SUM(F237)</f>
        <v>100000000</v>
      </c>
      <c r="G236" s="344">
        <f>+G237</f>
        <v>0</v>
      </c>
      <c r="H236" s="344">
        <f>+H237</f>
        <v>0</v>
      </c>
      <c r="I236" s="344">
        <f>+G236+H236</f>
        <v>0</v>
      </c>
      <c r="J236" s="344">
        <f>+J237</f>
        <v>0</v>
      </c>
      <c r="K236" s="344">
        <f>+K237</f>
        <v>0</v>
      </c>
      <c r="L236" s="344">
        <f>+J236+K236</f>
        <v>0</v>
      </c>
      <c r="M236" s="344">
        <f t="shared" si="141"/>
        <v>0</v>
      </c>
      <c r="N236" s="337">
        <f t="shared" si="133"/>
        <v>100000000</v>
      </c>
      <c r="P236" s="340"/>
      <c r="S236" s="347"/>
      <c r="T236" s="347"/>
      <c r="U236" s="382"/>
    </row>
    <row r="237" spans="1:21" s="381" customFormat="1" ht="18" customHeight="1" x14ac:dyDescent="0.25">
      <c r="A237" s="380"/>
      <c r="B237" s="352"/>
      <c r="C237" s="334"/>
      <c r="D237" s="335" t="s">
        <v>472</v>
      </c>
      <c r="E237" s="335" t="s">
        <v>473</v>
      </c>
      <c r="F237" s="337">
        <v>100000000</v>
      </c>
      <c r="G237" s="344"/>
      <c r="H237" s="344"/>
      <c r="I237" s="344">
        <f>+G237+H237</f>
        <v>0</v>
      </c>
      <c r="J237" s="344"/>
      <c r="K237" s="344"/>
      <c r="L237" s="344">
        <f t="shared" ref="L237" si="142">+J237+K237</f>
        <v>0</v>
      </c>
      <c r="M237" s="344">
        <f>+I237+L237</f>
        <v>0</v>
      </c>
      <c r="N237" s="337">
        <f t="shared" si="133"/>
        <v>100000000</v>
      </c>
      <c r="P237" s="340"/>
      <c r="S237" s="347"/>
      <c r="T237" s="347"/>
      <c r="U237" s="382"/>
    </row>
    <row r="238" spans="1:21" s="153" customFormat="1" ht="18" customHeight="1" x14ac:dyDescent="0.25">
      <c r="A238" s="353"/>
      <c r="B238" s="355"/>
      <c r="C238" s="355"/>
      <c r="D238" s="355"/>
      <c r="E238" s="355"/>
      <c r="F238" s="356"/>
      <c r="G238" s="357"/>
      <c r="H238" s="357"/>
      <c r="I238" s="357"/>
      <c r="J238" s="357"/>
      <c r="K238" s="357"/>
      <c r="L238" s="357"/>
      <c r="M238" s="357"/>
      <c r="N238" s="356"/>
      <c r="P238" s="200"/>
      <c r="S238" s="221"/>
      <c r="T238" s="221"/>
      <c r="U238" s="254"/>
    </row>
    <row r="239" spans="1:21" s="319" customFormat="1" ht="18" customHeight="1" x14ac:dyDescent="0.25">
      <c r="A239" s="276"/>
      <c r="B239" s="305" t="s">
        <v>357</v>
      </c>
      <c r="C239" s="305"/>
      <c r="D239" s="305"/>
      <c r="E239" s="305" t="s">
        <v>358</v>
      </c>
      <c r="F239" s="359">
        <f>+F241</f>
        <v>260000000</v>
      </c>
      <c r="G239" s="360">
        <f>+G240</f>
        <v>0</v>
      </c>
      <c r="H239" s="360">
        <f>+H240</f>
        <v>0</v>
      </c>
      <c r="I239" s="360">
        <f>+G239+H239</f>
        <v>0</v>
      </c>
      <c r="J239" s="360">
        <f>+J240</f>
        <v>0</v>
      </c>
      <c r="K239" s="360">
        <f>+K240</f>
        <v>0</v>
      </c>
      <c r="L239" s="360">
        <f>+J239+K239</f>
        <v>0</v>
      </c>
      <c r="M239" s="360">
        <f t="shared" ref="M239" si="143">+I239+L239</f>
        <v>0</v>
      </c>
      <c r="N239" s="359">
        <f t="shared" ref="N239:N245" si="144">+F239-M239</f>
        <v>260000000</v>
      </c>
      <c r="P239" s="361"/>
      <c r="R239" s="321"/>
      <c r="S239" s="362"/>
      <c r="T239" s="362"/>
      <c r="U239" s="350"/>
    </row>
    <row r="240" spans="1:21" s="319" customFormat="1" ht="18" customHeight="1" x14ac:dyDescent="0.25">
      <c r="A240" s="276">
        <v>11</v>
      </c>
      <c r="B240" s="305"/>
      <c r="C240" s="305" t="s">
        <v>119</v>
      </c>
      <c r="D240" s="363"/>
      <c r="E240" s="364" t="s">
        <v>120</v>
      </c>
      <c r="F240" s="307">
        <f>+F241</f>
        <v>260000000</v>
      </c>
      <c r="G240" s="308">
        <f>+G241</f>
        <v>0</v>
      </c>
      <c r="H240" s="308">
        <f>+H241</f>
        <v>0</v>
      </c>
      <c r="I240" s="308">
        <f>+G240+H240</f>
        <v>0</v>
      </c>
      <c r="J240" s="308">
        <f>+J241</f>
        <v>0</v>
      </c>
      <c r="K240" s="308">
        <f>+K241</f>
        <v>0</v>
      </c>
      <c r="L240" s="308">
        <f>+J240+K240</f>
        <v>0</v>
      </c>
      <c r="M240" s="308">
        <f>+I240+L240</f>
        <v>0</v>
      </c>
      <c r="N240" s="307">
        <f t="shared" si="144"/>
        <v>260000000</v>
      </c>
      <c r="P240" s="320"/>
      <c r="R240" s="321"/>
      <c r="S240" s="349"/>
      <c r="T240" s="349"/>
      <c r="U240" s="350"/>
    </row>
    <row r="241" spans="1:21" s="329" customFormat="1" ht="18" customHeight="1" x14ac:dyDescent="0.25">
      <c r="A241" s="323"/>
      <c r="B241" s="324"/>
      <c r="C241" s="324"/>
      <c r="D241" s="325" t="s">
        <v>267</v>
      </c>
      <c r="E241" s="326" t="s">
        <v>268</v>
      </c>
      <c r="F241" s="327">
        <f t="shared" ref="F241:H243" si="145">+F242</f>
        <v>260000000</v>
      </c>
      <c r="G241" s="328">
        <f>+G242</f>
        <v>0</v>
      </c>
      <c r="H241" s="328">
        <f t="shared" si="145"/>
        <v>0</v>
      </c>
      <c r="I241" s="328">
        <f t="shared" ref="I241:I245" si="146">+G241+H241</f>
        <v>0</v>
      </c>
      <c r="J241" s="328">
        <f>+J242</f>
        <v>0</v>
      </c>
      <c r="K241" s="328">
        <f t="shared" ref="K241:K243" si="147">+K242</f>
        <v>0</v>
      </c>
      <c r="L241" s="328">
        <f t="shared" ref="L241:L244" si="148">+J241+K241</f>
        <v>0</v>
      </c>
      <c r="M241" s="328">
        <f t="shared" ref="M241:M244" si="149">+I241+L241</f>
        <v>0</v>
      </c>
      <c r="N241" s="327">
        <f t="shared" si="144"/>
        <v>260000000</v>
      </c>
      <c r="P241" s="330"/>
      <c r="R241" s="331"/>
      <c r="S241" s="351"/>
      <c r="T241" s="351"/>
      <c r="U241" s="333"/>
    </row>
    <row r="242" spans="1:21" s="339" customFormat="1" ht="18" customHeight="1" x14ac:dyDescent="0.25">
      <c r="A242" s="334"/>
      <c r="B242" s="352"/>
      <c r="C242" s="334"/>
      <c r="D242" s="335" t="s">
        <v>78</v>
      </c>
      <c r="E242" s="335" t="s">
        <v>75</v>
      </c>
      <c r="F242" s="337">
        <f t="shared" si="145"/>
        <v>260000000</v>
      </c>
      <c r="G242" s="344">
        <f>+G243</f>
        <v>0</v>
      </c>
      <c r="H242" s="344">
        <f t="shared" si="145"/>
        <v>0</v>
      </c>
      <c r="I242" s="344">
        <f t="shared" si="146"/>
        <v>0</v>
      </c>
      <c r="J242" s="344">
        <f>+J243</f>
        <v>0</v>
      </c>
      <c r="K242" s="344">
        <f t="shared" si="147"/>
        <v>0</v>
      </c>
      <c r="L242" s="344">
        <f t="shared" si="148"/>
        <v>0</v>
      </c>
      <c r="M242" s="344">
        <f t="shared" si="149"/>
        <v>0</v>
      </c>
      <c r="N242" s="337">
        <f t="shared" si="144"/>
        <v>260000000</v>
      </c>
      <c r="P242" s="340"/>
      <c r="S242" s="347"/>
      <c r="T242" s="347"/>
      <c r="U242" s="342"/>
    </row>
    <row r="243" spans="1:21" s="339" customFormat="1" ht="18" customHeight="1" x14ac:dyDescent="0.25">
      <c r="A243" s="334"/>
      <c r="B243" s="335"/>
      <c r="C243" s="334"/>
      <c r="D243" s="365" t="s">
        <v>277</v>
      </c>
      <c r="E243" s="335" t="s">
        <v>278</v>
      </c>
      <c r="F243" s="337">
        <f t="shared" si="145"/>
        <v>260000000</v>
      </c>
      <c r="G243" s="344">
        <f>+G244</f>
        <v>0</v>
      </c>
      <c r="H243" s="344">
        <f t="shared" si="145"/>
        <v>0</v>
      </c>
      <c r="I243" s="344">
        <f t="shared" si="146"/>
        <v>0</v>
      </c>
      <c r="J243" s="344">
        <f>+J244</f>
        <v>0</v>
      </c>
      <c r="K243" s="344">
        <f t="shared" si="147"/>
        <v>0</v>
      </c>
      <c r="L243" s="344">
        <f t="shared" si="148"/>
        <v>0</v>
      </c>
      <c r="M243" s="344">
        <f t="shared" si="149"/>
        <v>0</v>
      </c>
      <c r="N243" s="337">
        <f t="shared" si="144"/>
        <v>260000000</v>
      </c>
      <c r="P243" s="340"/>
      <c r="S243" s="347"/>
      <c r="T243" s="347"/>
      <c r="U243" s="342"/>
    </row>
    <row r="244" spans="1:21" s="339" customFormat="1" ht="18" customHeight="1" x14ac:dyDescent="0.25">
      <c r="A244" s="334"/>
      <c r="B244" s="352"/>
      <c r="C244" s="334"/>
      <c r="D244" s="335" t="s">
        <v>121</v>
      </c>
      <c r="E244" s="335" t="s">
        <v>123</v>
      </c>
      <c r="F244" s="337">
        <f>F245</f>
        <v>260000000</v>
      </c>
      <c r="G244" s="344">
        <f>+G245</f>
        <v>0</v>
      </c>
      <c r="H244" s="344">
        <f>+H245</f>
        <v>0</v>
      </c>
      <c r="I244" s="344">
        <f t="shared" si="146"/>
        <v>0</v>
      </c>
      <c r="J244" s="344">
        <f>+J245</f>
        <v>0</v>
      </c>
      <c r="K244" s="344">
        <f>+K245</f>
        <v>0</v>
      </c>
      <c r="L244" s="344">
        <f t="shared" si="148"/>
        <v>0</v>
      </c>
      <c r="M244" s="344">
        <f t="shared" si="149"/>
        <v>0</v>
      </c>
      <c r="N244" s="337">
        <f t="shared" si="144"/>
        <v>260000000</v>
      </c>
      <c r="P244" s="340"/>
      <c r="S244" s="347"/>
      <c r="T244" s="347"/>
      <c r="U244" s="342"/>
    </row>
    <row r="245" spans="1:21" s="339" customFormat="1" ht="18" customHeight="1" x14ac:dyDescent="0.25">
      <c r="A245" s="334"/>
      <c r="B245" s="352"/>
      <c r="C245" s="334"/>
      <c r="D245" s="335" t="s">
        <v>122</v>
      </c>
      <c r="E245" s="335" t="s">
        <v>124</v>
      </c>
      <c r="F245" s="337">
        <v>260000000</v>
      </c>
      <c r="G245" s="344"/>
      <c r="H245" s="344"/>
      <c r="I245" s="344">
        <f t="shared" si="146"/>
        <v>0</v>
      </c>
      <c r="J245" s="344"/>
      <c r="K245" s="344"/>
      <c r="L245" s="344"/>
      <c r="M245" s="344">
        <f>+I245+L245</f>
        <v>0</v>
      </c>
      <c r="N245" s="337">
        <f t="shared" si="144"/>
        <v>260000000</v>
      </c>
      <c r="P245" s="340"/>
      <c r="S245" s="347"/>
      <c r="T245" s="346"/>
      <c r="U245" s="342"/>
    </row>
    <row r="246" spans="1:21" s="153" customFormat="1" ht="18" customHeight="1" x14ac:dyDescent="0.25">
      <c r="A246" s="353"/>
      <c r="B246" s="355"/>
      <c r="C246" s="355"/>
      <c r="D246" s="355"/>
      <c r="E246" s="355"/>
      <c r="F246" s="356"/>
      <c r="G246" s="357"/>
      <c r="H246" s="357"/>
      <c r="I246" s="357"/>
      <c r="J246" s="357"/>
      <c r="K246" s="357"/>
      <c r="L246" s="357"/>
      <c r="M246" s="357"/>
      <c r="N246" s="356"/>
      <c r="P246" s="200"/>
      <c r="S246" s="221"/>
      <c r="T246" s="221"/>
      <c r="U246" s="254"/>
    </row>
    <row r="247" spans="1:21" s="319" customFormat="1" ht="16.5" customHeight="1" x14ac:dyDescent="0.25">
      <c r="A247" s="276"/>
      <c r="B247" s="305" t="s">
        <v>359</v>
      </c>
      <c r="C247" s="305"/>
      <c r="D247" s="305"/>
      <c r="E247" s="305" t="s">
        <v>360</v>
      </c>
      <c r="F247" s="359">
        <f>+F248+F256+F269+F278</f>
        <v>39780847375</v>
      </c>
      <c r="G247" s="360">
        <f>+G248+G256+G269+G278</f>
        <v>0</v>
      </c>
      <c r="H247" s="360">
        <f>+H248+H256+H269+H278</f>
        <v>3058644020</v>
      </c>
      <c r="I247" s="360">
        <f>+G247+H247</f>
        <v>3058644020</v>
      </c>
      <c r="J247" s="360">
        <f>+J248+J256+J269+J278</f>
        <v>0</v>
      </c>
      <c r="K247" s="360">
        <f>+K248+K256+K269+K278</f>
        <v>94954700</v>
      </c>
      <c r="L247" s="360">
        <f>+J247+K247</f>
        <v>94954700</v>
      </c>
      <c r="M247" s="308">
        <f t="shared" ref="M247" si="150">+I247+L247</f>
        <v>3153598720</v>
      </c>
      <c r="N247" s="359">
        <f t="shared" ref="N247:N255" si="151">+F247-M247</f>
        <v>36627248655</v>
      </c>
      <c r="P247" s="361"/>
      <c r="R247" s="321"/>
      <c r="S247" s="362"/>
      <c r="T247" s="362"/>
      <c r="U247" s="350"/>
    </row>
    <row r="248" spans="1:21" s="319" customFormat="1" ht="18" customHeight="1" x14ac:dyDescent="0.25">
      <c r="A248" s="276">
        <v>12</v>
      </c>
      <c r="B248" s="305"/>
      <c r="C248" s="305" t="s">
        <v>125</v>
      </c>
      <c r="D248" s="363"/>
      <c r="E248" s="364" t="s">
        <v>34</v>
      </c>
      <c r="F248" s="307">
        <f>+F249</f>
        <v>219414700</v>
      </c>
      <c r="G248" s="308">
        <f>+G249</f>
        <v>0</v>
      </c>
      <c r="H248" s="308">
        <f>+H249</f>
        <v>0</v>
      </c>
      <c r="I248" s="308">
        <f>+G248+H248</f>
        <v>0</v>
      </c>
      <c r="J248" s="308">
        <f>+J249</f>
        <v>0</v>
      </c>
      <c r="K248" s="308">
        <f>+K249</f>
        <v>0</v>
      </c>
      <c r="L248" s="308">
        <f>+J248+K248</f>
        <v>0</v>
      </c>
      <c r="M248" s="308">
        <f>+I248+L248</f>
        <v>0</v>
      </c>
      <c r="N248" s="307">
        <f t="shared" si="151"/>
        <v>219414700</v>
      </c>
      <c r="P248" s="320"/>
      <c r="R248" s="321"/>
      <c r="S248" s="349"/>
      <c r="T248" s="349"/>
      <c r="U248" s="350"/>
    </row>
    <row r="249" spans="1:21" s="329" customFormat="1" ht="18" customHeight="1" x14ac:dyDescent="0.25">
      <c r="A249" s="323"/>
      <c r="B249" s="324"/>
      <c r="C249" s="379"/>
      <c r="D249" s="325" t="s">
        <v>207</v>
      </c>
      <c r="E249" s="326" t="s">
        <v>262</v>
      </c>
      <c r="F249" s="327">
        <f t="shared" ref="F249:H251" si="152">+F250</f>
        <v>219414700</v>
      </c>
      <c r="G249" s="328">
        <f>+G250</f>
        <v>0</v>
      </c>
      <c r="H249" s="328">
        <f t="shared" si="152"/>
        <v>0</v>
      </c>
      <c r="I249" s="328">
        <f t="shared" ref="I249:I253" si="153">+G249+H249</f>
        <v>0</v>
      </c>
      <c r="J249" s="328">
        <f t="shared" ref="J249:K251" si="154">+J250</f>
        <v>0</v>
      </c>
      <c r="K249" s="328">
        <f t="shared" si="154"/>
        <v>0</v>
      </c>
      <c r="L249" s="328">
        <f t="shared" ref="L249:L251" si="155">+J249+K249</f>
        <v>0</v>
      </c>
      <c r="M249" s="328">
        <f t="shared" ref="M249:M252" si="156">+I249+L249</f>
        <v>0</v>
      </c>
      <c r="N249" s="327">
        <f t="shared" si="151"/>
        <v>219414700</v>
      </c>
      <c r="P249" s="330"/>
      <c r="R249" s="331"/>
      <c r="S249" s="351"/>
      <c r="T249" s="351"/>
      <c r="U249" s="333"/>
    </row>
    <row r="250" spans="1:21" s="339" customFormat="1" ht="18" customHeight="1" x14ac:dyDescent="0.25">
      <c r="A250" s="334"/>
      <c r="B250" s="352"/>
      <c r="C250" s="334"/>
      <c r="D250" s="335" t="s">
        <v>63</v>
      </c>
      <c r="E250" s="335" t="s">
        <v>30</v>
      </c>
      <c r="F250" s="337">
        <f t="shared" si="152"/>
        <v>219414700</v>
      </c>
      <c r="G250" s="344">
        <f>+G251</f>
        <v>0</v>
      </c>
      <c r="H250" s="344">
        <f t="shared" si="152"/>
        <v>0</v>
      </c>
      <c r="I250" s="344">
        <f t="shared" si="153"/>
        <v>0</v>
      </c>
      <c r="J250" s="344">
        <f t="shared" si="154"/>
        <v>0</v>
      </c>
      <c r="K250" s="344">
        <f t="shared" si="154"/>
        <v>0</v>
      </c>
      <c r="L250" s="344">
        <f t="shared" si="155"/>
        <v>0</v>
      </c>
      <c r="M250" s="344">
        <f t="shared" si="156"/>
        <v>0</v>
      </c>
      <c r="N250" s="337">
        <f t="shared" si="151"/>
        <v>219414700</v>
      </c>
      <c r="P250" s="340"/>
      <c r="S250" s="347"/>
      <c r="T250" s="347"/>
      <c r="U250" s="342"/>
    </row>
    <row r="251" spans="1:21" s="339" customFormat="1" ht="18" customHeight="1" x14ac:dyDescent="0.25">
      <c r="A251" s="334"/>
      <c r="B251" s="335"/>
      <c r="C251" s="334"/>
      <c r="D251" s="365" t="s">
        <v>263</v>
      </c>
      <c r="E251" s="335" t="s">
        <v>264</v>
      </c>
      <c r="F251" s="337">
        <f t="shared" si="152"/>
        <v>219414700</v>
      </c>
      <c r="G251" s="344">
        <f>+G252</f>
        <v>0</v>
      </c>
      <c r="H251" s="344">
        <f t="shared" si="152"/>
        <v>0</v>
      </c>
      <c r="I251" s="344">
        <f t="shared" si="153"/>
        <v>0</v>
      </c>
      <c r="J251" s="344">
        <f t="shared" si="154"/>
        <v>0</v>
      </c>
      <c r="K251" s="344">
        <f t="shared" si="154"/>
        <v>0</v>
      </c>
      <c r="L251" s="344">
        <f t="shared" si="155"/>
        <v>0</v>
      </c>
      <c r="M251" s="344">
        <f t="shared" si="156"/>
        <v>0</v>
      </c>
      <c r="N251" s="337">
        <f t="shared" si="151"/>
        <v>219414700</v>
      </c>
      <c r="P251" s="340"/>
      <c r="S251" s="347"/>
      <c r="T251" s="347"/>
      <c r="U251" s="342"/>
    </row>
    <row r="252" spans="1:21" s="339" customFormat="1" ht="18" customHeight="1" x14ac:dyDescent="0.25">
      <c r="A252" s="334"/>
      <c r="B252" s="352"/>
      <c r="C252" s="334"/>
      <c r="D252" s="335" t="s">
        <v>64</v>
      </c>
      <c r="E252" s="335" t="s">
        <v>65</v>
      </c>
      <c r="F252" s="337">
        <f>SUM(F253:F255)</f>
        <v>219414700</v>
      </c>
      <c r="G252" s="344">
        <f>SUM(G253:G255)</f>
        <v>0</v>
      </c>
      <c r="H252" s="344">
        <f>SUM(H253:H255)</f>
        <v>0</v>
      </c>
      <c r="I252" s="344">
        <f t="shared" si="153"/>
        <v>0</v>
      </c>
      <c r="J252" s="344">
        <f>SUM(J253:J255)</f>
        <v>0</v>
      </c>
      <c r="K252" s="344">
        <f>SUM(K253:K255)</f>
        <v>0</v>
      </c>
      <c r="L252" s="344">
        <f>+J252+K252</f>
        <v>0</v>
      </c>
      <c r="M252" s="344">
        <f t="shared" si="156"/>
        <v>0</v>
      </c>
      <c r="N252" s="337">
        <f t="shared" si="151"/>
        <v>219414700</v>
      </c>
      <c r="P252" s="340"/>
      <c r="S252" s="347"/>
      <c r="T252" s="347"/>
      <c r="U252" s="342"/>
    </row>
    <row r="253" spans="1:21" s="339" customFormat="1" ht="18" customHeight="1" x14ac:dyDescent="0.25">
      <c r="A253" s="334"/>
      <c r="B253" s="352"/>
      <c r="C253" s="334"/>
      <c r="D253" s="335" t="s">
        <v>337</v>
      </c>
      <c r="E253" s="335" t="s">
        <v>338</v>
      </c>
      <c r="F253" s="337">
        <v>875000</v>
      </c>
      <c r="G253" s="344"/>
      <c r="H253" s="344"/>
      <c r="I253" s="344">
        <f t="shared" si="153"/>
        <v>0</v>
      </c>
      <c r="J253" s="344"/>
      <c r="K253" s="344"/>
      <c r="L253" s="344">
        <f>+J253+K253</f>
        <v>0</v>
      </c>
      <c r="M253" s="344">
        <f>+I253+L253</f>
        <v>0</v>
      </c>
      <c r="N253" s="337">
        <f t="shared" si="151"/>
        <v>875000</v>
      </c>
      <c r="P253" s="340"/>
      <c r="S253" s="347"/>
      <c r="T253" s="347"/>
      <c r="U253" s="342"/>
    </row>
    <row r="254" spans="1:21" s="339" customFormat="1" ht="18" customHeight="1" x14ac:dyDescent="0.25">
      <c r="A254" s="334"/>
      <c r="B254" s="352"/>
      <c r="C254" s="334"/>
      <c r="D254" s="335" t="s">
        <v>68</v>
      </c>
      <c r="E254" s="335" t="s">
        <v>69</v>
      </c>
      <c r="F254" s="337">
        <v>182539700</v>
      </c>
      <c r="G254" s="344"/>
      <c r="H254" s="344"/>
      <c r="I254" s="344">
        <f>+G254+H254</f>
        <v>0</v>
      </c>
      <c r="J254" s="344"/>
      <c r="K254" s="344"/>
      <c r="L254" s="344">
        <f>+J254+K254</f>
        <v>0</v>
      </c>
      <c r="M254" s="344">
        <f>+I254+L254</f>
        <v>0</v>
      </c>
      <c r="N254" s="337">
        <f t="shared" si="151"/>
        <v>182539700</v>
      </c>
      <c r="P254" s="340"/>
      <c r="S254" s="346"/>
      <c r="T254" s="347"/>
      <c r="U254" s="342"/>
    </row>
    <row r="255" spans="1:21" s="153" customFormat="1" ht="18" customHeight="1" x14ac:dyDescent="0.25">
      <c r="A255" s="353"/>
      <c r="B255" s="387"/>
      <c r="C255" s="353"/>
      <c r="D255" s="355" t="s">
        <v>126</v>
      </c>
      <c r="E255" s="355" t="s">
        <v>127</v>
      </c>
      <c r="F255" s="356">
        <v>36000000</v>
      </c>
      <c r="G255" s="357">
        <v>0</v>
      </c>
      <c r="H255" s="357"/>
      <c r="I255" s="357">
        <f>+G255+H255</f>
        <v>0</v>
      </c>
      <c r="J255" s="357"/>
      <c r="K255" s="357"/>
      <c r="L255" s="357">
        <f>+J255+K255</f>
        <v>0</v>
      </c>
      <c r="M255" s="357">
        <f>+I255+L255</f>
        <v>0</v>
      </c>
      <c r="N255" s="356">
        <f t="shared" si="151"/>
        <v>36000000</v>
      </c>
      <c r="P255" s="200"/>
      <c r="S255" s="358"/>
      <c r="T255" s="221"/>
      <c r="U255" s="254"/>
    </row>
    <row r="256" spans="1:21" s="319" customFormat="1" ht="18" customHeight="1" x14ac:dyDescent="0.25">
      <c r="A256" s="276">
        <v>13</v>
      </c>
      <c r="B256" s="305"/>
      <c r="C256" s="305" t="s">
        <v>128</v>
      </c>
      <c r="D256" s="363"/>
      <c r="E256" s="364" t="s">
        <v>46</v>
      </c>
      <c r="F256" s="307">
        <f>+F257</f>
        <v>38400620000</v>
      </c>
      <c r="G256" s="308">
        <f>+G257</f>
        <v>0</v>
      </c>
      <c r="H256" s="308">
        <f>+H257</f>
        <v>3058644020</v>
      </c>
      <c r="I256" s="308">
        <f>+G256+H256</f>
        <v>3058644020</v>
      </c>
      <c r="J256" s="308">
        <f>+J257</f>
        <v>0</v>
      </c>
      <c r="K256" s="308">
        <f>+K257</f>
        <v>22194700</v>
      </c>
      <c r="L256" s="308">
        <f>+J256+K256</f>
        <v>22194700</v>
      </c>
      <c r="M256" s="308">
        <f>+I256+L256</f>
        <v>3080838720</v>
      </c>
      <c r="N256" s="307">
        <f>+F256-M256</f>
        <v>35319781280</v>
      </c>
      <c r="P256" s="320"/>
      <c r="R256" s="321"/>
      <c r="S256" s="349"/>
      <c r="T256" s="349"/>
      <c r="U256" s="350"/>
    </row>
    <row r="257" spans="1:21" s="329" customFormat="1" ht="18" customHeight="1" x14ac:dyDescent="0.25">
      <c r="A257" s="323"/>
      <c r="B257" s="324"/>
      <c r="C257" s="379"/>
      <c r="D257" s="325" t="s">
        <v>207</v>
      </c>
      <c r="E257" s="326" t="s">
        <v>262</v>
      </c>
      <c r="F257" s="327">
        <f>+F258</f>
        <v>38400620000</v>
      </c>
      <c r="G257" s="328">
        <f>+G258</f>
        <v>0</v>
      </c>
      <c r="H257" s="328">
        <f t="shared" ref="F257:H259" si="157">+H258</f>
        <v>3058644020</v>
      </c>
      <c r="I257" s="328">
        <f t="shared" ref="I257:I262" si="158">+G257+H257</f>
        <v>3058644020</v>
      </c>
      <c r="J257" s="328">
        <f t="shared" ref="J257:K259" si="159">+J258</f>
        <v>0</v>
      </c>
      <c r="K257" s="328">
        <f t="shared" si="159"/>
        <v>22194700</v>
      </c>
      <c r="L257" s="328">
        <f t="shared" ref="L257:L260" si="160">+J257+K257</f>
        <v>22194700</v>
      </c>
      <c r="M257" s="328">
        <f t="shared" ref="M257:M260" si="161">+I257+L257</f>
        <v>3080838720</v>
      </c>
      <c r="N257" s="327">
        <f>+F257-M257</f>
        <v>35319781280</v>
      </c>
      <c r="P257" s="330"/>
      <c r="R257" s="331"/>
      <c r="S257" s="351"/>
      <c r="T257" s="351"/>
      <c r="U257" s="333"/>
    </row>
    <row r="258" spans="1:21" s="339" customFormat="1" ht="18" customHeight="1" x14ac:dyDescent="0.25">
      <c r="A258" s="334"/>
      <c r="B258" s="352"/>
      <c r="C258" s="334"/>
      <c r="D258" s="335" t="s">
        <v>63</v>
      </c>
      <c r="E258" s="335" t="s">
        <v>30</v>
      </c>
      <c r="F258" s="337">
        <f>+F259+F262</f>
        <v>38400620000</v>
      </c>
      <c r="G258" s="344">
        <f>+G259+G262</f>
        <v>0</v>
      </c>
      <c r="H258" s="344">
        <f>+H259+H262</f>
        <v>3058644020</v>
      </c>
      <c r="I258" s="344">
        <f t="shared" si="158"/>
        <v>3058644020</v>
      </c>
      <c r="J258" s="344">
        <f>+J259+J262</f>
        <v>0</v>
      </c>
      <c r="K258" s="344">
        <f>+K259+K262</f>
        <v>22194700</v>
      </c>
      <c r="L258" s="344">
        <f t="shared" si="160"/>
        <v>22194700</v>
      </c>
      <c r="M258" s="344">
        <f t="shared" si="161"/>
        <v>3080838720</v>
      </c>
      <c r="N258" s="337">
        <f>+F258-M258</f>
        <v>35319781280</v>
      </c>
      <c r="P258" s="340"/>
      <c r="S258" s="347"/>
      <c r="T258" s="347"/>
      <c r="U258" s="342"/>
    </row>
    <row r="259" spans="1:21" s="339" customFormat="1" ht="18" customHeight="1" x14ac:dyDescent="0.25">
      <c r="A259" s="334"/>
      <c r="B259" s="335"/>
      <c r="C259" s="334"/>
      <c r="D259" s="365" t="s">
        <v>263</v>
      </c>
      <c r="E259" s="335" t="s">
        <v>264</v>
      </c>
      <c r="F259" s="337">
        <f t="shared" si="157"/>
        <v>35000000</v>
      </c>
      <c r="G259" s="344">
        <f>+G260</f>
        <v>0</v>
      </c>
      <c r="H259" s="344">
        <f t="shared" si="157"/>
        <v>0</v>
      </c>
      <c r="I259" s="344">
        <f t="shared" si="158"/>
        <v>0</v>
      </c>
      <c r="J259" s="344">
        <f t="shared" si="159"/>
        <v>0</v>
      </c>
      <c r="K259" s="344">
        <f t="shared" si="159"/>
        <v>0</v>
      </c>
      <c r="L259" s="344">
        <f t="shared" si="160"/>
        <v>0</v>
      </c>
      <c r="M259" s="344">
        <f t="shared" si="161"/>
        <v>0</v>
      </c>
      <c r="N259" s="337">
        <f>+F259-M259</f>
        <v>35000000</v>
      </c>
      <c r="P259" s="340"/>
      <c r="S259" s="347"/>
      <c r="T259" s="347"/>
      <c r="U259" s="342"/>
    </row>
    <row r="260" spans="1:21" s="339" customFormat="1" ht="18" customHeight="1" x14ac:dyDescent="0.25">
      <c r="A260" s="334"/>
      <c r="B260" s="352"/>
      <c r="C260" s="334"/>
      <c r="D260" s="335" t="s">
        <v>64</v>
      </c>
      <c r="E260" s="335" t="s">
        <v>65</v>
      </c>
      <c r="F260" s="337">
        <f>+F261</f>
        <v>35000000</v>
      </c>
      <c r="G260" s="344">
        <f>+G261</f>
        <v>0</v>
      </c>
      <c r="H260" s="344">
        <f>+H261+H265</f>
        <v>0</v>
      </c>
      <c r="I260" s="344">
        <f t="shared" si="158"/>
        <v>0</v>
      </c>
      <c r="J260" s="344">
        <f>J261</f>
        <v>0</v>
      </c>
      <c r="K260" s="344">
        <f>+K261</f>
        <v>0</v>
      </c>
      <c r="L260" s="344">
        <f t="shared" si="160"/>
        <v>0</v>
      </c>
      <c r="M260" s="344">
        <f t="shared" si="161"/>
        <v>0</v>
      </c>
      <c r="N260" s="337">
        <f>+F260-M260</f>
        <v>35000000</v>
      </c>
      <c r="P260" s="340"/>
      <c r="S260" s="347"/>
      <c r="T260" s="347"/>
      <c r="U260" s="342"/>
    </row>
    <row r="261" spans="1:21" s="339" customFormat="1" ht="18" customHeight="1" x14ac:dyDescent="0.25">
      <c r="A261" s="334"/>
      <c r="B261" s="352"/>
      <c r="C261" s="334"/>
      <c r="D261" s="335" t="s">
        <v>129</v>
      </c>
      <c r="E261" s="335" t="s">
        <v>130</v>
      </c>
      <c r="F261" s="337">
        <v>35000000</v>
      </c>
      <c r="G261" s="344"/>
      <c r="H261" s="344"/>
      <c r="I261" s="344">
        <f t="shared" si="158"/>
        <v>0</v>
      </c>
      <c r="J261" s="344"/>
      <c r="K261" s="344"/>
      <c r="L261" s="344">
        <f>+J261+K261</f>
        <v>0</v>
      </c>
      <c r="M261" s="344">
        <f>+I261+L261</f>
        <v>0</v>
      </c>
      <c r="N261" s="337">
        <f t="shared" ref="N261" si="162">+F261-M261</f>
        <v>35000000</v>
      </c>
      <c r="P261" s="340"/>
      <c r="S261" s="346"/>
      <c r="T261" s="347"/>
      <c r="U261" s="342"/>
    </row>
    <row r="262" spans="1:21" s="339" customFormat="1" ht="18" customHeight="1" x14ac:dyDescent="0.25">
      <c r="A262" s="334"/>
      <c r="B262" s="335"/>
      <c r="C262" s="334"/>
      <c r="D262" s="365" t="s">
        <v>271</v>
      </c>
      <c r="E262" s="335" t="s">
        <v>272</v>
      </c>
      <c r="F262" s="337">
        <f t="shared" ref="F262:H262" si="163">+F263</f>
        <v>38365620000</v>
      </c>
      <c r="G262" s="344">
        <f>+G263</f>
        <v>0</v>
      </c>
      <c r="H262" s="344">
        <f t="shared" si="163"/>
        <v>3058644020</v>
      </c>
      <c r="I262" s="344">
        <f t="shared" si="158"/>
        <v>3058644020</v>
      </c>
      <c r="J262" s="344">
        <f>+J263</f>
        <v>0</v>
      </c>
      <c r="K262" s="344">
        <f t="shared" ref="K262" si="164">+K263</f>
        <v>22194700</v>
      </c>
      <c r="L262" s="344">
        <f t="shared" ref="L262" si="165">+J262+K262</f>
        <v>22194700</v>
      </c>
      <c r="M262" s="344">
        <f t="shared" ref="M262:M263" si="166">+I262+L262</f>
        <v>3080838720</v>
      </c>
      <c r="N262" s="337">
        <f>+F262-M262</f>
        <v>35284781280</v>
      </c>
      <c r="P262" s="340"/>
      <c r="S262" s="346"/>
      <c r="T262" s="347"/>
      <c r="U262" s="342"/>
    </row>
    <row r="263" spans="1:21" s="339" customFormat="1" ht="18" customHeight="1" x14ac:dyDescent="0.25">
      <c r="A263" s="334"/>
      <c r="B263" s="352"/>
      <c r="C263" s="334"/>
      <c r="D263" s="335" t="s">
        <v>81</v>
      </c>
      <c r="E263" s="335" t="s">
        <v>31</v>
      </c>
      <c r="F263" s="337">
        <f>SUM(F264:F268)</f>
        <v>38365620000</v>
      </c>
      <c r="G263" s="344">
        <f>SUM(G264:G268)</f>
        <v>0</v>
      </c>
      <c r="H263" s="344">
        <f>SUM(H264:H268)</f>
        <v>3058644020</v>
      </c>
      <c r="I263" s="344">
        <f>+G263+H263</f>
        <v>3058644020</v>
      </c>
      <c r="J263" s="344">
        <f>SUM(J264:J268)</f>
        <v>0</v>
      </c>
      <c r="K263" s="344">
        <f>SUM(K264:K268)</f>
        <v>22194700</v>
      </c>
      <c r="L263" s="344">
        <f>+J263+K263</f>
        <v>22194700</v>
      </c>
      <c r="M263" s="344">
        <f t="shared" si="166"/>
        <v>3080838720</v>
      </c>
      <c r="N263" s="337">
        <f>+F263-M263</f>
        <v>35284781280</v>
      </c>
      <c r="P263" s="340"/>
      <c r="S263" s="346"/>
      <c r="T263" s="347"/>
      <c r="U263" s="342"/>
    </row>
    <row r="264" spans="1:21" s="339" customFormat="1" ht="18" customHeight="1" x14ac:dyDescent="0.25">
      <c r="A264" s="334"/>
      <c r="B264" s="352"/>
      <c r="C264" s="334"/>
      <c r="D264" s="335" t="s">
        <v>131</v>
      </c>
      <c r="E264" s="335" t="s">
        <v>132</v>
      </c>
      <c r="F264" s="337">
        <v>16800000</v>
      </c>
      <c r="G264" s="344"/>
      <c r="H264" s="344"/>
      <c r="I264" s="344">
        <f t="shared" ref="I264:I268" si="167">+G264+H264</f>
        <v>0</v>
      </c>
      <c r="J264" s="344"/>
      <c r="K264" s="344"/>
      <c r="L264" s="344">
        <f>+J264+K264</f>
        <v>0</v>
      </c>
      <c r="M264" s="344">
        <f>+I264+L264</f>
        <v>0</v>
      </c>
      <c r="N264" s="337">
        <f t="shared" ref="N264:N268" si="168">+F264-M264</f>
        <v>16800000</v>
      </c>
      <c r="P264" s="340"/>
      <c r="S264" s="346"/>
      <c r="T264" s="347"/>
      <c r="U264" s="342"/>
    </row>
    <row r="265" spans="1:21" s="339" customFormat="1" ht="18" customHeight="1" x14ac:dyDescent="0.25">
      <c r="A265" s="334"/>
      <c r="B265" s="352"/>
      <c r="C265" s="334"/>
      <c r="D265" s="335" t="s">
        <v>133</v>
      </c>
      <c r="E265" s="335" t="s">
        <v>134</v>
      </c>
      <c r="F265" s="337">
        <v>42000000</v>
      </c>
      <c r="G265" s="344">
        <v>0</v>
      </c>
      <c r="H265" s="344"/>
      <c r="I265" s="344">
        <f t="shared" si="167"/>
        <v>0</v>
      </c>
      <c r="J265" s="344"/>
      <c r="K265" s="344">
        <v>2344700</v>
      </c>
      <c r="L265" s="344">
        <f>+J265+K265</f>
        <v>2344700</v>
      </c>
      <c r="M265" s="344">
        <f>+I265+L265</f>
        <v>2344700</v>
      </c>
      <c r="N265" s="337">
        <f t="shared" si="168"/>
        <v>39655300</v>
      </c>
      <c r="P265" s="340"/>
      <c r="S265" s="346"/>
      <c r="T265" s="347"/>
      <c r="U265" s="342"/>
    </row>
    <row r="266" spans="1:21" s="339" customFormat="1" ht="18" customHeight="1" x14ac:dyDescent="0.25">
      <c r="A266" s="334"/>
      <c r="B266" s="352"/>
      <c r="C266" s="334"/>
      <c r="D266" s="335" t="s">
        <v>135</v>
      </c>
      <c r="E266" s="335" t="s">
        <v>136</v>
      </c>
      <c r="F266" s="337">
        <v>37992800000</v>
      </c>
      <c r="G266" s="344"/>
      <c r="H266" s="344">
        <f>33466948+3025177072</f>
        <v>3058644020</v>
      </c>
      <c r="I266" s="344">
        <f t="shared" si="167"/>
        <v>3058644020</v>
      </c>
      <c r="J266" s="344"/>
      <c r="K266" s="344"/>
      <c r="L266" s="344">
        <f>+J266+K266</f>
        <v>0</v>
      </c>
      <c r="M266" s="344">
        <f>+I266+L266</f>
        <v>3058644020</v>
      </c>
      <c r="N266" s="337">
        <f t="shared" si="168"/>
        <v>34934155980</v>
      </c>
      <c r="P266" s="340"/>
      <c r="S266" s="346"/>
      <c r="T266" s="346"/>
      <c r="U266" s="342"/>
    </row>
    <row r="267" spans="1:21" s="339" customFormat="1" ht="18" customHeight="1" x14ac:dyDescent="0.25">
      <c r="A267" s="334"/>
      <c r="B267" s="352"/>
      <c r="C267" s="334"/>
      <c r="D267" s="335" t="s">
        <v>137</v>
      </c>
      <c r="E267" s="335" t="s">
        <v>138</v>
      </c>
      <c r="F267" s="337">
        <v>12820000</v>
      </c>
      <c r="G267" s="344"/>
      <c r="H267" s="344"/>
      <c r="I267" s="344">
        <f t="shared" si="167"/>
        <v>0</v>
      </c>
      <c r="J267" s="344"/>
      <c r="K267" s="344"/>
      <c r="L267" s="344">
        <f t="shared" ref="L267:L272" si="169">+J267+K267</f>
        <v>0</v>
      </c>
      <c r="M267" s="344">
        <f t="shared" ref="M267:M268" si="170">+I267+L267</f>
        <v>0</v>
      </c>
      <c r="N267" s="337">
        <f t="shared" si="168"/>
        <v>12820000</v>
      </c>
      <c r="P267" s="340"/>
      <c r="S267" s="346"/>
      <c r="T267" s="346"/>
      <c r="U267" s="342"/>
    </row>
    <row r="268" spans="1:21" s="339" customFormat="1" ht="18" customHeight="1" x14ac:dyDescent="0.25">
      <c r="A268" s="334"/>
      <c r="B268" s="352"/>
      <c r="C268" s="334"/>
      <c r="D268" s="335" t="s">
        <v>139</v>
      </c>
      <c r="E268" s="335" t="s">
        <v>140</v>
      </c>
      <c r="F268" s="337">
        <v>301200000</v>
      </c>
      <c r="G268" s="344"/>
      <c r="H268" s="344"/>
      <c r="I268" s="344">
        <f t="shared" si="167"/>
        <v>0</v>
      </c>
      <c r="J268" s="344"/>
      <c r="K268" s="344">
        <v>19850000</v>
      </c>
      <c r="L268" s="344">
        <f t="shared" si="169"/>
        <v>19850000</v>
      </c>
      <c r="M268" s="344">
        <f t="shared" si="170"/>
        <v>19850000</v>
      </c>
      <c r="N268" s="337">
        <f t="shared" si="168"/>
        <v>281350000</v>
      </c>
      <c r="P268" s="340"/>
      <c r="S268" s="346"/>
      <c r="T268" s="346"/>
      <c r="U268" s="342"/>
    </row>
    <row r="269" spans="1:21" s="319" customFormat="1" ht="18" customHeight="1" x14ac:dyDescent="0.25">
      <c r="A269" s="276">
        <v>14</v>
      </c>
      <c r="B269" s="305"/>
      <c r="C269" s="305" t="s">
        <v>141</v>
      </c>
      <c r="D269" s="363"/>
      <c r="E269" s="364" t="s">
        <v>142</v>
      </c>
      <c r="F269" s="307">
        <f>+F270</f>
        <v>100000000</v>
      </c>
      <c r="G269" s="308">
        <f>+G270</f>
        <v>0</v>
      </c>
      <c r="H269" s="308">
        <f>+H270</f>
        <v>0</v>
      </c>
      <c r="I269" s="308">
        <f>+G269+H269</f>
        <v>0</v>
      </c>
      <c r="J269" s="308">
        <f>+J270</f>
        <v>0</v>
      </c>
      <c r="K269" s="308">
        <f>+K270</f>
        <v>0</v>
      </c>
      <c r="L269" s="308">
        <f t="shared" si="169"/>
        <v>0</v>
      </c>
      <c r="M269" s="308">
        <f>+I269+L269</f>
        <v>0</v>
      </c>
      <c r="N269" s="307">
        <f>+F269-M269</f>
        <v>100000000</v>
      </c>
      <c r="P269" s="320"/>
      <c r="R269" s="321"/>
      <c r="S269" s="349"/>
      <c r="T269" s="349"/>
      <c r="U269" s="350"/>
    </row>
    <row r="270" spans="1:21" s="329" customFormat="1" ht="16.5" customHeight="1" x14ac:dyDescent="0.25">
      <c r="A270" s="323"/>
      <c r="B270" s="324"/>
      <c r="C270" s="324"/>
      <c r="D270" s="325" t="s">
        <v>207</v>
      </c>
      <c r="E270" s="326" t="s">
        <v>262</v>
      </c>
      <c r="F270" s="327">
        <f>+F271</f>
        <v>100000000</v>
      </c>
      <c r="G270" s="328">
        <f>+G271</f>
        <v>0</v>
      </c>
      <c r="H270" s="328">
        <f t="shared" ref="F270:H272" si="171">+H271</f>
        <v>0</v>
      </c>
      <c r="I270" s="328">
        <f t="shared" ref="I270:I276" si="172">+G270+H270</f>
        <v>0</v>
      </c>
      <c r="J270" s="328">
        <f t="shared" ref="J270:J272" si="173">+J271</f>
        <v>0</v>
      </c>
      <c r="K270" s="328">
        <f>+K271</f>
        <v>0</v>
      </c>
      <c r="L270" s="328">
        <f t="shared" si="169"/>
        <v>0</v>
      </c>
      <c r="M270" s="328">
        <f t="shared" ref="M270:M273" si="174">+I270+L270</f>
        <v>0</v>
      </c>
      <c r="N270" s="327">
        <f>+F270-M270</f>
        <v>100000000</v>
      </c>
      <c r="P270" s="330"/>
      <c r="R270" s="331"/>
      <c r="S270" s="351"/>
      <c r="T270" s="351"/>
      <c r="U270" s="333"/>
    </row>
    <row r="271" spans="1:21" s="339" customFormat="1" ht="16.5" customHeight="1" x14ac:dyDescent="0.25">
      <c r="A271" s="334"/>
      <c r="B271" s="352"/>
      <c r="C271" s="334"/>
      <c r="D271" s="335" t="s">
        <v>63</v>
      </c>
      <c r="E271" s="335" t="s">
        <v>30</v>
      </c>
      <c r="F271" s="337">
        <f>F272</f>
        <v>100000000</v>
      </c>
      <c r="G271" s="344">
        <f>+G272</f>
        <v>0</v>
      </c>
      <c r="H271" s="344">
        <f t="shared" si="171"/>
        <v>0</v>
      </c>
      <c r="I271" s="344">
        <f t="shared" si="172"/>
        <v>0</v>
      </c>
      <c r="J271" s="344">
        <f t="shared" si="173"/>
        <v>0</v>
      </c>
      <c r="K271" s="344">
        <f>+K272</f>
        <v>0</v>
      </c>
      <c r="L271" s="344">
        <f t="shared" si="169"/>
        <v>0</v>
      </c>
      <c r="M271" s="344">
        <f t="shared" si="174"/>
        <v>0</v>
      </c>
      <c r="N271" s="337">
        <f>+F271-M271</f>
        <v>100000000</v>
      </c>
      <c r="P271" s="340"/>
      <c r="S271" s="347"/>
      <c r="T271" s="347"/>
      <c r="U271" s="342"/>
    </row>
    <row r="272" spans="1:21" s="339" customFormat="1" ht="16.5" customHeight="1" x14ac:dyDescent="0.25">
      <c r="A272" s="334"/>
      <c r="B272" s="335"/>
      <c r="C272" s="334"/>
      <c r="D272" s="365" t="s">
        <v>263</v>
      </c>
      <c r="E272" s="335" t="s">
        <v>264</v>
      </c>
      <c r="F272" s="337">
        <f t="shared" si="171"/>
        <v>100000000</v>
      </c>
      <c r="G272" s="344">
        <f>+G273</f>
        <v>0</v>
      </c>
      <c r="H272" s="344">
        <f t="shared" si="171"/>
        <v>0</v>
      </c>
      <c r="I272" s="344">
        <f t="shared" si="172"/>
        <v>0</v>
      </c>
      <c r="J272" s="344">
        <f t="shared" si="173"/>
        <v>0</v>
      </c>
      <c r="K272" s="344">
        <f>+K273</f>
        <v>0</v>
      </c>
      <c r="L272" s="344">
        <f t="shared" si="169"/>
        <v>0</v>
      </c>
      <c r="M272" s="344">
        <f t="shared" si="174"/>
        <v>0</v>
      </c>
      <c r="N272" s="337">
        <f>+F272-M272</f>
        <v>100000000</v>
      </c>
      <c r="P272" s="340"/>
      <c r="S272" s="347"/>
      <c r="T272" s="347"/>
      <c r="U272" s="342"/>
    </row>
    <row r="273" spans="1:21" s="339" customFormat="1" ht="16.5" customHeight="1" x14ac:dyDescent="0.25">
      <c r="A273" s="334"/>
      <c r="B273" s="352"/>
      <c r="C273" s="334"/>
      <c r="D273" s="335" t="s">
        <v>64</v>
      </c>
      <c r="E273" s="335" t="s">
        <v>65</v>
      </c>
      <c r="F273" s="337">
        <f>SUM(F274:F277)</f>
        <v>100000000</v>
      </c>
      <c r="G273" s="344">
        <f>SUM(G274:G277)</f>
        <v>0</v>
      </c>
      <c r="H273" s="344">
        <f>SUM(H274:H277)</f>
        <v>0</v>
      </c>
      <c r="I273" s="344">
        <f>+G273+H273</f>
        <v>0</v>
      </c>
      <c r="J273" s="344">
        <f>SUM(J274:J277)</f>
        <v>0</v>
      </c>
      <c r="K273" s="344">
        <f>SUM(K274:K277)</f>
        <v>0</v>
      </c>
      <c r="L273" s="344">
        <f>+J273+K273</f>
        <v>0</v>
      </c>
      <c r="M273" s="344">
        <f t="shared" si="174"/>
        <v>0</v>
      </c>
      <c r="N273" s="337">
        <f>+F273-M273</f>
        <v>100000000</v>
      </c>
      <c r="P273" s="340"/>
      <c r="S273" s="347"/>
      <c r="T273" s="347"/>
      <c r="U273" s="342"/>
    </row>
    <row r="274" spans="1:21" s="339" customFormat="1" ht="16.5" customHeight="1" x14ac:dyDescent="0.25">
      <c r="A274" s="334"/>
      <c r="B274" s="352"/>
      <c r="C274" s="334"/>
      <c r="D274" s="335" t="s">
        <v>66</v>
      </c>
      <c r="E274" s="335" t="s">
        <v>67</v>
      </c>
      <c r="F274" s="337">
        <v>57982150</v>
      </c>
      <c r="G274" s="344"/>
      <c r="H274" s="344"/>
      <c r="I274" s="344">
        <f t="shared" si="172"/>
        <v>0</v>
      </c>
      <c r="J274" s="344"/>
      <c r="K274" s="344"/>
      <c r="L274" s="344">
        <f>+J274+K274</f>
        <v>0</v>
      </c>
      <c r="M274" s="344">
        <f>+I274+L274</f>
        <v>0</v>
      </c>
      <c r="N274" s="337">
        <f t="shared" ref="N274:N277" si="175">+F274-M274</f>
        <v>57982150</v>
      </c>
      <c r="P274" s="340"/>
      <c r="S274" s="347"/>
      <c r="T274" s="347"/>
      <c r="U274" s="342"/>
    </row>
    <row r="275" spans="1:21" s="339" customFormat="1" ht="18" customHeight="1" x14ac:dyDescent="0.25">
      <c r="A275" s="334"/>
      <c r="B275" s="352"/>
      <c r="C275" s="334"/>
      <c r="D275" s="335" t="s">
        <v>337</v>
      </c>
      <c r="E275" s="335" t="s">
        <v>338</v>
      </c>
      <c r="F275" s="337">
        <v>29743300</v>
      </c>
      <c r="G275" s="344"/>
      <c r="H275" s="344"/>
      <c r="I275" s="344">
        <f t="shared" si="172"/>
        <v>0</v>
      </c>
      <c r="J275" s="344"/>
      <c r="K275" s="344"/>
      <c r="L275" s="344"/>
      <c r="M275" s="344">
        <f t="shared" ref="M275:M276" si="176">+I275+L275</f>
        <v>0</v>
      </c>
      <c r="N275" s="337">
        <f t="shared" si="175"/>
        <v>29743300</v>
      </c>
      <c r="P275" s="340"/>
      <c r="S275" s="347"/>
      <c r="T275" s="347"/>
      <c r="U275" s="342"/>
    </row>
    <row r="276" spans="1:21" s="339" customFormat="1" ht="18" customHeight="1" x14ac:dyDescent="0.25">
      <c r="A276" s="334"/>
      <c r="B276" s="352"/>
      <c r="C276" s="334"/>
      <c r="D276" s="335" t="s">
        <v>339</v>
      </c>
      <c r="E276" s="335" t="s">
        <v>340</v>
      </c>
      <c r="F276" s="337">
        <v>8842500</v>
      </c>
      <c r="G276" s="344"/>
      <c r="H276" s="344"/>
      <c r="I276" s="344">
        <f t="shared" si="172"/>
        <v>0</v>
      </c>
      <c r="J276" s="344"/>
      <c r="K276" s="344"/>
      <c r="L276" s="344"/>
      <c r="M276" s="344">
        <f t="shared" si="176"/>
        <v>0</v>
      </c>
      <c r="N276" s="337">
        <f t="shared" si="175"/>
        <v>8842500</v>
      </c>
      <c r="P276" s="340"/>
      <c r="S276" s="347"/>
      <c r="T276" s="347"/>
      <c r="U276" s="342"/>
    </row>
    <row r="277" spans="1:21" s="153" customFormat="1" ht="18" customHeight="1" x14ac:dyDescent="0.25">
      <c r="A277" s="353"/>
      <c r="B277" s="387"/>
      <c r="C277" s="353"/>
      <c r="D277" s="355" t="s">
        <v>361</v>
      </c>
      <c r="E277" s="355" t="s">
        <v>362</v>
      </c>
      <c r="F277" s="356">
        <v>3432050</v>
      </c>
      <c r="G277" s="357"/>
      <c r="H277" s="357"/>
      <c r="I277" s="357">
        <f>+G277+H277</f>
        <v>0</v>
      </c>
      <c r="J277" s="357"/>
      <c r="K277" s="357"/>
      <c r="L277" s="357">
        <f>+J277+K277</f>
        <v>0</v>
      </c>
      <c r="M277" s="357">
        <f>+I277+L277</f>
        <v>0</v>
      </c>
      <c r="N277" s="356">
        <f t="shared" si="175"/>
        <v>3432050</v>
      </c>
      <c r="P277" s="200"/>
      <c r="S277" s="221"/>
      <c r="T277" s="221"/>
      <c r="U277" s="254"/>
    </row>
    <row r="278" spans="1:21" s="319" customFormat="1" ht="18" customHeight="1" x14ac:dyDescent="0.25">
      <c r="A278" s="275">
        <v>15</v>
      </c>
      <c r="B278" s="305"/>
      <c r="C278" s="305" t="s">
        <v>363</v>
      </c>
      <c r="D278" s="363"/>
      <c r="E278" s="364" t="s">
        <v>364</v>
      </c>
      <c r="F278" s="307">
        <f t="shared" ref="F278:H279" si="177">+F279</f>
        <v>1060812675</v>
      </c>
      <c r="G278" s="308">
        <f t="shared" si="177"/>
        <v>0</v>
      </c>
      <c r="H278" s="308">
        <f t="shared" si="177"/>
        <v>0</v>
      </c>
      <c r="I278" s="308">
        <f>+G278+H278</f>
        <v>0</v>
      </c>
      <c r="J278" s="308">
        <f>+J279</f>
        <v>0</v>
      </c>
      <c r="K278" s="308">
        <f>+K279</f>
        <v>72760000</v>
      </c>
      <c r="L278" s="308">
        <f>+J278+K278</f>
        <v>72760000</v>
      </c>
      <c r="M278" s="308">
        <f>+I278+L278</f>
        <v>72760000</v>
      </c>
      <c r="N278" s="307">
        <f>+F278-M278</f>
        <v>988052675</v>
      </c>
      <c r="P278" s="320"/>
      <c r="R278" s="321"/>
      <c r="S278" s="349"/>
      <c r="T278" s="349"/>
      <c r="U278" s="350"/>
    </row>
    <row r="279" spans="1:21" s="329" customFormat="1" ht="18" customHeight="1" x14ac:dyDescent="0.25">
      <c r="A279" s="323"/>
      <c r="B279" s="324"/>
      <c r="C279" s="324"/>
      <c r="D279" s="325" t="s">
        <v>207</v>
      </c>
      <c r="E279" s="326" t="s">
        <v>262</v>
      </c>
      <c r="F279" s="327">
        <f t="shared" si="177"/>
        <v>1060812675</v>
      </c>
      <c r="G279" s="328">
        <f t="shared" si="177"/>
        <v>0</v>
      </c>
      <c r="H279" s="328">
        <f t="shared" si="177"/>
        <v>0</v>
      </c>
      <c r="I279" s="328">
        <f t="shared" ref="I279:I283" si="178">+G279+H279</f>
        <v>0</v>
      </c>
      <c r="J279" s="328">
        <f>+J280</f>
        <v>0</v>
      </c>
      <c r="K279" s="328">
        <f>+K280</f>
        <v>72760000</v>
      </c>
      <c r="L279" s="328">
        <f t="shared" ref="L279:L281" si="179">+J279+K279</f>
        <v>72760000</v>
      </c>
      <c r="M279" s="328">
        <f t="shared" ref="M279:M282" si="180">+I279+L279</f>
        <v>72760000</v>
      </c>
      <c r="N279" s="327">
        <f>+F279-M279</f>
        <v>988052675</v>
      </c>
      <c r="P279" s="330"/>
      <c r="R279" s="331"/>
      <c r="S279" s="351"/>
      <c r="T279" s="351"/>
      <c r="U279" s="333"/>
    </row>
    <row r="280" spans="1:21" s="339" customFormat="1" ht="18" customHeight="1" x14ac:dyDescent="0.25">
      <c r="A280" s="334"/>
      <c r="B280" s="352"/>
      <c r="C280" s="334"/>
      <c r="D280" s="335" t="s">
        <v>63</v>
      </c>
      <c r="E280" s="335" t="s">
        <v>30</v>
      </c>
      <c r="F280" s="337">
        <f>+F281+F291</f>
        <v>1060812675</v>
      </c>
      <c r="G280" s="344">
        <f>+G281+G291</f>
        <v>0</v>
      </c>
      <c r="H280" s="344">
        <f>+H281+H291</f>
        <v>0</v>
      </c>
      <c r="I280" s="344">
        <f t="shared" si="178"/>
        <v>0</v>
      </c>
      <c r="J280" s="344">
        <f>+J281+J291</f>
        <v>0</v>
      </c>
      <c r="K280" s="344">
        <f>+K281+K291</f>
        <v>72760000</v>
      </c>
      <c r="L280" s="344">
        <f t="shared" si="179"/>
        <v>72760000</v>
      </c>
      <c r="M280" s="344">
        <f t="shared" si="180"/>
        <v>72760000</v>
      </c>
      <c r="N280" s="337">
        <f>+F280-M280</f>
        <v>988052675</v>
      </c>
      <c r="P280" s="340"/>
      <c r="S280" s="347"/>
      <c r="T280" s="347"/>
      <c r="U280" s="342"/>
    </row>
    <row r="281" spans="1:21" s="339" customFormat="1" ht="18" customHeight="1" x14ac:dyDescent="0.25">
      <c r="A281" s="334"/>
      <c r="B281" s="335"/>
      <c r="C281" s="334"/>
      <c r="D281" s="365" t="s">
        <v>263</v>
      </c>
      <c r="E281" s="335" t="s">
        <v>264</v>
      </c>
      <c r="F281" s="337">
        <f>+F282</f>
        <v>105412675</v>
      </c>
      <c r="G281" s="344">
        <f t="shared" ref="G281:J281" si="181">+G282</f>
        <v>0</v>
      </c>
      <c r="H281" s="344">
        <f>+H282</f>
        <v>0</v>
      </c>
      <c r="I281" s="344">
        <f t="shared" si="178"/>
        <v>0</v>
      </c>
      <c r="J281" s="344">
        <f t="shared" si="181"/>
        <v>0</v>
      </c>
      <c r="K281" s="344">
        <f>+K282</f>
        <v>0</v>
      </c>
      <c r="L281" s="344">
        <f t="shared" si="179"/>
        <v>0</v>
      </c>
      <c r="M281" s="344">
        <f t="shared" si="180"/>
        <v>0</v>
      </c>
      <c r="N281" s="337">
        <f>+F281-M281</f>
        <v>105412675</v>
      </c>
      <c r="P281" s="340"/>
      <c r="S281" s="347"/>
      <c r="T281" s="347"/>
      <c r="U281" s="342"/>
    </row>
    <row r="282" spans="1:21" s="339" customFormat="1" ht="18" customHeight="1" x14ac:dyDescent="0.25">
      <c r="A282" s="334"/>
      <c r="B282" s="352"/>
      <c r="C282" s="334"/>
      <c r="D282" s="335" t="s">
        <v>64</v>
      </c>
      <c r="E282" s="335" t="s">
        <v>65</v>
      </c>
      <c r="F282" s="337">
        <f>SUM(F283:F290)</f>
        <v>105412675</v>
      </c>
      <c r="G282" s="344">
        <f>SUM(G283:G290)</f>
        <v>0</v>
      </c>
      <c r="H282" s="344">
        <f>SUM(H283:H290)</f>
        <v>0</v>
      </c>
      <c r="I282" s="344">
        <f>+G282+H282</f>
        <v>0</v>
      </c>
      <c r="J282" s="344">
        <f>SUM(J283:J290)</f>
        <v>0</v>
      </c>
      <c r="K282" s="344">
        <f>SUM(K283:K290)</f>
        <v>0</v>
      </c>
      <c r="L282" s="344">
        <f>+J282+K282</f>
        <v>0</v>
      </c>
      <c r="M282" s="344">
        <f t="shared" si="180"/>
        <v>0</v>
      </c>
      <c r="N282" s="337">
        <f>+F282-M282</f>
        <v>105412675</v>
      </c>
      <c r="P282" s="340"/>
      <c r="S282" s="347"/>
      <c r="T282" s="347"/>
      <c r="U282" s="342"/>
    </row>
    <row r="283" spans="1:21" s="339" customFormat="1" ht="18" customHeight="1" x14ac:dyDescent="0.25">
      <c r="A283" s="366"/>
      <c r="C283" s="366"/>
      <c r="D283" s="367" t="s">
        <v>365</v>
      </c>
      <c r="E283" s="367" t="s">
        <v>366</v>
      </c>
      <c r="F283" s="370">
        <v>9228650</v>
      </c>
      <c r="G283" s="371"/>
      <c r="H283" s="371"/>
      <c r="I283" s="371">
        <f t="shared" si="178"/>
        <v>0</v>
      </c>
      <c r="J283" s="371"/>
      <c r="K283" s="371"/>
      <c r="L283" s="371">
        <f>+J283+K283</f>
        <v>0</v>
      </c>
      <c r="M283" s="371">
        <f>+I283+L283</f>
        <v>0</v>
      </c>
      <c r="N283" s="370">
        <f t="shared" ref="N283:N290" si="182">+F283-M283</f>
        <v>9228650</v>
      </c>
      <c r="P283" s="340"/>
      <c r="S283" s="347"/>
      <c r="T283" s="347"/>
      <c r="U283" s="342"/>
    </row>
    <row r="284" spans="1:21" s="339" customFormat="1" ht="18" customHeight="1" x14ac:dyDescent="0.25">
      <c r="A284" s="366"/>
      <c r="C284" s="366"/>
      <c r="D284" s="367" t="s">
        <v>66</v>
      </c>
      <c r="E284" s="367" t="s">
        <v>67</v>
      </c>
      <c r="F284" s="370">
        <v>4831925</v>
      </c>
      <c r="G284" s="371"/>
      <c r="H284" s="371"/>
      <c r="I284" s="371"/>
      <c r="J284" s="371"/>
      <c r="K284" s="371"/>
      <c r="L284" s="371">
        <f t="shared" ref="L284:L296" si="183">+J284+K284</f>
        <v>0</v>
      </c>
      <c r="M284" s="371">
        <f t="shared" ref="M284:M292" si="184">+I284+L284</f>
        <v>0</v>
      </c>
      <c r="N284" s="370">
        <f t="shared" si="182"/>
        <v>4831925</v>
      </c>
      <c r="P284" s="340"/>
      <c r="S284" s="347"/>
      <c r="T284" s="347"/>
      <c r="U284" s="342"/>
    </row>
    <row r="285" spans="1:21" s="339" customFormat="1" ht="18" customHeight="1" x14ac:dyDescent="0.25">
      <c r="A285" s="366"/>
      <c r="C285" s="366"/>
      <c r="D285" s="367" t="s">
        <v>337</v>
      </c>
      <c r="E285" s="367" t="s">
        <v>338</v>
      </c>
      <c r="F285" s="370">
        <v>18985000</v>
      </c>
      <c r="G285" s="371"/>
      <c r="H285" s="371"/>
      <c r="I285" s="371"/>
      <c r="J285" s="371"/>
      <c r="K285" s="371"/>
      <c r="L285" s="371">
        <f t="shared" si="183"/>
        <v>0</v>
      </c>
      <c r="M285" s="371">
        <f t="shared" si="184"/>
        <v>0</v>
      </c>
      <c r="N285" s="370">
        <f t="shared" si="182"/>
        <v>18985000</v>
      </c>
      <c r="P285" s="340"/>
      <c r="S285" s="347"/>
      <c r="T285" s="347"/>
      <c r="U285" s="342"/>
    </row>
    <row r="286" spans="1:21" s="339" customFormat="1" ht="18" customHeight="1" x14ac:dyDescent="0.25">
      <c r="A286" s="366"/>
      <c r="C286" s="366"/>
      <c r="D286" s="367" t="s">
        <v>339</v>
      </c>
      <c r="E286" s="367" t="s">
        <v>340</v>
      </c>
      <c r="F286" s="370">
        <v>2175000</v>
      </c>
      <c r="G286" s="371"/>
      <c r="H286" s="371"/>
      <c r="I286" s="371"/>
      <c r="J286" s="371"/>
      <c r="K286" s="371"/>
      <c r="L286" s="371">
        <f t="shared" si="183"/>
        <v>0</v>
      </c>
      <c r="M286" s="371">
        <f t="shared" si="184"/>
        <v>0</v>
      </c>
      <c r="N286" s="370">
        <f t="shared" si="182"/>
        <v>2175000</v>
      </c>
      <c r="P286" s="340"/>
      <c r="S286" s="347"/>
      <c r="T286" s="347"/>
      <c r="U286" s="342"/>
    </row>
    <row r="287" spans="1:21" s="339" customFormat="1" ht="18" customHeight="1" x14ac:dyDescent="0.25">
      <c r="A287" s="366"/>
      <c r="C287" s="366"/>
      <c r="D287" s="367" t="s">
        <v>367</v>
      </c>
      <c r="E287" s="367" t="s">
        <v>368</v>
      </c>
      <c r="F287" s="370">
        <v>55592100</v>
      </c>
      <c r="G287" s="371"/>
      <c r="H287" s="371"/>
      <c r="I287" s="371">
        <f>+G287+H287</f>
        <v>0</v>
      </c>
      <c r="J287" s="371"/>
      <c r="K287" s="371"/>
      <c r="L287" s="371">
        <f t="shared" si="183"/>
        <v>0</v>
      </c>
      <c r="M287" s="371">
        <f t="shared" si="184"/>
        <v>0</v>
      </c>
      <c r="N287" s="370">
        <f t="shared" si="182"/>
        <v>55592100</v>
      </c>
      <c r="P287" s="340"/>
      <c r="S287" s="347"/>
      <c r="T287" s="347"/>
      <c r="U287" s="342"/>
    </row>
    <row r="288" spans="1:21" s="339" customFormat="1" ht="22.5" customHeight="1" x14ac:dyDescent="0.25">
      <c r="A288" s="366"/>
      <c r="C288" s="366"/>
      <c r="D288" s="367" t="s">
        <v>369</v>
      </c>
      <c r="E288" s="367" t="s">
        <v>370</v>
      </c>
      <c r="F288" s="370">
        <v>7200000</v>
      </c>
      <c r="G288" s="371"/>
      <c r="H288" s="371"/>
      <c r="I288" s="371"/>
      <c r="J288" s="371"/>
      <c r="K288" s="371"/>
      <c r="L288" s="371">
        <f t="shared" si="183"/>
        <v>0</v>
      </c>
      <c r="M288" s="371">
        <f t="shared" si="184"/>
        <v>0</v>
      </c>
      <c r="N288" s="370">
        <f t="shared" si="182"/>
        <v>7200000</v>
      </c>
      <c r="P288" s="340"/>
      <c r="S288" s="347"/>
      <c r="T288" s="347"/>
      <c r="U288" s="342"/>
    </row>
    <row r="289" spans="1:21" s="339" customFormat="1" ht="18" customHeight="1" x14ac:dyDescent="0.25">
      <c r="A289" s="366"/>
      <c r="C289" s="366"/>
      <c r="D289" s="367" t="s">
        <v>70</v>
      </c>
      <c r="E289" s="367" t="s">
        <v>33</v>
      </c>
      <c r="F289" s="370">
        <v>5000000</v>
      </c>
      <c r="G289" s="371"/>
      <c r="H289" s="371"/>
      <c r="I289" s="371"/>
      <c r="J289" s="371"/>
      <c r="K289" s="371"/>
      <c r="L289" s="371">
        <f t="shared" si="183"/>
        <v>0</v>
      </c>
      <c r="M289" s="371">
        <f t="shared" si="184"/>
        <v>0</v>
      </c>
      <c r="N289" s="370">
        <f t="shared" si="182"/>
        <v>5000000</v>
      </c>
      <c r="P289" s="340"/>
      <c r="S289" s="347"/>
      <c r="T289" s="347"/>
      <c r="U289" s="342"/>
    </row>
    <row r="290" spans="1:21" s="339" customFormat="1" ht="18" customHeight="1" x14ac:dyDescent="0.25">
      <c r="A290" s="366"/>
      <c r="C290" s="366"/>
      <c r="D290" s="367" t="s">
        <v>374</v>
      </c>
      <c r="E290" s="367" t="s">
        <v>375</v>
      </c>
      <c r="F290" s="370">
        <v>2400000</v>
      </c>
      <c r="G290" s="371"/>
      <c r="H290" s="371"/>
      <c r="I290" s="371"/>
      <c r="J290" s="371"/>
      <c r="K290" s="371"/>
      <c r="L290" s="371">
        <f t="shared" si="183"/>
        <v>0</v>
      </c>
      <c r="M290" s="371">
        <f t="shared" si="184"/>
        <v>0</v>
      </c>
      <c r="N290" s="370">
        <f t="shared" si="182"/>
        <v>2400000</v>
      </c>
      <c r="P290" s="340"/>
      <c r="S290" s="347"/>
      <c r="T290" s="347"/>
      <c r="U290" s="342"/>
    </row>
    <row r="291" spans="1:21" s="339" customFormat="1" ht="18" customHeight="1" x14ac:dyDescent="0.25">
      <c r="A291" s="334"/>
      <c r="B291" s="335"/>
      <c r="C291" s="334"/>
      <c r="D291" s="365" t="s">
        <v>271</v>
      </c>
      <c r="E291" s="335" t="s">
        <v>272</v>
      </c>
      <c r="F291" s="337">
        <f t="shared" ref="F291:J291" si="185">+F292</f>
        <v>955400000</v>
      </c>
      <c r="G291" s="344">
        <f t="shared" si="185"/>
        <v>0</v>
      </c>
      <c r="H291" s="344">
        <f>+H292</f>
        <v>0</v>
      </c>
      <c r="I291" s="344">
        <f>+G291+H291</f>
        <v>0</v>
      </c>
      <c r="J291" s="344">
        <f t="shared" si="185"/>
        <v>0</v>
      </c>
      <c r="K291" s="344">
        <f>+K292</f>
        <v>72760000</v>
      </c>
      <c r="L291" s="344">
        <f t="shared" si="183"/>
        <v>72760000</v>
      </c>
      <c r="M291" s="344">
        <f t="shared" si="184"/>
        <v>72760000</v>
      </c>
      <c r="N291" s="337">
        <f>+F291-M291</f>
        <v>882640000</v>
      </c>
      <c r="P291" s="340"/>
      <c r="S291" s="347"/>
      <c r="T291" s="347"/>
      <c r="U291" s="342"/>
    </row>
    <row r="292" spans="1:21" s="339" customFormat="1" ht="18" customHeight="1" x14ac:dyDescent="0.25">
      <c r="A292" s="334"/>
      <c r="B292" s="352"/>
      <c r="C292" s="334"/>
      <c r="D292" s="335" t="s">
        <v>81</v>
      </c>
      <c r="E292" s="335" t="s">
        <v>31</v>
      </c>
      <c r="F292" s="337">
        <f>SUM(F293:F296)</f>
        <v>955400000</v>
      </c>
      <c r="G292" s="344">
        <f>SUM(G293:G296)</f>
        <v>0</v>
      </c>
      <c r="H292" s="344">
        <f>SUM(H293:H296)</f>
        <v>0</v>
      </c>
      <c r="I292" s="344">
        <f>+G292+H292</f>
        <v>0</v>
      </c>
      <c r="J292" s="344">
        <f>SUM(J293:J296)</f>
        <v>0</v>
      </c>
      <c r="K292" s="344">
        <f>SUM(K293:K296)</f>
        <v>72760000</v>
      </c>
      <c r="L292" s="344">
        <f t="shared" si="183"/>
        <v>72760000</v>
      </c>
      <c r="M292" s="344">
        <f t="shared" si="184"/>
        <v>72760000</v>
      </c>
      <c r="N292" s="337">
        <f>+F292-M292</f>
        <v>882640000</v>
      </c>
      <c r="P292" s="340"/>
      <c r="S292" s="347"/>
      <c r="T292" s="347"/>
      <c r="U292" s="342"/>
    </row>
    <row r="293" spans="1:21" s="339" customFormat="1" ht="18" customHeight="1" x14ac:dyDescent="0.25">
      <c r="A293" s="334"/>
      <c r="B293" s="352"/>
      <c r="C293" s="334"/>
      <c r="D293" s="335" t="s">
        <v>100</v>
      </c>
      <c r="E293" s="335" t="s">
        <v>101</v>
      </c>
      <c r="F293" s="337">
        <v>336000000</v>
      </c>
      <c r="G293" s="344"/>
      <c r="H293" s="344"/>
      <c r="I293" s="344">
        <f t="shared" ref="I293:I294" si="186">+G293+H293</f>
        <v>0</v>
      </c>
      <c r="J293" s="344"/>
      <c r="K293" s="344"/>
      <c r="L293" s="344">
        <f t="shared" si="183"/>
        <v>0</v>
      </c>
      <c r="M293" s="344">
        <f>+I293+L293</f>
        <v>0</v>
      </c>
      <c r="N293" s="337">
        <f t="shared" ref="N293:N296" si="187">+F293-M293</f>
        <v>336000000</v>
      </c>
      <c r="P293" s="340"/>
      <c r="S293" s="347"/>
      <c r="T293" s="347"/>
      <c r="U293" s="342"/>
    </row>
    <row r="294" spans="1:21" s="339" customFormat="1" ht="18" customHeight="1" x14ac:dyDescent="0.25">
      <c r="A294" s="334"/>
      <c r="B294" s="352"/>
      <c r="C294" s="334"/>
      <c r="D294" s="335" t="s">
        <v>474</v>
      </c>
      <c r="E294" s="335" t="s">
        <v>475</v>
      </c>
      <c r="F294" s="337">
        <v>350000000</v>
      </c>
      <c r="G294" s="344"/>
      <c r="H294" s="344"/>
      <c r="I294" s="344">
        <f t="shared" si="186"/>
        <v>0</v>
      </c>
      <c r="J294" s="344"/>
      <c r="K294" s="344"/>
      <c r="L294" s="344">
        <f t="shared" si="183"/>
        <v>0</v>
      </c>
      <c r="M294" s="344">
        <f>+I294+L294</f>
        <v>0</v>
      </c>
      <c r="N294" s="337">
        <f t="shared" si="187"/>
        <v>350000000</v>
      </c>
      <c r="P294" s="340"/>
      <c r="S294" s="347"/>
      <c r="T294" s="347"/>
      <c r="U294" s="342"/>
    </row>
    <row r="295" spans="1:21" s="339" customFormat="1" ht="18" customHeight="1" x14ac:dyDescent="0.25">
      <c r="A295" s="334"/>
      <c r="B295" s="352"/>
      <c r="C295" s="334"/>
      <c r="D295" s="335" t="s">
        <v>376</v>
      </c>
      <c r="E295" s="335" t="s">
        <v>377</v>
      </c>
      <c r="F295" s="337">
        <v>268800000</v>
      </c>
      <c r="G295" s="344">
        <v>0</v>
      </c>
      <c r="H295" s="344"/>
      <c r="I295" s="344">
        <f>+G295+H295</f>
        <v>0</v>
      </c>
      <c r="J295" s="344"/>
      <c r="K295" s="344">
        <v>72760000</v>
      </c>
      <c r="L295" s="344">
        <f t="shared" si="183"/>
        <v>72760000</v>
      </c>
      <c r="M295" s="344">
        <f>+I295+L295</f>
        <v>72760000</v>
      </c>
      <c r="N295" s="337">
        <f t="shared" si="187"/>
        <v>196040000</v>
      </c>
      <c r="P295" s="340"/>
      <c r="S295" s="346"/>
      <c r="T295" s="347"/>
      <c r="U295" s="342"/>
    </row>
    <row r="296" spans="1:21" s="339" customFormat="1" ht="18" customHeight="1" x14ac:dyDescent="0.25">
      <c r="A296" s="334"/>
      <c r="B296" s="352"/>
      <c r="C296" s="334"/>
      <c r="D296" s="335" t="s">
        <v>378</v>
      </c>
      <c r="E296" s="335" t="s">
        <v>379</v>
      </c>
      <c r="F296" s="337">
        <v>600000</v>
      </c>
      <c r="G296" s="344"/>
      <c r="H296" s="344"/>
      <c r="I296" s="344"/>
      <c r="J296" s="344"/>
      <c r="K296" s="344"/>
      <c r="L296" s="344">
        <f t="shared" si="183"/>
        <v>0</v>
      </c>
      <c r="M296" s="344">
        <f>+I296+L296</f>
        <v>0</v>
      </c>
      <c r="N296" s="337">
        <f t="shared" si="187"/>
        <v>600000</v>
      </c>
      <c r="P296" s="340"/>
      <c r="S296" s="346"/>
      <c r="T296" s="347"/>
      <c r="U296" s="342"/>
    </row>
    <row r="297" spans="1:21" s="388" customFormat="1" ht="18" customHeight="1" x14ac:dyDescent="0.25">
      <c r="A297" s="393"/>
      <c r="B297" s="393"/>
      <c r="C297" s="393"/>
      <c r="D297" s="393"/>
      <c r="E297" s="393"/>
      <c r="F297" s="394"/>
      <c r="G297" s="395"/>
      <c r="H297" s="395"/>
      <c r="I297" s="395"/>
      <c r="J297" s="395"/>
      <c r="K297" s="395"/>
      <c r="L297" s="395"/>
      <c r="M297" s="395"/>
      <c r="N297" s="394"/>
      <c r="P297" s="200"/>
      <c r="S297" s="221"/>
      <c r="T297" s="221"/>
      <c r="U297" s="389"/>
    </row>
    <row r="298" spans="1:21" s="319" customFormat="1" ht="21" customHeight="1" x14ac:dyDescent="0.25">
      <c r="A298" s="276"/>
      <c r="B298" s="305" t="s">
        <v>342</v>
      </c>
      <c r="C298" s="305"/>
      <c r="D298" s="305"/>
      <c r="E298" s="396" t="s">
        <v>341</v>
      </c>
      <c r="F298" s="359">
        <f>+F299+F312+F331+F337+F343</f>
        <v>2394721000</v>
      </c>
      <c r="G298" s="360">
        <f>+G299+G312+G331+G337+G343</f>
        <v>0</v>
      </c>
      <c r="H298" s="360">
        <f>+H299+H312+H331+H337+H343</f>
        <v>0</v>
      </c>
      <c r="I298" s="360">
        <f t="shared" ref="I298:I303" si="188">+G298+H298</f>
        <v>0</v>
      </c>
      <c r="J298" s="360">
        <f>+J299+J312+J331+J337+J343</f>
        <v>0</v>
      </c>
      <c r="K298" s="360">
        <f>+K299+K312+K331+K337+K343</f>
        <v>3000000</v>
      </c>
      <c r="L298" s="360">
        <f>+J298+K298</f>
        <v>3000000</v>
      </c>
      <c r="M298" s="360">
        <f t="shared" ref="M298" si="189">+I298+L298</f>
        <v>3000000</v>
      </c>
      <c r="N298" s="359">
        <f t="shared" ref="N298" si="190">+F298-M298</f>
        <v>2391721000</v>
      </c>
      <c r="P298" s="361"/>
      <c r="S298" s="362"/>
      <c r="T298" s="362"/>
      <c r="U298" s="350"/>
    </row>
    <row r="299" spans="1:21" s="319" customFormat="1" ht="35.25" customHeight="1" x14ac:dyDescent="0.25">
      <c r="A299" s="275">
        <v>16</v>
      </c>
      <c r="B299" s="314"/>
      <c r="C299" s="314" t="s">
        <v>476</v>
      </c>
      <c r="D299" s="315"/>
      <c r="E299" s="348" t="s">
        <v>477</v>
      </c>
      <c r="F299" s="317">
        <f t="shared" ref="F299:H300" si="191">+F300</f>
        <v>690000000</v>
      </c>
      <c r="G299" s="318">
        <f t="shared" si="191"/>
        <v>0</v>
      </c>
      <c r="H299" s="318">
        <f t="shared" si="191"/>
        <v>0</v>
      </c>
      <c r="I299" s="318">
        <f t="shared" si="188"/>
        <v>0</v>
      </c>
      <c r="J299" s="318">
        <f>+J300</f>
        <v>0</v>
      </c>
      <c r="K299" s="318">
        <f>+K300</f>
        <v>1400000</v>
      </c>
      <c r="L299" s="318">
        <f>+J299+K299</f>
        <v>1400000</v>
      </c>
      <c r="M299" s="318">
        <f>+I299+L299</f>
        <v>1400000</v>
      </c>
      <c r="N299" s="317">
        <f>+F299-M299</f>
        <v>688600000</v>
      </c>
      <c r="P299" s="320"/>
      <c r="R299" s="321"/>
      <c r="S299" s="349"/>
      <c r="T299" s="349"/>
      <c r="U299" s="350"/>
    </row>
    <row r="300" spans="1:21" s="329" customFormat="1" ht="18" customHeight="1" x14ac:dyDescent="0.25">
      <c r="A300" s="323"/>
      <c r="B300" s="324"/>
      <c r="C300" s="324"/>
      <c r="D300" s="325" t="s">
        <v>207</v>
      </c>
      <c r="E300" s="326" t="s">
        <v>262</v>
      </c>
      <c r="F300" s="327">
        <f t="shared" si="191"/>
        <v>690000000</v>
      </c>
      <c r="G300" s="328">
        <f t="shared" si="191"/>
        <v>0</v>
      </c>
      <c r="H300" s="328">
        <f t="shared" si="191"/>
        <v>0</v>
      </c>
      <c r="I300" s="328">
        <f t="shared" si="188"/>
        <v>0</v>
      </c>
      <c r="J300" s="328">
        <f>+J301</f>
        <v>0</v>
      </c>
      <c r="K300" s="328">
        <f>+K301</f>
        <v>1400000</v>
      </c>
      <c r="L300" s="328">
        <f t="shared" ref="L300:L304" si="192">+J300+K300</f>
        <v>1400000</v>
      </c>
      <c r="M300" s="328">
        <f t="shared" ref="M300:M311" si="193">+I300+L300</f>
        <v>1400000</v>
      </c>
      <c r="N300" s="327">
        <f t="shared" ref="N300:N311" si="194">+F300-M300</f>
        <v>688600000</v>
      </c>
      <c r="P300" s="330"/>
      <c r="R300" s="331"/>
      <c r="S300" s="351"/>
      <c r="T300" s="351"/>
      <c r="U300" s="333"/>
    </row>
    <row r="301" spans="1:21" s="381" customFormat="1" ht="18" customHeight="1" x14ac:dyDescent="0.25">
      <c r="A301" s="384"/>
      <c r="B301" s="397"/>
      <c r="C301" s="384"/>
      <c r="D301" s="335" t="s">
        <v>63</v>
      </c>
      <c r="E301" s="335" t="s">
        <v>30</v>
      </c>
      <c r="F301" s="337">
        <f>+F302+F305+F309</f>
        <v>690000000</v>
      </c>
      <c r="G301" s="344">
        <f>+G302+G305+G309</f>
        <v>0</v>
      </c>
      <c r="H301" s="344">
        <f>+H302+H305+H309</f>
        <v>0</v>
      </c>
      <c r="I301" s="344">
        <f t="shared" si="188"/>
        <v>0</v>
      </c>
      <c r="J301" s="344">
        <f>+J302+J305+J309</f>
        <v>0</v>
      </c>
      <c r="K301" s="344">
        <f>+K302+K305+K309</f>
        <v>1400000</v>
      </c>
      <c r="L301" s="344">
        <f t="shared" si="192"/>
        <v>1400000</v>
      </c>
      <c r="M301" s="344">
        <f t="shared" si="193"/>
        <v>1400000</v>
      </c>
      <c r="N301" s="337">
        <f t="shared" si="194"/>
        <v>688600000</v>
      </c>
      <c r="P301" s="340"/>
      <c r="S301" s="347"/>
      <c r="T301" s="347"/>
      <c r="U301" s="382"/>
    </row>
    <row r="302" spans="1:21" s="339" customFormat="1" ht="18" customHeight="1" x14ac:dyDescent="0.25">
      <c r="A302" s="334"/>
      <c r="B302" s="335"/>
      <c r="C302" s="335"/>
      <c r="D302" s="365" t="s">
        <v>263</v>
      </c>
      <c r="E302" s="335" t="s">
        <v>264</v>
      </c>
      <c r="F302" s="337">
        <f>+F303</f>
        <v>435000000</v>
      </c>
      <c r="G302" s="344">
        <f>+G303</f>
        <v>0</v>
      </c>
      <c r="H302" s="344">
        <f>+H303</f>
        <v>0</v>
      </c>
      <c r="I302" s="344">
        <f t="shared" si="188"/>
        <v>0</v>
      </c>
      <c r="J302" s="344">
        <f>+J303</f>
        <v>0</v>
      </c>
      <c r="K302" s="344">
        <f>+K303</f>
        <v>0</v>
      </c>
      <c r="L302" s="344">
        <f t="shared" si="192"/>
        <v>0</v>
      </c>
      <c r="M302" s="344">
        <f t="shared" si="193"/>
        <v>0</v>
      </c>
      <c r="N302" s="337">
        <f t="shared" si="194"/>
        <v>435000000</v>
      </c>
      <c r="P302" s="340"/>
      <c r="S302" s="347"/>
      <c r="T302" s="347"/>
      <c r="U302" s="342"/>
    </row>
    <row r="303" spans="1:21" s="381" customFormat="1" ht="18" customHeight="1" x14ac:dyDescent="0.25">
      <c r="A303" s="384"/>
      <c r="B303" s="397"/>
      <c r="C303" s="384"/>
      <c r="D303" s="335" t="s">
        <v>64</v>
      </c>
      <c r="E303" s="335" t="s">
        <v>65</v>
      </c>
      <c r="F303" s="337">
        <f>F304</f>
        <v>435000000</v>
      </c>
      <c r="G303" s="344">
        <f>+G304</f>
        <v>0</v>
      </c>
      <c r="H303" s="344">
        <f>+H304</f>
        <v>0</v>
      </c>
      <c r="I303" s="344">
        <f t="shared" si="188"/>
        <v>0</v>
      </c>
      <c r="J303" s="344">
        <f>+J304</f>
        <v>0</v>
      </c>
      <c r="K303" s="344">
        <f>+K304</f>
        <v>0</v>
      </c>
      <c r="L303" s="344">
        <f t="shared" si="192"/>
        <v>0</v>
      </c>
      <c r="M303" s="344">
        <f t="shared" si="193"/>
        <v>0</v>
      </c>
      <c r="N303" s="337">
        <f t="shared" si="194"/>
        <v>435000000</v>
      </c>
      <c r="P303" s="340"/>
      <c r="S303" s="347"/>
      <c r="T303" s="347"/>
      <c r="U303" s="382"/>
    </row>
    <row r="304" spans="1:21" s="339" customFormat="1" ht="18" customHeight="1" x14ac:dyDescent="0.25">
      <c r="A304" s="384"/>
      <c r="B304" s="397"/>
      <c r="C304" s="334"/>
      <c r="D304" s="335" t="s">
        <v>129</v>
      </c>
      <c r="E304" s="335" t="s">
        <v>130</v>
      </c>
      <c r="F304" s="337">
        <v>435000000</v>
      </c>
      <c r="G304" s="398"/>
      <c r="H304" s="398"/>
      <c r="I304" s="398"/>
      <c r="J304" s="344"/>
      <c r="K304" s="344"/>
      <c r="L304" s="344">
        <f t="shared" si="192"/>
        <v>0</v>
      </c>
      <c r="M304" s="344">
        <f t="shared" si="193"/>
        <v>0</v>
      </c>
      <c r="N304" s="337">
        <f t="shared" si="194"/>
        <v>435000000</v>
      </c>
      <c r="P304" s="340"/>
      <c r="S304" s="346"/>
      <c r="T304" s="347"/>
      <c r="U304" s="342"/>
    </row>
    <row r="305" spans="1:21" s="339" customFormat="1" ht="20.25" x14ac:dyDescent="0.25">
      <c r="A305" s="334"/>
      <c r="B305" s="335"/>
      <c r="C305" s="335"/>
      <c r="D305" s="365" t="s">
        <v>271</v>
      </c>
      <c r="E305" s="335" t="s">
        <v>272</v>
      </c>
      <c r="F305" s="337">
        <f>+F306</f>
        <v>79500000</v>
      </c>
      <c r="G305" s="344">
        <f>+G306</f>
        <v>0</v>
      </c>
      <c r="H305" s="344">
        <f>+H306</f>
        <v>0</v>
      </c>
      <c r="I305" s="344">
        <f t="shared" ref="I305:I316" si="195">+G305+H305</f>
        <v>0</v>
      </c>
      <c r="J305" s="344">
        <f>+J306</f>
        <v>0</v>
      </c>
      <c r="K305" s="344">
        <f>+K306</f>
        <v>1400000</v>
      </c>
      <c r="L305" s="344">
        <f>+J305+K305</f>
        <v>1400000</v>
      </c>
      <c r="M305" s="344">
        <f t="shared" si="193"/>
        <v>1400000</v>
      </c>
      <c r="N305" s="337">
        <f t="shared" si="194"/>
        <v>78100000</v>
      </c>
      <c r="P305" s="340"/>
      <c r="S305" s="346"/>
      <c r="T305" s="347"/>
      <c r="U305" s="342"/>
    </row>
    <row r="306" spans="1:21" s="381" customFormat="1" ht="18" customHeight="1" x14ac:dyDescent="0.25">
      <c r="A306" s="334"/>
      <c r="B306" s="352"/>
      <c r="C306" s="334"/>
      <c r="D306" s="335" t="s">
        <v>81</v>
      </c>
      <c r="E306" s="335" t="s">
        <v>31</v>
      </c>
      <c r="F306" s="337">
        <f>F308+F307</f>
        <v>79500000</v>
      </c>
      <c r="G306" s="344">
        <f>SUM(G307:G308)</f>
        <v>0</v>
      </c>
      <c r="H306" s="344">
        <f>SUM(H307:H308)</f>
        <v>0</v>
      </c>
      <c r="I306" s="344">
        <f t="shared" si="195"/>
        <v>0</v>
      </c>
      <c r="J306" s="344">
        <f>SUM(J307:J308)</f>
        <v>0</v>
      </c>
      <c r="K306" s="344">
        <f>SUM(K307:K308)</f>
        <v>1400000</v>
      </c>
      <c r="L306" s="344">
        <f>+J306+K306</f>
        <v>1400000</v>
      </c>
      <c r="M306" s="344">
        <f t="shared" si="193"/>
        <v>1400000</v>
      </c>
      <c r="N306" s="337">
        <f t="shared" si="194"/>
        <v>78100000</v>
      </c>
      <c r="P306" s="340"/>
      <c r="R306" s="385"/>
      <c r="S306" s="346"/>
      <c r="T306" s="347"/>
      <c r="U306" s="382"/>
    </row>
    <row r="307" spans="1:21" s="381" customFormat="1" ht="18" customHeight="1" x14ac:dyDescent="0.25">
      <c r="A307" s="334"/>
      <c r="B307" s="352"/>
      <c r="C307" s="334"/>
      <c r="D307" s="335" t="s">
        <v>82</v>
      </c>
      <c r="E307" s="335" t="s">
        <v>83</v>
      </c>
      <c r="F307" s="337">
        <v>18000000</v>
      </c>
      <c r="G307" s="344"/>
      <c r="H307" s="344"/>
      <c r="I307" s="344">
        <f t="shared" si="195"/>
        <v>0</v>
      </c>
      <c r="J307" s="344"/>
      <c r="K307" s="344">
        <v>1400000</v>
      </c>
      <c r="L307" s="344">
        <f>J307+K307</f>
        <v>1400000</v>
      </c>
      <c r="M307" s="344">
        <f t="shared" si="193"/>
        <v>1400000</v>
      </c>
      <c r="N307" s="337">
        <f t="shared" si="194"/>
        <v>16600000</v>
      </c>
      <c r="P307" s="340"/>
      <c r="S307" s="346"/>
      <c r="T307" s="347"/>
      <c r="U307" s="382"/>
    </row>
    <row r="308" spans="1:21" s="381" customFormat="1" ht="18" customHeight="1" x14ac:dyDescent="0.25">
      <c r="A308" s="334"/>
      <c r="B308" s="352"/>
      <c r="C308" s="334"/>
      <c r="D308" s="335" t="s">
        <v>343</v>
      </c>
      <c r="E308" s="335" t="s">
        <v>344</v>
      </c>
      <c r="F308" s="337">
        <v>61500000</v>
      </c>
      <c r="G308" s="344"/>
      <c r="H308" s="344"/>
      <c r="I308" s="344">
        <f t="shared" si="195"/>
        <v>0</v>
      </c>
      <c r="J308" s="344"/>
      <c r="K308" s="344"/>
      <c r="L308" s="344">
        <f>J308+K308</f>
        <v>0</v>
      </c>
      <c r="M308" s="344">
        <f t="shared" si="193"/>
        <v>0</v>
      </c>
      <c r="N308" s="337">
        <f t="shared" si="194"/>
        <v>61500000</v>
      </c>
      <c r="P308" s="340"/>
      <c r="S308" s="346"/>
      <c r="T308" s="347"/>
      <c r="U308" s="382"/>
    </row>
    <row r="309" spans="1:21" s="339" customFormat="1" ht="20.25" x14ac:dyDescent="0.25">
      <c r="A309" s="334"/>
      <c r="B309" s="335"/>
      <c r="C309" s="334"/>
      <c r="D309" s="365" t="s">
        <v>275</v>
      </c>
      <c r="E309" s="335" t="s">
        <v>276</v>
      </c>
      <c r="F309" s="337">
        <f>+F310</f>
        <v>175500000</v>
      </c>
      <c r="G309" s="344">
        <f>+G310</f>
        <v>0</v>
      </c>
      <c r="H309" s="344">
        <f>+H310</f>
        <v>0</v>
      </c>
      <c r="I309" s="344">
        <f t="shared" si="195"/>
        <v>0</v>
      </c>
      <c r="J309" s="344">
        <f>+J310</f>
        <v>0</v>
      </c>
      <c r="K309" s="344">
        <f>+K310</f>
        <v>0</v>
      </c>
      <c r="L309" s="344">
        <f>+J309+K309</f>
        <v>0</v>
      </c>
      <c r="M309" s="344">
        <f t="shared" si="193"/>
        <v>0</v>
      </c>
      <c r="N309" s="337">
        <f t="shared" si="194"/>
        <v>175500000</v>
      </c>
      <c r="P309" s="340"/>
      <c r="S309" s="346"/>
      <c r="T309" s="347"/>
      <c r="U309" s="342"/>
    </row>
    <row r="310" spans="1:21" s="381" customFormat="1" ht="18" customHeight="1" x14ac:dyDescent="0.25">
      <c r="A310" s="334"/>
      <c r="B310" s="352"/>
      <c r="C310" s="334"/>
      <c r="D310" s="335" t="s">
        <v>114</v>
      </c>
      <c r="E310" s="335" t="s">
        <v>43</v>
      </c>
      <c r="F310" s="337">
        <f>+F311</f>
        <v>175500000</v>
      </c>
      <c r="G310" s="344">
        <f>SUM(G311)</f>
        <v>0</v>
      </c>
      <c r="H310" s="344">
        <f>SUM(H311)</f>
        <v>0</v>
      </c>
      <c r="I310" s="344">
        <f t="shared" si="195"/>
        <v>0</v>
      </c>
      <c r="J310" s="344">
        <f>SUM(J311)</f>
        <v>0</v>
      </c>
      <c r="K310" s="344">
        <f>SUM(K311)</f>
        <v>0</v>
      </c>
      <c r="L310" s="344">
        <f>+J310+K310</f>
        <v>0</v>
      </c>
      <c r="M310" s="344">
        <f t="shared" si="193"/>
        <v>0</v>
      </c>
      <c r="N310" s="337">
        <f t="shared" si="194"/>
        <v>175500000</v>
      </c>
      <c r="P310" s="340"/>
      <c r="R310" s="385"/>
      <c r="S310" s="346"/>
      <c r="T310" s="347"/>
      <c r="U310" s="382"/>
    </row>
    <row r="311" spans="1:21" s="388" customFormat="1" ht="33.75" customHeight="1" x14ac:dyDescent="0.25">
      <c r="A311" s="372"/>
      <c r="B311" s="153"/>
      <c r="C311" s="372"/>
      <c r="D311" s="373" t="s">
        <v>345</v>
      </c>
      <c r="E311" s="375" t="s">
        <v>346</v>
      </c>
      <c r="F311" s="376">
        <v>175500000</v>
      </c>
      <c r="G311" s="377"/>
      <c r="H311" s="377"/>
      <c r="I311" s="371">
        <f t="shared" si="195"/>
        <v>0</v>
      </c>
      <c r="J311" s="377"/>
      <c r="K311" s="377"/>
      <c r="L311" s="377">
        <f>J311+K311</f>
        <v>0</v>
      </c>
      <c r="M311" s="377">
        <f t="shared" si="193"/>
        <v>0</v>
      </c>
      <c r="N311" s="376">
        <f t="shared" si="194"/>
        <v>175500000</v>
      </c>
      <c r="P311" s="200"/>
      <c r="S311" s="358"/>
      <c r="T311" s="221"/>
      <c r="U311" s="389"/>
    </row>
    <row r="312" spans="1:21" s="319" customFormat="1" ht="22.5" customHeight="1" x14ac:dyDescent="0.25">
      <c r="A312" s="275">
        <v>17</v>
      </c>
      <c r="B312" s="314"/>
      <c r="C312" s="314" t="s">
        <v>143</v>
      </c>
      <c r="D312" s="315"/>
      <c r="E312" s="348" t="s">
        <v>144</v>
      </c>
      <c r="F312" s="317">
        <f t="shared" ref="F312:H313" si="196">+F313</f>
        <v>1024733000</v>
      </c>
      <c r="G312" s="318">
        <f t="shared" si="196"/>
        <v>0</v>
      </c>
      <c r="H312" s="318">
        <f t="shared" si="196"/>
        <v>0</v>
      </c>
      <c r="I312" s="318">
        <f t="shared" si="195"/>
        <v>0</v>
      </c>
      <c r="J312" s="318">
        <f>+J313</f>
        <v>0</v>
      </c>
      <c r="K312" s="318">
        <f>+K313</f>
        <v>1600000</v>
      </c>
      <c r="L312" s="318">
        <f>+J312+K312</f>
        <v>1600000</v>
      </c>
      <c r="M312" s="318">
        <f>+I312+L312</f>
        <v>1600000</v>
      </c>
      <c r="N312" s="317">
        <f>+F312-M312</f>
        <v>1023133000</v>
      </c>
      <c r="P312" s="320"/>
      <c r="R312" s="321"/>
      <c r="S312" s="349"/>
      <c r="T312" s="349"/>
      <c r="U312" s="350"/>
    </row>
    <row r="313" spans="1:21" s="329" customFormat="1" ht="18" customHeight="1" x14ac:dyDescent="0.25">
      <c r="A313" s="323"/>
      <c r="B313" s="324"/>
      <c r="C313" s="324"/>
      <c r="D313" s="325" t="s">
        <v>207</v>
      </c>
      <c r="E313" s="326" t="s">
        <v>262</v>
      </c>
      <c r="F313" s="327">
        <f t="shared" si="196"/>
        <v>1024733000</v>
      </c>
      <c r="G313" s="328">
        <f t="shared" si="196"/>
        <v>0</v>
      </c>
      <c r="H313" s="328">
        <f t="shared" si="196"/>
        <v>0</v>
      </c>
      <c r="I313" s="328">
        <f t="shared" si="195"/>
        <v>0</v>
      </c>
      <c r="J313" s="328">
        <f>+J314</f>
        <v>0</v>
      </c>
      <c r="K313" s="328">
        <f>+K314</f>
        <v>1600000</v>
      </c>
      <c r="L313" s="328">
        <f>+J313+K313</f>
        <v>1600000</v>
      </c>
      <c r="M313" s="328">
        <f t="shared" ref="M313:M330" si="197">+I313+L313</f>
        <v>1600000</v>
      </c>
      <c r="N313" s="327">
        <f t="shared" ref="N313:N330" si="198">+F313-M313</f>
        <v>1023133000</v>
      </c>
      <c r="P313" s="330"/>
      <c r="R313" s="331"/>
      <c r="S313" s="351"/>
      <c r="T313" s="351"/>
      <c r="U313" s="333"/>
    </row>
    <row r="314" spans="1:21" s="381" customFormat="1" ht="18" customHeight="1" x14ac:dyDescent="0.25">
      <c r="A314" s="384"/>
      <c r="B314" s="397"/>
      <c r="C314" s="384"/>
      <c r="D314" s="335" t="s">
        <v>63</v>
      </c>
      <c r="E314" s="335" t="s">
        <v>30</v>
      </c>
      <c r="F314" s="337">
        <f>+F315+F319+F322</f>
        <v>1024733000</v>
      </c>
      <c r="G314" s="344">
        <f>+G315+G319+G322</f>
        <v>0</v>
      </c>
      <c r="H314" s="344">
        <f>+H315+H319+H322</f>
        <v>0</v>
      </c>
      <c r="I314" s="344">
        <f t="shared" si="195"/>
        <v>0</v>
      </c>
      <c r="J314" s="344">
        <f>+J315+J319+J322</f>
        <v>0</v>
      </c>
      <c r="K314" s="344">
        <f>+K315+K319+K322</f>
        <v>1600000</v>
      </c>
      <c r="L314" s="344">
        <f>+J314+K314</f>
        <v>1600000</v>
      </c>
      <c r="M314" s="344">
        <f t="shared" si="197"/>
        <v>1600000</v>
      </c>
      <c r="N314" s="337">
        <f t="shared" si="198"/>
        <v>1023133000</v>
      </c>
      <c r="P314" s="340"/>
      <c r="S314" s="347"/>
      <c r="T314" s="347"/>
      <c r="U314" s="382"/>
    </row>
    <row r="315" spans="1:21" s="339" customFormat="1" ht="18" customHeight="1" x14ac:dyDescent="0.25">
      <c r="A315" s="334"/>
      <c r="B315" s="335"/>
      <c r="C315" s="335"/>
      <c r="D315" s="365" t="s">
        <v>263</v>
      </c>
      <c r="E315" s="335" t="s">
        <v>264</v>
      </c>
      <c r="F315" s="337">
        <f>+F316</f>
        <v>160643000</v>
      </c>
      <c r="G315" s="344">
        <f>+G316</f>
        <v>0</v>
      </c>
      <c r="H315" s="344">
        <f>+H316</f>
        <v>0</v>
      </c>
      <c r="I315" s="344">
        <f t="shared" si="195"/>
        <v>0</v>
      </c>
      <c r="J315" s="344">
        <f>+J316</f>
        <v>0</v>
      </c>
      <c r="K315" s="344">
        <f>+K316</f>
        <v>0</v>
      </c>
      <c r="L315" s="344">
        <f>+J315+K315</f>
        <v>0</v>
      </c>
      <c r="M315" s="344">
        <f t="shared" si="197"/>
        <v>0</v>
      </c>
      <c r="N315" s="337">
        <f t="shared" si="198"/>
        <v>160643000</v>
      </c>
      <c r="P315" s="340"/>
      <c r="S315" s="347"/>
      <c r="T315" s="347"/>
      <c r="U315" s="342"/>
    </row>
    <row r="316" spans="1:21" s="381" customFormat="1" ht="18" customHeight="1" x14ac:dyDescent="0.25">
      <c r="A316" s="384"/>
      <c r="B316" s="397"/>
      <c r="C316" s="384"/>
      <c r="D316" s="335" t="s">
        <v>64</v>
      </c>
      <c r="E316" s="335" t="s">
        <v>65</v>
      </c>
      <c r="F316" s="337">
        <f>F317+F318</f>
        <v>160643000</v>
      </c>
      <c r="G316" s="344">
        <f>+G317</f>
        <v>0</v>
      </c>
      <c r="H316" s="344">
        <f>+H317</f>
        <v>0</v>
      </c>
      <c r="I316" s="344">
        <f t="shared" si="195"/>
        <v>0</v>
      </c>
      <c r="J316" s="344">
        <f>+J317</f>
        <v>0</v>
      </c>
      <c r="K316" s="344">
        <f>+K317</f>
        <v>0</v>
      </c>
      <c r="L316" s="344">
        <f>+J316+K316</f>
        <v>0</v>
      </c>
      <c r="M316" s="344">
        <f t="shared" si="197"/>
        <v>0</v>
      </c>
      <c r="N316" s="337">
        <f t="shared" si="198"/>
        <v>160643000</v>
      </c>
      <c r="P316" s="340"/>
      <c r="S316" s="347"/>
      <c r="T316" s="347"/>
      <c r="U316" s="382"/>
    </row>
    <row r="317" spans="1:21" s="339" customFormat="1" ht="18" customHeight="1" x14ac:dyDescent="0.25">
      <c r="A317" s="384"/>
      <c r="B317" s="397"/>
      <c r="C317" s="334"/>
      <c r="D317" s="335" t="s">
        <v>339</v>
      </c>
      <c r="E317" s="335" t="s">
        <v>340</v>
      </c>
      <c r="F317" s="337">
        <v>99000000</v>
      </c>
      <c r="G317" s="398"/>
      <c r="H317" s="398"/>
      <c r="I317" s="398"/>
      <c r="J317" s="344"/>
      <c r="K317" s="344"/>
      <c r="L317" s="344">
        <f t="shared" ref="L317:L330" si="199">+J317+K317</f>
        <v>0</v>
      </c>
      <c r="M317" s="344">
        <f t="shared" si="197"/>
        <v>0</v>
      </c>
      <c r="N317" s="337">
        <f t="shared" si="198"/>
        <v>99000000</v>
      </c>
      <c r="P317" s="343"/>
      <c r="S317" s="346"/>
      <c r="T317" s="347"/>
      <c r="U317" s="342"/>
    </row>
    <row r="318" spans="1:21" s="339" customFormat="1" ht="18" customHeight="1" x14ac:dyDescent="0.25">
      <c r="A318" s="384"/>
      <c r="B318" s="397"/>
      <c r="C318" s="334"/>
      <c r="D318" s="335" t="s">
        <v>361</v>
      </c>
      <c r="E318" s="335" t="s">
        <v>362</v>
      </c>
      <c r="F318" s="337">
        <v>61643000</v>
      </c>
      <c r="G318" s="398"/>
      <c r="H318" s="398"/>
      <c r="I318" s="398"/>
      <c r="J318" s="344"/>
      <c r="K318" s="344"/>
      <c r="L318" s="344">
        <f t="shared" si="199"/>
        <v>0</v>
      </c>
      <c r="M318" s="344">
        <f t="shared" si="197"/>
        <v>0</v>
      </c>
      <c r="N318" s="337">
        <f t="shared" si="198"/>
        <v>61643000</v>
      </c>
      <c r="P318" s="343"/>
      <c r="S318" s="346"/>
      <c r="T318" s="347"/>
      <c r="U318" s="342"/>
    </row>
    <row r="319" spans="1:21" s="339" customFormat="1" ht="18" customHeight="1" x14ac:dyDescent="0.25">
      <c r="A319" s="334"/>
      <c r="B319" s="335"/>
      <c r="C319" s="335"/>
      <c r="D319" s="365" t="s">
        <v>271</v>
      </c>
      <c r="E319" s="335" t="s">
        <v>272</v>
      </c>
      <c r="F319" s="337">
        <f>+F320</f>
        <v>36480000</v>
      </c>
      <c r="G319" s="344">
        <f>+G320</f>
        <v>0</v>
      </c>
      <c r="H319" s="344">
        <f>+H320</f>
        <v>0</v>
      </c>
      <c r="I319" s="344">
        <f>+G319+H319</f>
        <v>0</v>
      </c>
      <c r="J319" s="344">
        <f>+J320</f>
        <v>0</v>
      </c>
      <c r="K319" s="344">
        <f>+K320</f>
        <v>1600000</v>
      </c>
      <c r="L319" s="344">
        <f t="shared" si="199"/>
        <v>1600000</v>
      </c>
      <c r="M319" s="344">
        <f t="shared" si="197"/>
        <v>1600000</v>
      </c>
      <c r="N319" s="337">
        <f t="shared" si="198"/>
        <v>34880000</v>
      </c>
      <c r="P319" s="343"/>
      <c r="S319" s="346"/>
      <c r="T319" s="347"/>
      <c r="U319" s="342"/>
    </row>
    <row r="320" spans="1:21" s="381" customFormat="1" ht="18" customHeight="1" x14ac:dyDescent="0.25">
      <c r="A320" s="384"/>
      <c r="B320" s="397"/>
      <c r="C320" s="384"/>
      <c r="D320" s="335" t="s">
        <v>81</v>
      </c>
      <c r="E320" s="335" t="s">
        <v>31</v>
      </c>
      <c r="F320" s="337">
        <f>F321</f>
        <v>36480000</v>
      </c>
      <c r="G320" s="344">
        <f>+G321</f>
        <v>0</v>
      </c>
      <c r="H320" s="344">
        <f>+H321</f>
        <v>0</v>
      </c>
      <c r="I320" s="344">
        <f>+G320+H320</f>
        <v>0</v>
      </c>
      <c r="J320" s="344">
        <f>+J321</f>
        <v>0</v>
      </c>
      <c r="K320" s="344">
        <f>+K321</f>
        <v>1600000</v>
      </c>
      <c r="L320" s="344">
        <f t="shared" si="199"/>
        <v>1600000</v>
      </c>
      <c r="M320" s="344">
        <f t="shared" si="197"/>
        <v>1600000</v>
      </c>
      <c r="N320" s="337">
        <f t="shared" si="198"/>
        <v>34880000</v>
      </c>
      <c r="P320" s="343"/>
      <c r="S320" s="346"/>
      <c r="T320" s="347"/>
      <c r="U320" s="382"/>
    </row>
    <row r="321" spans="1:21" s="339" customFormat="1" ht="18" customHeight="1" x14ac:dyDescent="0.25">
      <c r="A321" s="384"/>
      <c r="B321" s="397"/>
      <c r="C321" s="334"/>
      <c r="D321" s="335" t="s">
        <v>82</v>
      </c>
      <c r="E321" s="335" t="s">
        <v>83</v>
      </c>
      <c r="F321" s="337">
        <v>36480000</v>
      </c>
      <c r="G321" s="398"/>
      <c r="H321" s="344"/>
      <c r="I321" s="398"/>
      <c r="J321" s="344"/>
      <c r="K321" s="344">
        <v>1600000</v>
      </c>
      <c r="L321" s="344">
        <f t="shared" si="199"/>
        <v>1600000</v>
      </c>
      <c r="M321" s="344">
        <f t="shared" si="197"/>
        <v>1600000</v>
      </c>
      <c r="N321" s="337">
        <f t="shared" si="198"/>
        <v>34880000</v>
      </c>
      <c r="P321" s="343"/>
      <c r="S321" s="346"/>
      <c r="T321" s="347"/>
      <c r="U321" s="342"/>
    </row>
    <row r="322" spans="1:21" s="339" customFormat="1" ht="18" customHeight="1" x14ac:dyDescent="0.25">
      <c r="A322" s="334"/>
      <c r="B322" s="335"/>
      <c r="C322" s="335"/>
      <c r="D322" s="365" t="s">
        <v>275</v>
      </c>
      <c r="E322" s="335" t="s">
        <v>276</v>
      </c>
      <c r="F322" s="337">
        <f>+F323</f>
        <v>827610000</v>
      </c>
      <c r="G322" s="344">
        <f>+G323</f>
        <v>0</v>
      </c>
      <c r="H322" s="344">
        <f>+H323</f>
        <v>0</v>
      </c>
      <c r="I322" s="344">
        <f>+G322+H322</f>
        <v>0</v>
      </c>
      <c r="J322" s="344">
        <f>+J323</f>
        <v>0</v>
      </c>
      <c r="K322" s="344">
        <f>+K323</f>
        <v>0</v>
      </c>
      <c r="L322" s="344">
        <f>+J322+K322</f>
        <v>0</v>
      </c>
      <c r="M322" s="344">
        <f t="shared" si="197"/>
        <v>0</v>
      </c>
      <c r="N322" s="337">
        <f t="shared" si="198"/>
        <v>827610000</v>
      </c>
      <c r="P322" s="343"/>
      <c r="S322" s="346"/>
      <c r="T322" s="347"/>
      <c r="U322" s="342"/>
    </row>
    <row r="323" spans="1:21" s="381" customFormat="1" ht="18" customHeight="1" x14ac:dyDescent="0.25">
      <c r="A323" s="384"/>
      <c r="B323" s="397"/>
      <c r="C323" s="384"/>
      <c r="D323" s="335" t="s">
        <v>114</v>
      </c>
      <c r="E323" s="335" t="s">
        <v>43</v>
      </c>
      <c r="F323" s="337">
        <f>SUM(F324:F330)</f>
        <v>827610000</v>
      </c>
      <c r="G323" s="344">
        <f>SUM(G325:G330)</f>
        <v>0</v>
      </c>
      <c r="H323" s="344">
        <f>SUM(H325:H330)</f>
        <v>0</v>
      </c>
      <c r="I323" s="344">
        <f>+G323+H323</f>
        <v>0</v>
      </c>
      <c r="J323" s="344">
        <f>SUM(J325:J330)</f>
        <v>0</v>
      </c>
      <c r="K323" s="344">
        <f>SUM(K325:K330)</f>
        <v>0</v>
      </c>
      <c r="L323" s="344">
        <f>+J323+K323</f>
        <v>0</v>
      </c>
      <c r="M323" s="344">
        <f t="shared" si="197"/>
        <v>0</v>
      </c>
      <c r="N323" s="337">
        <f t="shared" si="198"/>
        <v>827610000</v>
      </c>
      <c r="P323" s="343"/>
      <c r="S323" s="346"/>
      <c r="T323" s="347"/>
      <c r="U323" s="382"/>
    </row>
    <row r="324" spans="1:21" s="339" customFormat="1" ht="35.25" customHeight="1" x14ac:dyDescent="0.25">
      <c r="A324" s="399"/>
      <c r="B324" s="381"/>
      <c r="C324" s="366"/>
      <c r="D324" s="367" t="s">
        <v>478</v>
      </c>
      <c r="E324" s="369" t="s">
        <v>479</v>
      </c>
      <c r="F324" s="370">
        <v>31700000</v>
      </c>
      <c r="G324" s="400"/>
      <c r="H324" s="400"/>
      <c r="I324" s="400"/>
      <c r="J324" s="371"/>
      <c r="K324" s="371"/>
      <c r="L324" s="371">
        <f t="shared" ref="L324" si="200">+J324+K324</f>
        <v>0</v>
      </c>
      <c r="M324" s="371">
        <f t="shared" si="197"/>
        <v>0</v>
      </c>
      <c r="N324" s="370">
        <f t="shared" si="198"/>
        <v>31700000</v>
      </c>
      <c r="P324" s="343"/>
      <c r="S324" s="346"/>
      <c r="T324" s="347"/>
      <c r="U324" s="342"/>
    </row>
    <row r="325" spans="1:21" s="339" customFormat="1" ht="35.25" customHeight="1" x14ac:dyDescent="0.25">
      <c r="A325" s="399"/>
      <c r="B325" s="381"/>
      <c r="C325" s="366"/>
      <c r="D325" s="367" t="s">
        <v>347</v>
      </c>
      <c r="E325" s="369" t="s">
        <v>348</v>
      </c>
      <c r="F325" s="370">
        <v>8500000</v>
      </c>
      <c r="G325" s="400"/>
      <c r="H325" s="400"/>
      <c r="I325" s="400"/>
      <c r="J325" s="371"/>
      <c r="K325" s="371"/>
      <c r="L325" s="371">
        <f t="shared" si="199"/>
        <v>0</v>
      </c>
      <c r="M325" s="371">
        <f t="shared" si="197"/>
        <v>0</v>
      </c>
      <c r="N325" s="370">
        <f t="shared" si="198"/>
        <v>8500000</v>
      </c>
      <c r="P325" s="343"/>
      <c r="S325" s="346"/>
      <c r="T325" s="347"/>
      <c r="U325" s="342"/>
    </row>
    <row r="326" spans="1:21" s="339" customFormat="1" ht="35.25" customHeight="1" x14ac:dyDescent="0.25">
      <c r="A326" s="399"/>
      <c r="B326" s="381"/>
      <c r="C326" s="367"/>
      <c r="D326" s="367" t="s">
        <v>349</v>
      </c>
      <c r="E326" s="369" t="s">
        <v>350</v>
      </c>
      <c r="F326" s="370">
        <v>99960000</v>
      </c>
      <c r="G326" s="400"/>
      <c r="H326" s="400"/>
      <c r="I326" s="400"/>
      <c r="J326" s="371"/>
      <c r="K326" s="371"/>
      <c r="L326" s="371">
        <f t="shared" si="199"/>
        <v>0</v>
      </c>
      <c r="M326" s="371">
        <f t="shared" si="197"/>
        <v>0</v>
      </c>
      <c r="N326" s="370">
        <f>+F326-M326</f>
        <v>99960000</v>
      </c>
      <c r="P326" s="343"/>
      <c r="S326" s="346"/>
      <c r="T326" s="347"/>
      <c r="U326" s="342"/>
    </row>
    <row r="327" spans="1:21" s="339" customFormat="1" ht="35.25" customHeight="1" x14ac:dyDescent="0.25">
      <c r="A327" s="399"/>
      <c r="B327" s="381"/>
      <c r="C327" s="367"/>
      <c r="D327" s="367" t="s">
        <v>145</v>
      </c>
      <c r="E327" s="369" t="s">
        <v>351</v>
      </c>
      <c r="F327" s="370">
        <v>73200000</v>
      </c>
      <c r="G327" s="400"/>
      <c r="H327" s="400"/>
      <c r="I327" s="400"/>
      <c r="J327" s="371"/>
      <c r="K327" s="371"/>
      <c r="L327" s="371">
        <f t="shared" si="199"/>
        <v>0</v>
      </c>
      <c r="M327" s="371">
        <f t="shared" si="197"/>
        <v>0</v>
      </c>
      <c r="N327" s="370">
        <f>+F327-M327</f>
        <v>73200000</v>
      </c>
      <c r="P327" s="343"/>
      <c r="S327" s="346"/>
      <c r="T327" s="347"/>
      <c r="U327" s="342"/>
    </row>
    <row r="328" spans="1:21" s="339" customFormat="1" ht="26.25" customHeight="1" x14ac:dyDescent="0.25">
      <c r="A328" s="399"/>
      <c r="B328" s="381"/>
      <c r="C328" s="367"/>
      <c r="D328" s="367" t="s">
        <v>115</v>
      </c>
      <c r="E328" s="369" t="s">
        <v>116</v>
      </c>
      <c r="F328" s="370">
        <v>109500000</v>
      </c>
      <c r="G328" s="400"/>
      <c r="H328" s="400"/>
      <c r="I328" s="400"/>
      <c r="J328" s="371"/>
      <c r="K328" s="371"/>
      <c r="L328" s="371">
        <f t="shared" si="199"/>
        <v>0</v>
      </c>
      <c r="M328" s="371">
        <f t="shared" si="197"/>
        <v>0</v>
      </c>
      <c r="N328" s="370">
        <f>+F328-M328</f>
        <v>109500000</v>
      </c>
      <c r="P328" s="340"/>
      <c r="S328" s="346"/>
      <c r="T328" s="347"/>
      <c r="U328" s="342"/>
    </row>
    <row r="329" spans="1:21" s="339" customFormat="1" ht="33.75" customHeight="1" x14ac:dyDescent="0.25">
      <c r="A329" s="399"/>
      <c r="B329" s="381"/>
      <c r="C329" s="367"/>
      <c r="D329" s="367" t="s">
        <v>352</v>
      </c>
      <c r="E329" s="369" t="s">
        <v>353</v>
      </c>
      <c r="F329" s="370">
        <v>108500000</v>
      </c>
      <c r="G329" s="400"/>
      <c r="H329" s="400"/>
      <c r="I329" s="400"/>
      <c r="J329" s="371"/>
      <c r="K329" s="371"/>
      <c r="L329" s="371">
        <f t="shared" si="199"/>
        <v>0</v>
      </c>
      <c r="M329" s="371">
        <f t="shared" si="197"/>
        <v>0</v>
      </c>
      <c r="N329" s="370">
        <f t="shared" si="198"/>
        <v>108500000</v>
      </c>
      <c r="P329" s="340"/>
      <c r="S329" s="346"/>
      <c r="T329" s="347"/>
      <c r="U329" s="342"/>
    </row>
    <row r="330" spans="1:21" s="153" customFormat="1" ht="18" customHeight="1" x14ac:dyDescent="0.25">
      <c r="A330" s="393"/>
      <c r="B330" s="401"/>
      <c r="C330" s="355"/>
      <c r="D330" s="355" t="s">
        <v>354</v>
      </c>
      <c r="E330" s="402" t="s">
        <v>355</v>
      </c>
      <c r="F330" s="356">
        <v>396250000</v>
      </c>
      <c r="G330" s="357"/>
      <c r="H330" s="357"/>
      <c r="I330" s="357">
        <f t="shared" ref="I330:I347" si="201">+G330+H330</f>
        <v>0</v>
      </c>
      <c r="J330" s="357"/>
      <c r="K330" s="357"/>
      <c r="L330" s="357">
        <f t="shared" si="199"/>
        <v>0</v>
      </c>
      <c r="M330" s="357">
        <f t="shared" si="197"/>
        <v>0</v>
      </c>
      <c r="N330" s="356">
        <f t="shared" si="198"/>
        <v>396250000</v>
      </c>
      <c r="P330" s="200"/>
      <c r="S330" s="221"/>
      <c r="T330" s="358"/>
      <c r="U330" s="254"/>
    </row>
    <row r="331" spans="1:21" s="319" customFormat="1" ht="22.5" customHeight="1" x14ac:dyDescent="0.25">
      <c r="A331" s="275">
        <v>18</v>
      </c>
      <c r="B331" s="314"/>
      <c r="C331" s="314" t="s">
        <v>146</v>
      </c>
      <c r="D331" s="315"/>
      <c r="E331" s="348" t="s">
        <v>356</v>
      </c>
      <c r="F331" s="317">
        <f t="shared" ref="F331:H334" si="202">+F332</f>
        <v>399988000</v>
      </c>
      <c r="G331" s="318">
        <f t="shared" si="202"/>
        <v>0</v>
      </c>
      <c r="H331" s="318">
        <f t="shared" si="202"/>
        <v>0</v>
      </c>
      <c r="I331" s="318">
        <f t="shared" si="201"/>
        <v>0</v>
      </c>
      <c r="J331" s="318">
        <f t="shared" ref="J331:K335" si="203">+J332</f>
        <v>0</v>
      </c>
      <c r="K331" s="318">
        <f t="shared" si="203"/>
        <v>0</v>
      </c>
      <c r="L331" s="318">
        <f>+J331+K331</f>
        <v>0</v>
      </c>
      <c r="M331" s="318">
        <f>+I331+L331</f>
        <v>0</v>
      </c>
      <c r="N331" s="317">
        <f>+F331-M331</f>
        <v>399988000</v>
      </c>
      <c r="P331" s="320"/>
      <c r="R331" s="321"/>
      <c r="S331" s="349"/>
      <c r="T331" s="349"/>
      <c r="U331" s="350"/>
    </row>
    <row r="332" spans="1:21" s="329" customFormat="1" ht="18" customHeight="1" x14ac:dyDescent="0.25">
      <c r="A332" s="323"/>
      <c r="B332" s="324"/>
      <c r="C332" s="324"/>
      <c r="D332" s="325" t="s">
        <v>207</v>
      </c>
      <c r="E332" s="326" t="s">
        <v>262</v>
      </c>
      <c r="F332" s="327">
        <f t="shared" si="202"/>
        <v>399988000</v>
      </c>
      <c r="G332" s="328">
        <f t="shared" si="202"/>
        <v>0</v>
      </c>
      <c r="H332" s="328">
        <f t="shared" si="202"/>
        <v>0</v>
      </c>
      <c r="I332" s="328">
        <f t="shared" si="201"/>
        <v>0</v>
      </c>
      <c r="J332" s="328">
        <f t="shared" si="203"/>
        <v>0</v>
      </c>
      <c r="K332" s="328">
        <f t="shared" si="203"/>
        <v>0</v>
      </c>
      <c r="L332" s="328">
        <f>+J332+K332</f>
        <v>0</v>
      </c>
      <c r="M332" s="328">
        <f t="shared" ref="M332:M336" si="204">+I332+L332</f>
        <v>0</v>
      </c>
      <c r="N332" s="327">
        <f>+F332-M332</f>
        <v>399988000</v>
      </c>
      <c r="P332" s="330"/>
      <c r="R332" s="331"/>
      <c r="S332" s="351"/>
      <c r="T332" s="351"/>
      <c r="U332" s="333"/>
    </row>
    <row r="333" spans="1:21" s="381" customFormat="1" ht="18" customHeight="1" x14ac:dyDescent="0.25">
      <c r="A333" s="384"/>
      <c r="B333" s="397"/>
      <c r="C333" s="384"/>
      <c r="D333" s="335" t="s">
        <v>63</v>
      </c>
      <c r="E333" s="335" t="s">
        <v>30</v>
      </c>
      <c r="F333" s="337">
        <f t="shared" si="202"/>
        <v>399988000</v>
      </c>
      <c r="G333" s="344">
        <f t="shared" si="202"/>
        <v>0</v>
      </c>
      <c r="H333" s="344">
        <f t="shared" si="202"/>
        <v>0</v>
      </c>
      <c r="I333" s="344">
        <f t="shared" si="201"/>
        <v>0</v>
      </c>
      <c r="J333" s="344">
        <f t="shared" si="203"/>
        <v>0</v>
      </c>
      <c r="K333" s="344">
        <f t="shared" si="203"/>
        <v>0</v>
      </c>
      <c r="L333" s="344">
        <f>+J333+K333</f>
        <v>0</v>
      </c>
      <c r="M333" s="344">
        <f t="shared" si="204"/>
        <v>0</v>
      </c>
      <c r="N333" s="337">
        <f t="shared" ref="N333:N336" si="205">+F333-M333</f>
        <v>399988000</v>
      </c>
      <c r="P333" s="340"/>
      <c r="S333" s="347"/>
      <c r="T333" s="347"/>
      <c r="U333" s="382"/>
    </row>
    <row r="334" spans="1:21" s="339" customFormat="1" ht="18" customHeight="1" x14ac:dyDescent="0.25">
      <c r="A334" s="334"/>
      <c r="B334" s="335"/>
      <c r="C334" s="335"/>
      <c r="D334" s="365" t="s">
        <v>275</v>
      </c>
      <c r="E334" s="335" t="s">
        <v>276</v>
      </c>
      <c r="F334" s="337">
        <f t="shared" si="202"/>
        <v>399988000</v>
      </c>
      <c r="G334" s="344">
        <f t="shared" si="202"/>
        <v>0</v>
      </c>
      <c r="H334" s="344">
        <f t="shared" si="202"/>
        <v>0</v>
      </c>
      <c r="I334" s="344">
        <f t="shared" si="201"/>
        <v>0</v>
      </c>
      <c r="J334" s="344">
        <f t="shared" si="203"/>
        <v>0</v>
      </c>
      <c r="K334" s="344">
        <f t="shared" si="203"/>
        <v>0</v>
      </c>
      <c r="L334" s="344">
        <f>+J334+K334</f>
        <v>0</v>
      </c>
      <c r="M334" s="344">
        <f t="shared" si="204"/>
        <v>0</v>
      </c>
      <c r="N334" s="337">
        <f t="shared" si="205"/>
        <v>399988000</v>
      </c>
      <c r="P334" s="340"/>
      <c r="S334" s="347"/>
      <c r="T334" s="347"/>
      <c r="U334" s="342"/>
    </row>
    <row r="335" spans="1:21" s="381" customFormat="1" ht="18" customHeight="1" x14ac:dyDescent="0.25">
      <c r="A335" s="384"/>
      <c r="B335" s="397"/>
      <c r="C335" s="384"/>
      <c r="D335" s="335" t="s">
        <v>147</v>
      </c>
      <c r="E335" s="335" t="s">
        <v>35</v>
      </c>
      <c r="F335" s="337">
        <f>F336</f>
        <v>399988000</v>
      </c>
      <c r="G335" s="344">
        <f>+G336</f>
        <v>0</v>
      </c>
      <c r="H335" s="344">
        <f>+H336</f>
        <v>0</v>
      </c>
      <c r="I335" s="344">
        <f t="shared" si="201"/>
        <v>0</v>
      </c>
      <c r="J335" s="344">
        <f t="shared" si="203"/>
        <v>0</v>
      </c>
      <c r="K335" s="344">
        <f t="shared" si="203"/>
        <v>0</v>
      </c>
      <c r="L335" s="344">
        <f>+J335+K335</f>
        <v>0</v>
      </c>
      <c r="M335" s="344">
        <f t="shared" si="204"/>
        <v>0</v>
      </c>
      <c r="N335" s="337">
        <f t="shared" si="205"/>
        <v>399988000</v>
      </c>
      <c r="P335" s="340"/>
      <c r="S335" s="347"/>
      <c r="T335" s="347"/>
      <c r="U335" s="382"/>
    </row>
    <row r="336" spans="1:21" s="153" customFormat="1" ht="33.75" customHeight="1" x14ac:dyDescent="0.25">
      <c r="A336" s="403"/>
      <c r="B336" s="388"/>
      <c r="C336" s="372"/>
      <c r="D336" s="373" t="s">
        <v>148</v>
      </c>
      <c r="E336" s="375" t="s">
        <v>149</v>
      </c>
      <c r="F336" s="376">
        <v>399988000</v>
      </c>
      <c r="G336" s="404"/>
      <c r="H336" s="377"/>
      <c r="I336" s="377">
        <f t="shared" si="201"/>
        <v>0</v>
      </c>
      <c r="J336" s="377"/>
      <c r="K336" s="377"/>
      <c r="L336" s="377">
        <f t="shared" ref="L336" si="206">+J336+K336</f>
        <v>0</v>
      </c>
      <c r="M336" s="377">
        <f t="shared" si="204"/>
        <v>0</v>
      </c>
      <c r="N336" s="376">
        <f t="shared" si="205"/>
        <v>399988000</v>
      </c>
      <c r="P336" s="200"/>
      <c r="S336" s="221"/>
      <c r="T336" s="358"/>
      <c r="U336" s="254"/>
    </row>
    <row r="337" spans="1:21" s="319" customFormat="1" ht="34.5" customHeight="1" x14ac:dyDescent="0.25">
      <c r="A337" s="275">
        <v>19</v>
      </c>
      <c r="B337" s="314"/>
      <c r="C337" s="314" t="s">
        <v>151</v>
      </c>
      <c r="D337" s="315"/>
      <c r="E337" s="348" t="s">
        <v>152</v>
      </c>
      <c r="F337" s="317">
        <f t="shared" ref="F337:H340" si="207">+F338</f>
        <v>200000000</v>
      </c>
      <c r="G337" s="318">
        <f t="shared" si="207"/>
        <v>0</v>
      </c>
      <c r="H337" s="318">
        <f t="shared" si="207"/>
        <v>0</v>
      </c>
      <c r="I337" s="318">
        <f t="shared" si="201"/>
        <v>0</v>
      </c>
      <c r="J337" s="318">
        <f t="shared" ref="J337:K341" si="208">+J338</f>
        <v>0</v>
      </c>
      <c r="K337" s="318">
        <f t="shared" si="208"/>
        <v>0</v>
      </c>
      <c r="L337" s="318">
        <f>+J337+K337</f>
        <v>0</v>
      </c>
      <c r="M337" s="318">
        <f>+I337+L337</f>
        <v>0</v>
      </c>
      <c r="N337" s="317">
        <f>+F337-M337</f>
        <v>200000000</v>
      </c>
      <c r="P337" s="320"/>
      <c r="R337" s="321"/>
      <c r="S337" s="349"/>
      <c r="T337" s="349"/>
      <c r="U337" s="350"/>
    </row>
    <row r="338" spans="1:21" s="329" customFormat="1" ht="18" customHeight="1" x14ac:dyDescent="0.25">
      <c r="A338" s="323"/>
      <c r="B338" s="324"/>
      <c r="C338" s="324"/>
      <c r="D338" s="325" t="s">
        <v>207</v>
      </c>
      <c r="E338" s="326" t="s">
        <v>262</v>
      </c>
      <c r="F338" s="327">
        <f t="shared" si="207"/>
        <v>200000000</v>
      </c>
      <c r="G338" s="328">
        <f t="shared" si="207"/>
        <v>0</v>
      </c>
      <c r="H338" s="328">
        <f t="shared" si="207"/>
        <v>0</v>
      </c>
      <c r="I338" s="328">
        <f t="shared" si="201"/>
        <v>0</v>
      </c>
      <c r="J338" s="328">
        <f t="shared" si="208"/>
        <v>0</v>
      </c>
      <c r="K338" s="328">
        <f t="shared" si="208"/>
        <v>0</v>
      </c>
      <c r="L338" s="328">
        <f>+J338+K338</f>
        <v>0</v>
      </c>
      <c r="M338" s="328">
        <f t="shared" ref="M338:M342" si="209">+I338+L338</f>
        <v>0</v>
      </c>
      <c r="N338" s="327">
        <f t="shared" ref="N338:N342" si="210">+F338-M338</f>
        <v>200000000</v>
      </c>
      <c r="P338" s="330"/>
      <c r="R338" s="331"/>
      <c r="S338" s="351"/>
      <c r="T338" s="351"/>
      <c r="U338" s="333"/>
    </row>
    <row r="339" spans="1:21" s="381" customFormat="1" ht="18" customHeight="1" x14ac:dyDescent="0.25">
      <c r="A339" s="384"/>
      <c r="B339" s="397"/>
      <c r="C339" s="384"/>
      <c r="D339" s="335" t="s">
        <v>63</v>
      </c>
      <c r="E339" s="335" t="s">
        <v>30</v>
      </c>
      <c r="F339" s="337">
        <f t="shared" si="207"/>
        <v>200000000</v>
      </c>
      <c r="G339" s="344">
        <f t="shared" si="207"/>
        <v>0</v>
      </c>
      <c r="H339" s="344">
        <f t="shared" si="207"/>
        <v>0</v>
      </c>
      <c r="I339" s="344">
        <f t="shared" si="201"/>
        <v>0</v>
      </c>
      <c r="J339" s="344">
        <f t="shared" si="208"/>
        <v>0</v>
      </c>
      <c r="K339" s="344">
        <f t="shared" si="208"/>
        <v>0</v>
      </c>
      <c r="L339" s="344">
        <f>+J339+K339</f>
        <v>0</v>
      </c>
      <c r="M339" s="344">
        <f t="shared" si="209"/>
        <v>0</v>
      </c>
      <c r="N339" s="337">
        <f t="shared" si="210"/>
        <v>200000000</v>
      </c>
      <c r="P339" s="340"/>
      <c r="S339" s="347"/>
      <c r="T339" s="347"/>
      <c r="U339" s="382"/>
    </row>
    <row r="340" spans="1:21" s="339" customFormat="1" ht="18" customHeight="1" x14ac:dyDescent="0.25">
      <c r="A340" s="334"/>
      <c r="B340" s="335"/>
      <c r="C340" s="335"/>
      <c r="D340" s="365" t="s">
        <v>275</v>
      </c>
      <c r="E340" s="335" t="s">
        <v>276</v>
      </c>
      <c r="F340" s="337">
        <f t="shared" si="207"/>
        <v>200000000</v>
      </c>
      <c r="G340" s="344">
        <f t="shared" si="207"/>
        <v>0</v>
      </c>
      <c r="H340" s="344">
        <f t="shared" si="207"/>
        <v>0</v>
      </c>
      <c r="I340" s="344">
        <f t="shared" si="201"/>
        <v>0</v>
      </c>
      <c r="J340" s="344">
        <f t="shared" si="208"/>
        <v>0</v>
      </c>
      <c r="K340" s="344">
        <f t="shared" si="208"/>
        <v>0</v>
      </c>
      <c r="L340" s="344">
        <f>+J340+K340</f>
        <v>0</v>
      </c>
      <c r="M340" s="344">
        <f t="shared" si="209"/>
        <v>0</v>
      </c>
      <c r="N340" s="337">
        <f t="shared" si="210"/>
        <v>200000000</v>
      </c>
      <c r="P340" s="340"/>
      <c r="S340" s="347"/>
      <c r="T340" s="347"/>
      <c r="U340" s="342"/>
    </row>
    <row r="341" spans="1:21" s="381" customFormat="1" ht="18" customHeight="1" x14ac:dyDescent="0.25">
      <c r="A341" s="384"/>
      <c r="B341" s="397"/>
      <c r="C341" s="384"/>
      <c r="D341" s="335" t="s">
        <v>147</v>
      </c>
      <c r="E341" s="335" t="s">
        <v>35</v>
      </c>
      <c r="F341" s="337">
        <f>F342</f>
        <v>200000000</v>
      </c>
      <c r="G341" s="344">
        <f>+G342</f>
        <v>0</v>
      </c>
      <c r="H341" s="344">
        <f>+H342</f>
        <v>0</v>
      </c>
      <c r="I341" s="344">
        <f t="shared" si="201"/>
        <v>0</v>
      </c>
      <c r="J341" s="344">
        <f t="shared" si="208"/>
        <v>0</v>
      </c>
      <c r="K341" s="344">
        <f t="shared" si="208"/>
        <v>0</v>
      </c>
      <c r="L341" s="344">
        <f>+J341+K341</f>
        <v>0</v>
      </c>
      <c r="M341" s="344">
        <f t="shared" si="209"/>
        <v>0</v>
      </c>
      <c r="N341" s="337">
        <f t="shared" si="210"/>
        <v>200000000</v>
      </c>
      <c r="P341" s="340"/>
      <c r="S341" s="347"/>
      <c r="T341" s="347"/>
      <c r="U341" s="382"/>
    </row>
    <row r="342" spans="1:21" s="153" customFormat="1" ht="33.75" customHeight="1" x14ac:dyDescent="0.25">
      <c r="A342" s="403"/>
      <c r="B342" s="388"/>
      <c r="C342" s="372"/>
      <c r="D342" s="373" t="s">
        <v>148</v>
      </c>
      <c r="E342" s="375" t="s">
        <v>149</v>
      </c>
      <c r="F342" s="376">
        <v>200000000</v>
      </c>
      <c r="G342" s="404"/>
      <c r="H342" s="377"/>
      <c r="I342" s="377">
        <f t="shared" si="201"/>
        <v>0</v>
      </c>
      <c r="J342" s="377"/>
      <c r="K342" s="377"/>
      <c r="L342" s="377">
        <f t="shared" ref="L342" si="211">+J342+K342</f>
        <v>0</v>
      </c>
      <c r="M342" s="377">
        <f t="shared" si="209"/>
        <v>0</v>
      </c>
      <c r="N342" s="376">
        <f t="shared" si="210"/>
        <v>200000000</v>
      </c>
      <c r="P342" s="200"/>
      <c r="S342" s="221"/>
      <c r="T342" s="358"/>
      <c r="U342" s="254"/>
    </row>
    <row r="343" spans="1:21" s="319" customFormat="1" ht="34.5" customHeight="1" x14ac:dyDescent="0.25">
      <c r="A343" s="275">
        <v>20</v>
      </c>
      <c r="B343" s="314"/>
      <c r="C343" s="314" t="s">
        <v>153</v>
      </c>
      <c r="D343" s="315"/>
      <c r="E343" s="348" t="s">
        <v>154</v>
      </c>
      <c r="F343" s="317">
        <f t="shared" ref="F343:H346" si="212">+F344</f>
        <v>80000000</v>
      </c>
      <c r="G343" s="318">
        <f t="shared" si="212"/>
        <v>0</v>
      </c>
      <c r="H343" s="318">
        <f t="shared" si="212"/>
        <v>0</v>
      </c>
      <c r="I343" s="318">
        <f t="shared" si="201"/>
        <v>0</v>
      </c>
      <c r="J343" s="318">
        <f t="shared" ref="J343:K347" si="213">+J344</f>
        <v>0</v>
      </c>
      <c r="K343" s="318">
        <f t="shared" si="213"/>
        <v>0</v>
      </c>
      <c r="L343" s="318">
        <f>+J343+K343</f>
        <v>0</v>
      </c>
      <c r="M343" s="318">
        <f>+I343+L343</f>
        <v>0</v>
      </c>
      <c r="N343" s="317">
        <f>+F343-M343</f>
        <v>80000000</v>
      </c>
      <c r="P343" s="320"/>
      <c r="R343" s="321"/>
      <c r="S343" s="349"/>
      <c r="T343" s="349"/>
      <c r="U343" s="350"/>
    </row>
    <row r="344" spans="1:21" s="329" customFormat="1" ht="18" customHeight="1" x14ac:dyDescent="0.25">
      <c r="A344" s="323"/>
      <c r="B344" s="324"/>
      <c r="C344" s="324"/>
      <c r="D344" s="325" t="s">
        <v>207</v>
      </c>
      <c r="E344" s="326" t="s">
        <v>262</v>
      </c>
      <c r="F344" s="327">
        <f t="shared" si="212"/>
        <v>80000000</v>
      </c>
      <c r="G344" s="328">
        <f t="shared" si="212"/>
        <v>0</v>
      </c>
      <c r="H344" s="328">
        <f t="shared" si="212"/>
        <v>0</v>
      </c>
      <c r="I344" s="328">
        <f t="shared" si="201"/>
        <v>0</v>
      </c>
      <c r="J344" s="328">
        <f t="shared" si="213"/>
        <v>0</v>
      </c>
      <c r="K344" s="328">
        <f t="shared" si="213"/>
        <v>0</v>
      </c>
      <c r="L344" s="328">
        <f>+J344+K344</f>
        <v>0</v>
      </c>
      <c r="M344" s="328">
        <f t="shared" ref="M344:M348" si="214">+I344+L344</f>
        <v>0</v>
      </c>
      <c r="N344" s="327">
        <f t="shared" ref="N344:N348" si="215">+F344-M344</f>
        <v>80000000</v>
      </c>
      <c r="P344" s="330"/>
      <c r="R344" s="331"/>
      <c r="S344" s="351"/>
      <c r="T344" s="351"/>
      <c r="U344" s="333"/>
    </row>
    <row r="345" spans="1:21" s="381" customFormat="1" ht="18" customHeight="1" x14ac:dyDescent="0.25">
      <c r="A345" s="384"/>
      <c r="B345" s="397"/>
      <c r="C345" s="384"/>
      <c r="D345" s="335" t="s">
        <v>63</v>
      </c>
      <c r="E345" s="335" t="s">
        <v>30</v>
      </c>
      <c r="F345" s="337">
        <f t="shared" si="212"/>
        <v>80000000</v>
      </c>
      <c r="G345" s="344">
        <f t="shared" si="212"/>
        <v>0</v>
      </c>
      <c r="H345" s="344">
        <f t="shared" si="212"/>
        <v>0</v>
      </c>
      <c r="I345" s="344">
        <f t="shared" si="201"/>
        <v>0</v>
      </c>
      <c r="J345" s="344">
        <f t="shared" si="213"/>
        <v>0</v>
      </c>
      <c r="K345" s="344">
        <f t="shared" si="213"/>
        <v>0</v>
      </c>
      <c r="L345" s="344">
        <f>+J345+K345</f>
        <v>0</v>
      </c>
      <c r="M345" s="344">
        <f t="shared" si="214"/>
        <v>0</v>
      </c>
      <c r="N345" s="337">
        <f t="shared" si="215"/>
        <v>80000000</v>
      </c>
      <c r="P345" s="340"/>
      <c r="S345" s="347"/>
      <c r="T345" s="347"/>
      <c r="U345" s="382"/>
    </row>
    <row r="346" spans="1:21" s="339" customFormat="1" ht="18" customHeight="1" x14ac:dyDescent="0.25">
      <c r="A346" s="334"/>
      <c r="B346" s="335"/>
      <c r="C346" s="335"/>
      <c r="D346" s="365" t="s">
        <v>275</v>
      </c>
      <c r="E346" s="335" t="s">
        <v>276</v>
      </c>
      <c r="F346" s="337">
        <f t="shared" si="212"/>
        <v>80000000</v>
      </c>
      <c r="G346" s="344">
        <f t="shared" si="212"/>
        <v>0</v>
      </c>
      <c r="H346" s="344">
        <f t="shared" si="212"/>
        <v>0</v>
      </c>
      <c r="I346" s="344">
        <f t="shared" si="201"/>
        <v>0</v>
      </c>
      <c r="J346" s="344">
        <f t="shared" si="213"/>
        <v>0</v>
      </c>
      <c r="K346" s="344">
        <f t="shared" si="213"/>
        <v>0</v>
      </c>
      <c r="L346" s="344">
        <f>+J346+K346</f>
        <v>0</v>
      </c>
      <c r="M346" s="344">
        <f t="shared" si="214"/>
        <v>0</v>
      </c>
      <c r="N346" s="337">
        <f t="shared" si="215"/>
        <v>80000000</v>
      </c>
      <c r="P346" s="340"/>
      <c r="S346" s="347"/>
      <c r="T346" s="347"/>
      <c r="U346" s="342"/>
    </row>
    <row r="347" spans="1:21" s="381" customFormat="1" ht="18" customHeight="1" x14ac:dyDescent="0.25">
      <c r="A347" s="384"/>
      <c r="B347" s="397"/>
      <c r="C347" s="384"/>
      <c r="D347" s="335" t="s">
        <v>114</v>
      </c>
      <c r="E347" s="335" t="s">
        <v>43</v>
      </c>
      <c r="F347" s="337">
        <f>F348</f>
        <v>80000000</v>
      </c>
      <c r="G347" s="344">
        <f>+G348</f>
        <v>0</v>
      </c>
      <c r="H347" s="344">
        <f>+H348</f>
        <v>0</v>
      </c>
      <c r="I347" s="344">
        <f t="shared" si="201"/>
        <v>0</v>
      </c>
      <c r="J347" s="344">
        <f t="shared" si="213"/>
        <v>0</v>
      </c>
      <c r="K347" s="344">
        <f t="shared" si="213"/>
        <v>0</v>
      </c>
      <c r="L347" s="344">
        <f>+J347+K347</f>
        <v>0</v>
      </c>
      <c r="M347" s="344">
        <f t="shared" si="214"/>
        <v>0</v>
      </c>
      <c r="N347" s="337">
        <f t="shared" si="215"/>
        <v>80000000</v>
      </c>
      <c r="P347" s="340"/>
      <c r="S347" s="347"/>
      <c r="T347" s="347"/>
      <c r="U347" s="382"/>
    </row>
    <row r="348" spans="1:21" s="339" customFormat="1" ht="20.25" customHeight="1" x14ac:dyDescent="0.25">
      <c r="A348" s="399"/>
      <c r="B348" s="381"/>
      <c r="C348" s="366"/>
      <c r="D348" s="367" t="s">
        <v>349</v>
      </c>
      <c r="E348" s="369" t="s">
        <v>350</v>
      </c>
      <c r="F348" s="370">
        <v>80000000</v>
      </c>
      <c r="G348" s="400"/>
      <c r="H348" s="400"/>
      <c r="I348" s="400"/>
      <c r="J348" s="371"/>
      <c r="K348" s="371"/>
      <c r="L348" s="371">
        <f t="shared" ref="L348" si="216">+J348+K348</f>
        <v>0</v>
      </c>
      <c r="M348" s="371">
        <f t="shared" si="214"/>
        <v>0</v>
      </c>
      <c r="N348" s="370">
        <f t="shared" si="215"/>
        <v>80000000</v>
      </c>
      <c r="P348" s="340"/>
      <c r="S348" s="347"/>
      <c r="T348" s="347"/>
      <c r="U348" s="342"/>
    </row>
    <row r="349" spans="1:21" s="153" customFormat="1" ht="18" customHeight="1" x14ac:dyDescent="0.25">
      <c r="A349" s="353"/>
      <c r="B349" s="355"/>
      <c r="C349" s="355"/>
      <c r="D349" s="355"/>
      <c r="E349" s="355"/>
      <c r="F349" s="356"/>
      <c r="G349" s="357"/>
      <c r="H349" s="357"/>
      <c r="I349" s="357"/>
      <c r="J349" s="357"/>
      <c r="K349" s="357"/>
      <c r="L349" s="357"/>
      <c r="M349" s="357"/>
      <c r="N349" s="356"/>
      <c r="P349" s="200"/>
      <c r="S349" s="221"/>
      <c r="T349" s="221"/>
      <c r="U349" s="254"/>
    </row>
    <row r="350" spans="1:21" s="319" customFormat="1" ht="18.75" customHeight="1" x14ac:dyDescent="0.25">
      <c r="A350" s="276"/>
      <c r="B350" s="305" t="s">
        <v>410</v>
      </c>
      <c r="C350" s="305"/>
      <c r="D350" s="305"/>
      <c r="E350" s="396" t="s">
        <v>411</v>
      </c>
      <c r="F350" s="359">
        <f>+F351+F357+F369+F375</f>
        <v>352609205400</v>
      </c>
      <c r="G350" s="308">
        <f>G351+G357+G369+G375</f>
        <v>0</v>
      </c>
      <c r="H350" s="308">
        <f>+H351+H357+H369+H375</f>
        <v>6155127800</v>
      </c>
      <c r="I350" s="360">
        <f>+G350+H350</f>
        <v>6155127800</v>
      </c>
      <c r="J350" s="308">
        <f>J351+J357+J369+J375</f>
        <v>0</v>
      </c>
      <c r="K350" s="308">
        <f>+K352</f>
        <v>0</v>
      </c>
      <c r="L350" s="360">
        <f t="shared" ref="L350:L364" si="217">+J350+K350</f>
        <v>0</v>
      </c>
      <c r="M350" s="360">
        <f t="shared" ref="M350:M364" si="218">+I350+L350</f>
        <v>6155127800</v>
      </c>
      <c r="N350" s="359">
        <f t="shared" ref="N350:N355" si="219">+F350-M350</f>
        <v>346454077600</v>
      </c>
      <c r="P350" s="361"/>
      <c r="R350" s="321"/>
      <c r="S350" s="362"/>
      <c r="T350" s="362"/>
      <c r="U350" s="350"/>
    </row>
    <row r="351" spans="1:21" s="319" customFormat="1" ht="32.25" hidden="1" customHeight="1" x14ac:dyDescent="0.25">
      <c r="A351" s="275">
        <v>21</v>
      </c>
      <c r="B351" s="314"/>
      <c r="C351" s="314" t="s">
        <v>280</v>
      </c>
      <c r="D351" s="315"/>
      <c r="E351" s="348" t="s">
        <v>279</v>
      </c>
      <c r="F351" s="317">
        <f t="shared" ref="F351:H355" si="220">+F352</f>
        <v>0</v>
      </c>
      <c r="G351" s="318">
        <f t="shared" si="220"/>
        <v>0</v>
      </c>
      <c r="H351" s="318">
        <f>+H352</f>
        <v>0</v>
      </c>
      <c r="I351" s="318">
        <f>+G351+H351</f>
        <v>0</v>
      </c>
      <c r="J351" s="318">
        <f>+J352</f>
        <v>0</v>
      </c>
      <c r="K351" s="318">
        <f>+K352</f>
        <v>0</v>
      </c>
      <c r="L351" s="318">
        <f t="shared" si="217"/>
        <v>0</v>
      </c>
      <c r="M351" s="318">
        <f>+I351+L351</f>
        <v>0</v>
      </c>
      <c r="N351" s="317">
        <f>+F351-M351</f>
        <v>0</v>
      </c>
      <c r="P351" s="320"/>
      <c r="R351" s="321"/>
      <c r="S351" s="349"/>
      <c r="T351" s="349"/>
      <c r="U351" s="350"/>
    </row>
    <row r="352" spans="1:21" s="329" customFormat="1" ht="18" hidden="1" customHeight="1" x14ac:dyDescent="0.25">
      <c r="A352" s="323"/>
      <c r="B352" s="324"/>
      <c r="C352" s="324"/>
      <c r="D352" s="325" t="s">
        <v>207</v>
      </c>
      <c r="E352" s="326" t="s">
        <v>262</v>
      </c>
      <c r="F352" s="327">
        <f t="shared" si="220"/>
        <v>0</v>
      </c>
      <c r="G352" s="328">
        <f t="shared" si="220"/>
        <v>0</v>
      </c>
      <c r="H352" s="328">
        <f t="shared" si="220"/>
        <v>0</v>
      </c>
      <c r="I352" s="328">
        <f t="shared" ref="I352:I368" si="221">+G352+H352</f>
        <v>0</v>
      </c>
      <c r="J352" s="328">
        <f>+J353</f>
        <v>0</v>
      </c>
      <c r="K352" s="328">
        <f>+K353</f>
        <v>0</v>
      </c>
      <c r="L352" s="328">
        <f t="shared" si="217"/>
        <v>0</v>
      </c>
      <c r="M352" s="328">
        <f t="shared" si="218"/>
        <v>0</v>
      </c>
      <c r="N352" s="327">
        <f t="shared" si="219"/>
        <v>0</v>
      </c>
      <c r="P352" s="330"/>
      <c r="R352" s="331"/>
      <c r="S352" s="351"/>
      <c r="T352" s="351"/>
      <c r="U352" s="333"/>
    </row>
    <row r="353" spans="1:21" s="381" customFormat="1" ht="18" hidden="1" customHeight="1" x14ac:dyDescent="0.25">
      <c r="A353" s="384"/>
      <c r="B353" s="335"/>
      <c r="C353" s="335"/>
      <c r="D353" s="335" t="s">
        <v>281</v>
      </c>
      <c r="E353" s="335" t="s">
        <v>282</v>
      </c>
      <c r="F353" s="337">
        <f t="shared" si="220"/>
        <v>0</v>
      </c>
      <c r="G353" s="338">
        <f t="shared" si="220"/>
        <v>0</v>
      </c>
      <c r="H353" s="338">
        <f t="shared" si="220"/>
        <v>0</v>
      </c>
      <c r="I353" s="338">
        <f>+G353+H353</f>
        <v>0</v>
      </c>
      <c r="J353" s="338">
        <f>+J354+J363</f>
        <v>0</v>
      </c>
      <c r="K353" s="338">
        <f>+K354+K363</f>
        <v>0</v>
      </c>
      <c r="L353" s="338">
        <f t="shared" si="217"/>
        <v>0</v>
      </c>
      <c r="M353" s="338">
        <f>+I353+L353</f>
        <v>0</v>
      </c>
      <c r="N353" s="405">
        <f t="shared" si="219"/>
        <v>0</v>
      </c>
      <c r="P353" s="340"/>
      <c r="S353" s="347"/>
      <c r="T353" s="347"/>
      <c r="U353" s="382"/>
    </row>
    <row r="354" spans="1:21" s="339" customFormat="1" ht="18" hidden="1" customHeight="1" x14ac:dyDescent="0.25">
      <c r="A354" s="334"/>
      <c r="B354" s="335"/>
      <c r="C354" s="335"/>
      <c r="D354" s="335" t="s">
        <v>283</v>
      </c>
      <c r="E354" s="336" t="s">
        <v>284</v>
      </c>
      <c r="F354" s="337">
        <f t="shared" si="220"/>
        <v>0</v>
      </c>
      <c r="G354" s="338">
        <f t="shared" si="220"/>
        <v>0</v>
      </c>
      <c r="H354" s="338">
        <f t="shared" si="220"/>
        <v>0</v>
      </c>
      <c r="I354" s="338">
        <f t="shared" si="221"/>
        <v>0</v>
      </c>
      <c r="J354" s="338">
        <f>+J355</f>
        <v>0</v>
      </c>
      <c r="K354" s="338">
        <f>+K355</f>
        <v>0</v>
      </c>
      <c r="L354" s="338">
        <f t="shared" si="217"/>
        <v>0</v>
      </c>
      <c r="M354" s="338">
        <f t="shared" si="218"/>
        <v>0</v>
      </c>
      <c r="N354" s="337">
        <f t="shared" si="219"/>
        <v>0</v>
      </c>
      <c r="P354" s="340"/>
      <c r="S354" s="347"/>
      <c r="T354" s="347"/>
      <c r="U354" s="342"/>
    </row>
    <row r="355" spans="1:21" s="339" customFormat="1" ht="31.5" hidden="1" customHeight="1" x14ac:dyDescent="0.25">
      <c r="A355" s="334"/>
      <c r="B355" s="335"/>
      <c r="C355" s="335"/>
      <c r="D355" s="335" t="s">
        <v>412</v>
      </c>
      <c r="E355" s="391" t="s">
        <v>413</v>
      </c>
      <c r="F355" s="337">
        <f t="shared" si="220"/>
        <v>0</v>
      </c>
      <c r="G355" s="344">
        <f t="shared" si="220"/>
        <v>0</v>
      </c>
      <c r="H355" s="344">
        <f t="shared" si="220"/>
        <v>0</v>
      </c>
      <c r="I355" s="344">
        <f t="shared" si="221"/>
        <v>0</v>
      </c>
      <c r="J355" s="344">
        <f>+J356</f>
        <v>0</v>
      </c>
      <c r="K355" s="344">
        <f>+K356</f>
        <v>0</v>
      </c>
      <c r="L355" s="344">
        <f t="shared" si="217"/>
        <v>0</v>
      </c>
      <c r="M355" s="344">
        <f t="shared" si="218"/>
        <v>0</v>
      </c>
      <c r="N355" s="337">
        <f t="shared" si="219"/>
        <v>0</v>
      </c>
      <c r="P355" s="340"/>
      <c r="S355" s="347"/>
      <c r="T355" s="347"/>
      <c r="U355" s="342"/>
    </row>
    <row r="356" spans="1:21" s="153" customFormat="1" ht="33.75" hidden="1" customHeight="1" x14ac:dyDescent="0.25">
      <c r="A356" s="353"/>
      <c r="B356" s="355"/>
      <c r="C356" s="355"/>
      <c r="D356" s="355" t="s">
        <v>414</v>
      </c>
      <c r="E356" s="402" t="s">
        <v>413</v>
      </c>
      <c r="F356" s="356"/>
      <c r="G356" s="406"/>
      <c r="H356" s="406"/>
      <c r="I356" s="406">
        <f t="shared" si="221"/>
        <v>0</v>
      </c>
      <c r="J356" s="357"/>
      <c r="K356" s="406"/>
      <c r="L356" s="406">
        <f t="shared" si="217"/>
        <v>0</v>
      </c>
      <c r="M356" s="406">
        <f t="shared" si="218"/>
        <v>0</v>
      </c>
      <c r="N356" s="356">
        <f>+F356-M356</f>
        <v>0</v>
      </c>
      <c r="P356" s="200"/>
      <c r="S356" s="221"/>
      <c r="T356" s="221"/>
      <c r="U356" s="254"/>
    </row>
    <row r="357" spans="1:21" s="319" customFormat="1" ht="18" customHeight="1" x14ac:dyDescent="0.25">
      <c r="A357" s="276">
        <v>21</v>
      </c>
      <c r="B357" s="305"/>
      <c r="C357" s="305" t="s">
        <v>285</v>
      </c>
      <c r="D357" s="363"/>
      <c r="E357" s="364" t="s">
        <v>286</v>
      </c>
      <c r="F357" s="307">
        <f>+F358</f>
        <v>325031788200</v>
      </c>
      <c r="G357" s="308">
        <f t="shared" ref="G357:H358" si="222">+G358</f>
        <v>0</v>
      </c>
      <c r="H357" s="308">
        <f>+H358</f>
        <v>6155127800</v>
      </c>
      <c r="I357" s="308">
        <f t="shared" si="221"/>
        <v>6155127800</v>
      </c>
      <c r="J357" s="308">
        <f t="shared" ref="J357:K358" si="223">+J358</f>
        <v>0</v>
      </c>
      <c r="K357" s="308">
        <f t="shared" si="223"/>
        <v>0</v>
      </c>
      <c r="L357" s="308">
        <f t="shared" si="217"/>
        <v>0</v>
      </c>
      <c r="M357" s="308">
        <f>+I357+L357</f>
        <v>6155127800</v>
      </c>
      <c r="N357" s="307">
        <f>+F357-M357</f>
        <v>318876660400</v>
      </c>
      <c r="P357" s="320"/>
      <c r="R357" s="321"/>
      <c r="S357" s="349"/>
      <c r="T357" s="349"/>
      <c r="U357" s="350"/>
    </row>
    <row r="358" spans="1:21" s="329" customFormat="1" ht="18" customHeight="1" x14ac:dyDescent="0.25">
      <c r="A358" s="323"/>
      <c r="B358" s="324"/>
      <c r="C358" s="324"/>
      <c r="D358" s="325" t="s">
        <v>287</v>
      </c>
      <c r="E358" s="326" t="s">
        <v>288</v>
      </c>
      <c r="F358" s="327">
        <f>+F359</f>
        <v>325031788200</v>
      </c>
      <c r="G358" s="328">
        <f t="shared" si="222"/>
        <v>0</v>
      </c>
      <c r="H358" s="328">
        <f t="shared" si="222"/>
        <v>6155127800</v>
      </c>
      <c r="I358" s="328">
        <f t="shared" si="221"/>
        <v>6155127800</v>
      </c>
      <c r="J358" s="328">
        <f t="shared" si="223"/>
        <v>0</v>
      </c>
      <c r="K358" s="328">
        <f t="shared" si="223"/>
        <v>0</v>
      </c>
      <c r="L358" s="328">
        <f t="shared" si="217"/>
        <v>0</v>
      </c>
      <c r="M358" s="328">
        <f t="shared" ref="M358" si="224">+I358+L358</f>
        <v>6155127800</v>
      </c>
      <c r="N358" s="327">
        <f t="shared" ref="N358:N366" si="225">+F358-M358</f>
        <v>318876660400</v>
      </c>
      <c r="P358" s="330"/>
      <c r="R358" s="331"/>
      <c r="S358" s="351"/>
      <c r="T358" s="351"/>
      <c r="U358" s="333"/>
    </row>
    <row r="359" spans="1:21" s="381" customFormat="1" ht="18" customHeight="1" x14ac:dyDescent="0.25">
      <c r="A359" s="384"/>
      <c r="B359" s="335"/>
      <c r="C359" s="335"/>
      <c r="D359" s="335" t="s">
        <v>289</v>
      </c>
      <c r="E359" s="335" t="s">
        <v>290</v>
      </c>
      <c r="F359" s="337">
        <f>+F363+F360</f>
        <v>325031788200</v>
      </c>
      <c r="G359" s="338">
        <f>+G363+G360</f>
        <v>0</v>
      </c>
      <c r="H359" s="338">
        <f>+H363+H360</f>
        <v>6155127800</v>
      </c>
      <c r="I359" s="338">
        <f t="shared" si="221"/>
        <v>6155127800</v>
      </c>
      <c r="J359" s="338">
        <f>+J363+J360</f>
        <v>0</v>
      </c>
      <c r="K359" s="338">
        <f>+K363+K360</f>
        <v>0</v>
      </c>
      <c r="L359" s="338">
        <f>+J359+K359</f>
        <v>0</v>
      </c>
      <c r="M359" s="338">
        <f>+I359+L359</f>
        <v>6155127800</v>
      </c>
      <c r="N359" s="405">
        <f t="shared" si="225"/>
        <v>318876660400</v>
      </c>
      <c r="P359" s="340"/>
      <c r="S359" s="347"/>
      <c r="T359" s="347"/>
      <c r="U359" s="382"/>
    </row>
    <row r="360" spans="1:21" s="339" customFormat="1" ht="18" customHeight="1" x14ac:dyDescent="0.25">
      <c r="A360" s="366"/>
      <c r="B360" s="367"/>
      <c r="C360" s="367"/>
      <c r="D360" s="367" t="s">
        <v>291</v>
      </c>
      <c r="E360" s="407" t="s">
        <v>292</v>
      </c>
      <c r="F360" s="370">
        <f t="shared" ref="F360:H361" si="226">+F361</f>
        <v>540000000</v>
      </c>
      <c r="G360" s="408">
        <f t="shared" si="226"/>
        <v>0</v>
      </c>
      <c r="H360" s="408">
        <f t="shared" si="226"/>
        <v>0</v>
      </c>
      <c r="I360" s="408">
        <f t="shared" si="221"/>
        <v>0</v>
      </c>
      <c r="J360" s="408">
        <f>+J361</f>
        <v>0</v>
      </c>
      <c r="K360" s="408">
        <f>+K361</f>
        <v>0</v>
      </c>
      <c r="L360" s="408">
        <f>+J360+K360</f>
        <v>0</v>
      </c>
      <c r="M360" s="408">
        <f>+I360+L360</f>
        <v>0</v>
      </c>
      <c r="N360" s="370">
        <f t="shared" si="225"/>
        <v>540000000</v>
      </c>
      <c r="P360" s="340"/>
      <c r="S360" s="347"/>
      <c r="T360" s="347"/>
      <c r="U360" s="342"/>
    </row>
    <row r="361" spans="1:21" s="339" customFormat="1" ht="32.25" customHeight="1" x14ac:dyDescent="0.25">
      <c r="A361" s="366"/>
      <c r="B361" s="367"/>
      <c r="C361" s="367"/>
      <c r="D361" s="367" t="s">
        <v>293</v>
      </c>
      <c r="E361" s="369" t="s">
        <v>295</v>
      </c>
      <c r="F361" s="370">
        <f t="shared" si="226"/>
        <v>540000000</v>
      </c>
      <c r="G361" s="371">
        <f t="shared" si="226"/>
        <v>0</v>
      </c>
      <c r="H361" s="371">
        <f t="shared" si="226"/>
        <v>0</v>
      </c>
      <c r="I361" s="371">
        <f t="shared" si="221"/>
        <v>0</v>
      </c>
      <c r="J361" s="371">
        <f>+J362</f>
        <v>0</v>
      </c>
      <c r="K361" s="371">
        <f>+K362</f>
        <v>0</v>
      </c>
      <c r="L361" s="371">
        <f>+J361+K361</f>
        <v>0</v>
      </c>
      <c r="M361" s="371">
        <f>+I361+L361</f>
        <v>0</v>
      </c>
      <c r="N361" s="370">
        <f t="shared" si="225"/>
        <v>540000000</v>
      </c>
      <c r="P361" s="340"/>
      <c r="S361" s="347"/>
      <c r="T361" s="347"/>
      <c r="U361" s="342"/>
    </row>
    <row r="362" spans="1:21" s="339" customFormat="1" ht="29.25" customHeight="1" x14ac:dyDescent="0.25">
      <c r="A362" s="366"/>
      <c r="B362" s="367"/>
      <c r="C362" s="367"/>
      <c r="D362" s="367" t="s">
        <v>294</v>
      </c>
      <c r="E362" s="369" t="s">
        <v>295</v>
      </c>
      <c r="F362" s="370">
        <v>540000000</v>
      </c>
      <c r="G362" s="408"/>
      <c r="H362" s="408"/>
      <c r="I362" s="408">
        <f t="shared" si="221"/>
        <v>0</v>
      </c>
      <c r="J362" s="371"/>
      <c r="K362" s="408"/>
      <c r="L362" s="408">
        <f>+J362+K362</f>
        <v>0</v>
      </c>
      <c r="M362" s="408">
        <f>+I362+L362</f>
        <v>0</v>
      </c>
      <c r="N362" s="409">
        <f t="shared" si="225"/>
        <v>540000000</v>
      </c>
      <c r="P362" s="340"/>
      <c r="S362" s="347"/>
      <c r="T362" s="347"/>
      <c r="U362" s="342"/>
    </row>
    <row r="363" spans="1:21" s="339" customFormat="1" ht="18" customHeight="1" x14ac:dyDescent="0.25">
      <c r="A363" s="334"/>
      <c r="B363" s="335"/>
      <c r="C363" s="335"/>
      <c r="D363" s="335" t="s">
        <v>296</v>
      </c>
      <c r="E363" s="336" t="s">
        <v>298</v>
      </c>
      <c r="F363" s="337">
        <f>+F364+F366</f>
        <v>324491788200</v>
      </c>
      <c r="G363" s="338">
        <f>+G364+G366</f>
        <v>0</v>
      </c>
      <c r="H363" s="338">
        <f>+H364+H366</f>
        <v>6155127800</v>
      </c>
      <c r="I363" s="338">
        <f t="shared" si="221"/>
        <v>6155127800</v>
      </c>
      <c r="J363" s="338">
        <f>+J364+J366</f>
        <v>0</v>
      </c>
      <c r="K363" s="338">
        <f>+K364+K366</f>
        <v>0</v>
      </c>
      <c r="L363" s="338">
        <f t="shared" si="217"/>
        <v>0</v>
      </c>
      <c r="M363" s="338">
        <f t="shared" si="218"/>
        <v>6155127800</v>
      </c>
      <c r="N363" s="337">
        <f t="shared" si="225"/>
        <v>318336660400</v>
      </c>
      <c r="P363" s="340"/>
      <c r="S363" s="347"/>
      <c r="T363" s="347"/>
      <c r="U363" s="342"/>
    </row>
    <row r="364" spans="1:21" s="339" customFormat="1" ht="32.25" customHeight="1" x14ac:dyDescent="0.25">
      <c r="A364" s="334"/>
      <c r="B364" s="335"/>
      <c r="C364" s="335"/>
      <c r="D364" s="335" t="s">
        <v>297</v>
      </c>
      <c r="E364" s="391" t="s">
        <v>300</v>
      </c>
      <c r="F364" s="337">
        <f>F365</f>
        <v>268985638200</v>
      </c>
      <c r="G364" s="344">
        <f>+G365</f>
        <v>0</v>
      </c>
      <c r="H364" s="344">
        <f>+H365</f>
        <v>6155127800</v>
      </c>
      <c r="I364" s="338">
        <f t="shared" si="221"/>
        <v>6155127800</v>
      </c>
      <c r="J364" s="344">
        <f>+J365</f>
        <v>0</v>
      </c>
      <c r="K364" s="344">
        <f>+K365</f>
        <v>0</v>
      </c>
      <c r="L364" s="338">
        <f t="shared" si="217"/>
        <v>0</v>
      </c>
      <c r="M364" s="344">
        <f t="shared" si="218"/>
        <v>6155127800</v>
      </c>
      <c r="N364" s="337">
        <f t="shared" si="225"/>
        <v>262830510400</v>
      </c>
      <c r="P364" s="340"/>
      <c r="S364" s="347"/>
      <c r="T364" s="347"/>
      <c r="U364" s="342"/>
    </row>
    <row r="365" spans="1:21" s="339" customFormat="1" ht="29.25" customHeight="1" x14ac:dyDescent="0.25">
      <c r="A365" s="334"/>
      <c r="B365" s="335"/>
      <c r="C365" s="335"/>
      <c r="D365" s="335" t="s">
        <v>299</v>
      </c>
      <c r="E365" s="391" t="s">
        <v>300</v>
      </c>
      <c r="F365" s="337">
        <v>268985638200</v>
      </c>
      <c r="G365" s="338"/>
      <c r="H365" s="338">
        <v>6155127800</v>
      </c>
      <c r="I365" s="338">
        <f t="shared" si="221"/>
        <v>6155127800</v>
      </c>
      <c r="J365" s="344"/>
      <c r="K365" s="338"/>
      <c r="L365" s="338">
        <f>J365+K365</f>
        <v>0</v>
      </c>
      <c r="M365" s="338">
        <f>+I365+L365</f>
        <v>6155127800</v>
      </c>
      <c r="N365" s="405">
        <f t="shared" si="225"/>
        <v>262830510400</v>
      </c>
      <c r="P365" s="340"/>
      <c r="S365" s="345"/>
      <c r="T365" s="345"/>
      <c r="U365" s="342"/>
    </row>
    <row r="366" spans="1:21" s="339" customFormat="1" ht="32.25" customHeight="1" x14ac:dyDescent="0.25">
      <c r="A366" s="334"/>
      <c r="B366" s="335"/>
      <c r="C366" s="335"/>
      <c r="D366" s="335" t="s">
        <v>301</v>
      </c>
      <c r="E366" s="391" t="s">
        <v>303</v>
      </c>
      <c r="F366" s="337">
        <f>F367+F368</f>
        <v>55506150000</v>
      </c>
      <c r="G366" s="344">
        <f>+G367</f>
        <v>0</v>
      </c>
      <c r="H366" s="338">
        <f>+H367</f>
        <v>0</v>
      </c>
      <c r="I366" s="338">
        <f>+G366+H366</f>
        <v>0</v>
      </c>
      <c r="J366" s="344">
        <f>+J367</f>
        <v>0</v>
      </c>
      <c r="K366" s="344">
        <f>+K367</f>
        <v>0</v>
      </c>
      <c r="L366" s="344">
        <f>+J366+K366</f>
        <v>0</v>
      </c>
      <c r="M366" s="344">
        <f t="shared" ref="M366" si="227">+I366+L366</f>
        <v>0</v>
      </c>
      <c r="N366" s="337">
        <f t="shared" si="225"/>
        <v>55506150000</v>
      </c>
      <c r="P366" s="340"/>
      <c r="S366" s="345"/>
      <c r="T366" s="345"/>
      <c r="U366" s="342"/>
    </row>
    <row r="367" spans="1:21" s="153" customFormat="1" ht="29.25" customHeight="1" x14ac:dyDescent="0.25">
      <c r="A367" s="353"/>
      <c r="B367" s="355"/>
      <c r="C367" s="355"/>
      <c r="D367" s="355" t="s">
        <v>480</v>
      </c>
      <c r="E367" s="402" t="s">
        <v>481</v>
      </c>
      <c r="F367" s="356">
        <v>70000000</v>
      </c>
      <c r="G367" s="406"/>
      <c r="H367" s="406"/>
      <c r="I367" s="406">
        <f t="shared" si="221"/>
        <v>0</v>
      </c>
      <c r="J367" s="357"/>
      <c r="K367" s="406"/>
      <c r="L367" s="406">
        <f>J367+K367</f>
        <v>0</v>
      </c>
      <c r="M367" s="406">
        <f>+I367+L367</f>
        <v>0</v>
      </c>
      <c r="N367" s="405">
        <f>+F367-M367</f>
        <v>70000000</v>
      </c>
      <c r="P367" s="200"/>
      <c r="S367" s="410"/>
      <c r="T367" s="410"/>
      <c r="U367" s="254"/>
    </row>
    <row r="368" spans="1:21" s="153" customFormat="1" ht="29.25" customHeight="1" x14ac:dyDescent="0.25">
      <c r="A368" s="353"/>
      <c r="B368" s="355"/>
      <c r="C368" s="355"/>
      <c r="D368" s="355" t="s">
        <v>482</v>
      </c>
      <c r="E368" s="402" t="s">
        <v>483</v>
      </c>
      <c r="F368" s="356">
        <v>55436150000</v>
      </c>
      <c r="G368" s="406"/>
      <c r="H368" s="406"/>
      <c r="I368" s="406">
        <f t="shared" si="221"/>
        <v>0</v>
      </c>
      <c r="J368" s="357"/>
      <c r="K368" s="406"/>
      <c r="L368" s="406">
        <f>J368+K368</f>
        <v>0</v>
      </c>
      <c r="M368" s="406">
        <f>+I368+L368</f>
        <v>0</v>
      </c>
      <c r="N368" s="405">
        <f>+F368-M368</f>
        <v>55436150000</v>
      </c>
      <c r="P368" s="200"/>
      <c r="S368" s="410"/>
      <c r="T368" s="410"/>
      <c r="U368" s="254"/>
    </row>
    <row r="369" spans="1:21" s="319" customFormat="1" ht="18" customHeight="1" x14ac:dyDescent="0.25">
      <c r="A369" s="276">
        <v>22</v>
      </c>
      <c r="B369" s="305"/>
      <c r="C369" s="305" t="s">
        <v>304</v>
      </c>
      <c r="D369" s="363"/>
      <c r="E369" s="364" t="s">
        <v>305</v>
      </c>
      <c r="F369" s="307">
        <f t="shared" ref="F369:H372" si="228">+F370</f>
        <v>8000000000</v>
      </c>
      <c r="G369" s="308">
        <f t="shared" si="228"/>
        <v>0</v>
      </c>
      <c r="H369" s="308">
        <f t="shared" si="228"/>
        <v>0</v>
      </c>
      <c r="I369" s="308">
        <f>+G369+H369</f>
        <v>0</v>
      </c>
      <c r="J369" s="308">
        <f t="shared" ref="J369:K373" si="229">+J370</f>
        <v>0</v>
      </c>
      <c r="K369" s="308">
        <f t="shared" si="229"/>
        <v>0</v>
      </c>
      <c r="L369" s="308">
        <f>+J369+K369</f>
        <v>0</v>
      </c>
      <c r="M369" s="308">
        <f>+I369+L369</f>
        <v>0</v>
      </c>
      <c r="N369" s="307">
        <f>+F369-M369</f>
        <v>8000000000</v>
      </c>
      <c r="P369" s="320"/>
      <c r="R369" s="321"/>
      <c r="S369" s="411"/>
      <c r="T369" s="411"/>
      <c r="U369" s="350"/>
    </row>
    <row r="370" spans="1:21" s="329" customFormat="1" ht="18" customHeight="1" x14ac:dyDescent="0.25">
      <c r="A370" s="323"/>
      <c r="B370" s="324"/>
      <c r="C370" s="324"/>
      <c r="D370" s="325" t="s">
        <v>306</v>
      </c>
      <c r="E370" s="326" t="s">
        <v>307</v>
      </c>
      <c r="F370" s="327">
        <f t="shared" si="228"/>
        <v>8000000000</v>
      </c>
      <c r="G370" s="328">
        <f t="shared" si="228"/>
        <v>0</v>
      </c>
      <c r="H370" s="328">
        <f t="shared" si="228"/>
        <v>0</v>
      </c>
      <c r="I370" s="328">
        <f>+G370+H370</f>
        <v>0</v>
      </c>
      <c r="J370" s="328">
        <f t="shared" si="229"/>
        <v>0</v>
      </c>
      <c r="K370" s="328">
        <f t="shared" si="229"/>
        <v>0</v>
      </c>
      <c r="L370" s="328">
        <f>+J370+K370</f>
        <v>0</v>
      </c>
      <c r="M370" s="328">
        <f t="shared" ref="M370:M373" si="230">+I370+L370</f>
        <v>0</v>
      </c>
      <c r="N370" s="327">
        <f t="shared" ref="N370:N373" si="231">+F370-M370</f>
        <v>8000000000</v>
      </c>
      <c r="P370" s="330"/>
      <c r="R370" s="331"/>
      <c r="S370" s="332"/>
      <c r="T370" s="332"/>
      <c r="U370" s="333"/>
    </row>
    <row r="371" spans="1:21" s="381" customFormat="1" ht="18" customHeight="1" x14ac:dyDescent="0.25">
      <c r="A371" s="384"/>
      <c r="B371" s="335"/>
      <c r="C371" s="335"/>
      <c r="D371" s="335" t="s">
        <v>308</v>
      </c>
      <c r="E371" s="335" t="s">
        <v>307</v>
      </c>
      <c r="F371" s="337">
        <f t="shared" si="228"/>
        <v>8000000000</v>
      </c>
      <c r="G371" s="338">
        <f t="shared" si="228"/>
        <v>0</v>
      </c>
      <c r="H371" s="338">
        <f t="shared" si="228"/>
        <v>0</v>
      </c>
      <c r="I371" s="338">
        <f>+G371+H371</f>
        <v>0</v>
      </c>
      <c r="J371" s="338">
        <f t="shared" si="229"/>
        <v>0</v>
      </c>
      <c r="K371" s="338">
        <f t="shared" si="229"/>
        <v>0</v>
      </c>
      <c r="L371" s="338">
        <f>+J371+K371</f>
        <v>0</v>
      </c>
      <c r="M371" s="338">
        <f t="shared" si="230"/>
        <v>0</v>
      </c>
      <c r="N371" s="405">
        <f t="shared" si="231"/>
        <v>8000000000</v>
      </c>
      <c r="P371" s="340"/>
      <c r="S371" s="412"/>
      <c r="T371" s="412"/>
      <c r="U371" s="382"/>
    </row>
    <row r="372" spans="1:21" s="339" customFormat="1" ht="18" customHeight="1" x14ac:dyDescent="0.25">
      <c r="A372" s="334"/>
      <c r="B372" s="335"/>
      <c r="C372" s="335"/>
      <c r="D372" s="335" t="s">
        <v>309</v>
      </c>
      <c r="E372" s="336" t="s">
        <v>307</v>
      </c>
      <c r="F372" s="337">
        <f t="shared" si="228"/>
        <v>8000000000</v>
      </c>
      <c r="G372" s="338">
        <f t="shared" si="228"/>
        <v>0</v>
      </c>
      <c r="H372" s="338">
        <f t="shared" si="228"/>
        <v>0</v>
      </c>
      <c r="I372" s="338">
        <f>+G372+H372</f>
        <v>0</v>
      </c>
      <c r="J372" s="338">
        <f t="shared" si="229"/>
        <v>0</v>
      </c>
      <c r="K372" s="338">
        <f t="shared" si="229"/>
        <v>0</v>
      </c>
      <c r="L372" s="338">
        <f>+J372+K372</f>
        <v>0</v>
      </c>
      <c r="M372" s="338">
        <f t="shared" si="230"/>
        <v>0</v>
      </c>
      <c r="N372" s="337">
        <f t="shared" si="231"/>
        <v>8000000000</v>
      </c>
      <c r="P372" s="340"/>
      <c r="S372" s="341"/>
      <c r="T372" s="341"/>
      <c r="U372" s="342"/>
    </row>
    <row r="373" spans="1:21" s="339" customFormat="1" ht="17.25" customHeight="1" x14ac:dyDescent="0.25">
      <c r="A373" s="334"/>
      <c r="B373" s="335"/>
      <c r="C373" s="335"/>
      <c r="D373" s="335" t="s">
        <v>310</v>
      </c>
      <c r="E373" s="391" t="s">
        <v>307</v>
      </c>
      <c r="F373" s="337">
        <f>F374</f>
        <v>8000000000</v>
      </c>
      <c r="G373" s="344">
        <f>+G374</f>
        <v>0</v>
      </c>
      <c r="H373" s="344">
        <f>+H374</f>
        <v>0</v>
      </c>
      <c r="I373" s="338">
        <f>+G373+H373</f>
        <v>0</v>
      </c>
      <c r="J373" s="344">
        <f t="shared" si="229"/>
        <v>0</v>
      </c>
      <c r="K373" s="344">
        <f t="shared" si="229"/>
        <v>0</v>
      </c>
      <c r="L373" s="338">
        <f>+J373+K373</f>
        <v>0</v>
      </c>
      <c r="M373" s="344">
        <f t="shared" si="230"/>
        <v>0</v>
      </c>
      <c r="N373" s="337">
        <f t="shared" si="231"/>
        <v>8000000000</v>
      </c>
      <c r="P373" s="340"/>
      <c r="S373" s="345"/>
      <c r="T373" s="345"/>
      <c r="U373" s="342"/>
    </row>
    <row r="374" spans="1:21" s="153" customFormat="1" ht="20.25" customHeight="1" x14ac:dyDescent="0.25">
      <c r="A374" s="353"/>
      <c r="B374" s="355"/>
      <c r="C374" s="355"/>
      <c r="D374" s="355" t="s">
        <v>311</v>
      </c>
      <c r="E374" s="402" t="s">
        <v>307</v>
      </c>
      <c r="F374" s="356">
        <v>8000000000</v>
      </c>
      <c r="G374" s="406"/>
      <c r="H374" s="406"/>
      <c r="I374" s="406">
        <f t="shared" ref="I374:I383" si="232">+G374+H374</f>
        <v>0</v>
      </c>
      <c r="J374" s="357"/>
      <c r="K374" s="406"/>
      <c r="L374" s="406">
        <f>J374+K374</f>
        <v>0</v>
      </c>
      <c r="M374" s="406">
        <f>+I374+L374</f>
        <v>0</v>
      </c>
      <c r="N374" s="405">
        <f>+F374-M374</f>
        <v>8000000000</v>
      </c>
      <c r="P374" s="200"/>
      <c r="S374" s="410"/>
      <c r="T374" s="410"/>
      <c r="U374" s="254"/>
    </row>
    <row r="375" spans="1:21" s="319" customFormat="1" ht="18" customHeight="1" x14ac:dyDescent="0.25">
      <c r="A375" s="276">
        <v>23</v>
      </c>
      <c r="B375" s="305"/>
      <c r="C375" s="305" t="s">
        <v>320</v>
      </c>
      <c r="D375" s="363"/>
      <c r="E375" s="364" t="s">
        <v>312</v>
      </c>
      <c r="F375" s="307">
        <f t="shared" ref="F375:H376" si="233">+F376</f>
        <v>19577417200</v>
      </c>
      <c r="G375" s="308">
        <f t="shared" si="233"/>
        <v>0</v>
      </c>
      <c r="H375" s="308">
        <f t="shared" si="233"/>
        <v>0</v>
      </c>
      <c r="I375" s="308">
        <f t="shared" si="232"/>
        <v>0</v>
      </c>
      <c r="J375" s="308">
        <f>+J376</f>
        <v>0</v>
      </c>
      <c r="K375" s="308">
        <f>+K376</f>
        <v>0</v>
      </c>
      <c r="L375" s="308">
        <f>+J375+K375</f>
        <v>0</v>
      </c>
      <c r="M375" s="308">
        <f>+I375+L375</f>
        <v>0</v>
      </c>
      <c r="N375" s="307">
        <f>+F375-M375</f>
        <v>19577417200</v>
      </c>
      <c r="P375" s="320"/>
      <c r="R375" s="321"/>
      <c r="S375" s="411"/>
      <c r="T375" s="411"/>
      <c r="U375" s="350"/>
    </row>
    <row r="376" spans="1:21" s="329" customFormat="1" ht="18" customHeight="1" x14ac:dyDescent="0.25">
      <c r="A376" s="323"/>
      <c r="B376" s="324"/>
      <c r="C376" s="324"/>
      <c r="D376" s="325" t="s">
        <v>287</v>
      </c>
      <c r="E376" s="326" t="s">
        <v>288</v>
      </c>
      <c r="F376" s="327">
        <f t="shared" si="233"/>
        <v>19577417200</v>
      </c>
      <c r="G376" s="328">
        <f t="shared" si="233"/>
        <v>0</v>
      </c>
      <c r="H376" s="328">
        <f t="shared" si="233"/>
        <v>0</v>
      </c>
      <c r="I376" s="328">
        <f t="shared" si="232"/>
        <v>0</v>
      </c>
      <c r="J376" s="328">
        <f>+J377</f>
        <v>0</v>
      </c>
      <c r="K376" s="328">
        <f>+K377</f>
        <v>0</v>
      </c>
      <c r="L376" s="328">
        <f>+J376+K376</f>
        <v>0</v>
      </c>
      <c r="M376" s="328">
        <f t="shared" ref="M376:M379" si="234">+I376+L376</f>
        <v>0</v>
      </c>
      <c r="N376" s="327">
        <f t="shared" ref="N376:N379" si="235">+F376-M376</f>
        <v>19577417200</v>
      </c>
      <c r="P376" s="330"/>
      <c r="R376" s="331"/>
      <c r="S376" s="332"/>
      <c r="T376" s="332"/>
      <c r="U376" s="333"/>
    </row>
    <row r="377" spans="1:21" s="381" customFormat="1" ht="18" customHeight="1" x14ac:dyDescent="0.25">
      <c r="A377" s="384"/>
      <c r="B377" s="335"/>
      <c r="C377" s="335"/>
      <c r="D377" s="335" t="s">
        <v>313</v>
      </c>
      <c r="E377" s="335" t="s">
        <v>415</v>
      </c>
      <c r="F377" s="337">
        <f>+F378+F381</f>
        <v>19577417200</v>
      </c>
      <c r="G377" s="338">
        <f>+G378+G381</f>
        <v>0</v>
      </c>
      <c r="H377" s="338">
        <f>+H378+H381</f>
        <v>0</v>
      </c>
      <c r="I377" s="338">
        <f t="shared" si="232"/>
        <v>0</v>
      </c>
      <c r="J377" s="338">
        <f>+J378+J381</f>
        <v>0</v>
      </c>
      <c r="K377" s="338">
        <f>+K378+K381</f>
        <v>0</v>
      </c>
      <c r="L377" s="338">
        <f>+J377+K377</f>
        <v>0</v>
      </c>
      <c r="M377" s="338">
        <f t="shared" si="234"/>
        <v>0</v>
      </c>
      <c r="N377" s="405">
        <f t="shared" si="235"/>
        <v>19577417200</v>
      </c>
      <c r="P377" s="340"/>
      <c r="S377" s="412"/>
      <c r="T377" s="412"/>
      <c r="U377" s="382"/>
    </row>
    <row r="378" spans="1:21" s="339" customFormat="1" ht="31.5" customHeight="1" x14ac:dyDescent="0.25">
      <c r="A378" s="334"/>
      <c r="B378" s="335"/>
      <c r="C378" s="335"/>
      <c r="D378" s="335" t="s">
        <v>314</v>
      </c>
      <c r="E378" s="413" t="s">
        <v>416</v>
      </c>
      <c r="F378" s="337">
        <f>+F379</f>
        <v>18835000000</v>
      </c>
      <c r="G378" s="338">
        <f>+G379</f>
        <v>0</v>
      </c>
      <c r="H378" s="338">
        <f>+H379</f>
        <v>0</v>
      </c>
      <c r="I378" s="338">
        <f t="shared" si="232"/>
        <v>0</v>
      </c>
      <c r="J378" s="338">
        <f>+J379</f>
        <v>0</v>
      </c>
      <c r="K378" s="338">
        <f>+K379</f>
        <v>0</v>
      </c>
      <c r="L378" s="338">
        <f>+J378+K378</f>
        <v>0</v>
      </c>
      <c r="M378" s="338">
        <f t="shared" si="234"/>
        <v>0</v>
      </c>
      <c r="N378" s="337">
        <f t="shared" si="235"/>
        <v>18835000000</v>
      </c>
      <c r="P378" s="340"/>
      <c r="S378" s="341"/>
      <c r="T378" s="341"/>
      <c r="U378" s="342"/>
    </row>
    <row r="379" spans="1:21" s="339" customFormat="1" ht="17.25" customHeight="1" x14ac:dyDescent="0.25">
      <c r="A379" s="334"/>
      <c r="B379" s="335"/>
      <c r="C379" s="335"/>
      <c r="D379" s="335" t="s">
        <v>315</v>
      </c>
      <c r="E379" s="391" t="s">
        <v>417</v>
      </c>
      <c r="F379" s="337">
        <f>F380</f>
        <v>18835000000</v>
      </c>
      <c r="G379" s="344">
        <f>+G380</f>
        <v>0</v>
      </c>
      <c r="H379" s="344">
        <f>+H380</f>
        <v>0</v>
      </c>
      <c r="I379" s="338">
        <f t="shared" si="232"/>
        <v>0</v>
      </c>
      <c r="J379" s="344">
        <f>+J380</f>
        <v>0</v>
      </c>
      <c r="K379" s="344">
        <f>+K380</f>
        <v>0</v>
      </c>
      <c r="L379" s="338">
        <f>+J379+K379</f>
        <v>0</v>
      </c>
      <c r="M379" s="344">
        <f t="shared" si="234"/>
        <v>0</v>
      </c>
      <c r="N379" s="337">
        <f t="shared" si="235"/>
        <v>18835000000</v>
      </c>
      <c r="P379" s="340"/>
      <c r="S379" s="345"/>
      <c r="T379" s="345"/>
      <c r="U379" s="342"/>
    </row>
    <row r="380" spans="1:21" s="339" customFormat="1" ht="20.25" customHeight="1" x14ac:dyDescent="0.25">
      <c r="A380" s="334"/>
      <c r="B380" s="335"/>
      <c r="C380" s="335"/>
      <c r="D380" s="335" t="s">
        <v>316</v>
      </c>
      <c r="E380" s="391" t="s">
        <v>417</v>
      </c>
      <c r="F380" s="337">
        <v>18835000000</v>
      </c>
      <c r="G380" s="338"/>
      <c r="H380" s="338"/>
      <c r="I380" s="338">
        <f t="shared" si="232"/>
        <v>0</v>
      </c>
      <c r="J380" s="344"/>
      <c r="K380" s="338"/>
      <c r="L380" s="338">
        <f>J380+K380</f>
        <v>0</v>
      </c>
      <c r="M380" s="338">
        <f>+I380+L380</f>
        <v>0</v>
      </c>
      <c r="N380" s="405">
        <f>+F380-M380</f>
        <v>18835000000</v>
      </c>
      <c r="P380" s="340"/>
      <c r="S380" s="345"/>
      <c r="T380" s="345"/>
      <c r="U380" s="342"/>
    </row>
    <row r="381" spans="1:21" s="339" customFormat="1" ht="20.25" customHeight="1" x14ac:dyDescent="0.25">
      <c r="A381" s="334"/>
      <c r="B381" s="335"/>
      <c r="C381" s="335"/>
      <c r="D381" s="335" t="s">
        <v>317</v>
      </c>
      <c r="E381" s="413" t="s">
        <v>418</v>
      </c>
      <c r="F381" s="337">
        <f>+F382</f>
        <v>742417200</v>
      </c>
      <c r="G381" s="338">
        <f>+G382</f>
        <v>0</v>
      </c>
      <c r="H381" s="338">
        <f>+H382</f>
        <v>0</v>
      </c>
      <c r="I381" s="338">
        <f t="shared" si="232"/>
        <v>0</v>
      </c>
      <c r="J381" s="338">
        <f>+J382</f>
        <v>0</v>
      </c>
      <c r="K381" s="338">
        <f>+K382</f>
        <v>0</v>
      </c>
      <c r="L381" s="338">
        <f>+J381+K381</f>
        <v>0</v>
      </c>
      <c r="M381" s="338">
        <f t="shared" ref="M381:M382" si="236">+I381+L381</f>
        <v>0</v>
      </c>
      <c r="N381" s="337">
        <f t="shared" ref="N381:N382" si="237">+F381-M381</f>
        <v>742417200</v>
      </c>
      <c r="P381" s="340"/>
      <c r="S381" s="341"/>
      <c r="T381" s="341"/>
      <c r="U381" s="342"/>
    </row>
    <row r="382" spans="1:21" s="339" customFormat="1" ht="17.25" customHeight="1" x14ac:dyDescent="0.25">
      <c r="A382" s="334"/>
      <c r="B382" s="335"/>
      <c r="C382" s="335"/>
      <c r="D382" s="335" t="s">
        <v>318</v>
      </c>
      <c r="E382" s="391" t="s">
        <v>418</v>
      </c>
      <c r="F382" s="337">
        <f>F383</f>
        <v>742417200</v>
      </c>
      <c r="G382" s="344">
        <f>+G383</f>
        <v>0</v>
      </c>
      <c r="H382" s="344">
        <f>+H383</f>
        <v>0</v>
      </c>
      <c r="I382" s="338">
        <f t="shared" si="232"/>
        <v>0</v>
      </c>
      <c r="J382" s="344">
        <f>+J383</f>
        <v>0</v>
      </c>
      <c r="K382" s="344">
        <f>+K383</f>
        <v>0</v>
      </c>
      <c r="L382" s="338">
        <f>+J382+K382</f>
        <v>0</v>
      </c>
      <c r="M382" s="344">
        <f t="shared" si="236"/>
        <v>0</v>
      </c>
      <c r="N382" s="337">
        <f t="shared" si="237"/>
        <v>742417200</v>
      </c>
      <c r="P382" s="340"/>
      <c r="S382" s="345"/>
      <c r="T382" s="345"/>
      <c r="U382" s="342"/>
    </row>
    <row r="383" spans="1:21" ht="20.25" customHeight="1" x14ac:dyDescent="0.25">
      <c r="A383" s="301"/>
      <c r="B383" s="414"/>
      <c r="C383" s="414"/>
      <c r="D383" s="414" t="s">
        <v>319</v>
      </c>
      <c r="E383" s="415" t="s">
        <v>418</v>
      </c>
      <c r="F383" s="416">
        <v>742417200</v>
      </c>
      <c r="G383" s="417"/>
      <c r="H383" s="417"/>
      <c r="I383" s="417">
        <f t="shared" si="232"/>
        <v>0</v>
      </c>
      <c r="J383" s="35"/>
      <c r="K383" s="417"/>
      <c r="L383" s="417">
        <f>J383+K383</f>
        <v>0</v>
      </c>
      <c r="M383" s="417">
        <f>+I383+L383</f>
        <v>0</v>
      </c>
      <c r="N383" s="418">
        <f>+F383-M383</f>
        <v>742417200</v>
      </c>
      <c r="S383" s="419"/>
      <c r="T383" s="419"/>
      <c r="U383" s="420"/>
    </row>
    <row r="384" spans="1:21" ht="18" customHeight="1" x14ac:dyDescent="0.25">
      <c r="A384" s="302"/>
      <c r="B384" s="421"/>
      <c r="C384" s="421"/>
      <c r="D384" s="421"/>
      <c r="E384" s="421"/>
      <c r="F384" s="422"/>
      <c r="G384" s="423"/>
      <c r="H384" s="423"/>
      <c r="I384" s="423"/>
      <c r="J384" s="423"/>
      <c r="K384" s="423"/>
      <c r="L384" s="423"/>
      <c r="M384" s="423"/>
      <c r="N384" s="422"/>
      <c r="U384" s="420"/>
    </row>
    <row r="385" spans="1:21" ht="18" customHeight="1" x14ac:dyDescent="0.25">
      <c r="A385" s="301"/>
      <c r="B385" s="414"/>
      <c r="C385" s="414"/>
      <c r="D385" s="414"/>
      <c r="E385" s="414" t="s">
        <v>41</v>
      </c>
      <c r="F385" s="35"/>
      <c r="G385" s="35"/>
      <c r="H385" s="35"/>
      <c r="I385" s="35"/>
      <c r="J385" s="35"/>
      <c r="K385" s="35"/>
      <c r="L385" s="35"/>
      <c r="M385" s="35"/>
      <c r="N385" s="416"/>
      <c r="U385" s="420"/>
    </row>
    <row r="386" spans="1:21" ht="18" customHeight="1" x14ac:dyDescent="0.25">
      <c r="A386" s="301"/>
      <c r="B386" s="414"/>
      <c r="C386" s="414"/>
      <c r="D386" s="414"/>
      <c r="E386" s="414" t="s">
        <v>21</v>
      </c>
      <c r="F386" s="35"/>
      <c r="G386" s="35">
        <f>+G17</f>
        <v>0</v>
      </c>
      <c r="H386" s="35">
        <f>+H17</f>
        <v>9805797967</v>
      </c>
      <c r="I386" s="35">
        <f>+I17</f>
        <v>9805797967</v>
      </c>
      <c r="J386" s="35">
        <f>+J17</f>
        <v>0</v>
      </c>
      <c r="K386" s="35">
        <f>+K17</f>
        <v>114284700</v>
      </c>
      <c r="L386" s="35">
        <f t="shared" ref="L386:L391" si="238">+J386+K386</f>
        <v>114284700</v>
      </c>
      <c r="M386" s="35">
        <f>+I386+L386</f>
        <v>9920082667</v>
      </c>
      <c r="N386" s="416"/>
      <c r="U386" s="420"/>
    </row>
    <row r="387" spans="1:21" ht="18" customHeight="1" x14ac:dyDescent="0.25">
      <c r="A387" s="301"/>
      <c r="B387" s="414"/>
      <c r="C387" s="414"/>
      <c r="D387" s="414"/>
      <c r="E387" s="414" t="s">
        <v>42</v>
      </c>
      <c r="F387" s="35"/>
      <c r="G387" s="35">
        <f>+SUM(G388:G401)</f>
        <v>0</v>
      </c>
      <c r="H387" s="35">
        <f>+SUM(H388:H401)</f>
        <v>69770614</v>
      </c>
      <c r="I387" s="35">
        <f>+G387+H387</f>
        <v>69770614</v>
      </c>
      <c r="J387" s="35">
        <f>+SUM(J388:J401)</f>
        <v>0</v>
      </c>
      <c r="K387" s="35">
        <f>+SUM(K388:K401)</f>
        <v>2165454</v>
      </c>
      <c r="L387" s="35">
        <f>+J387+K387</f>
        <v>2165454</v>
      </c>
      <c r="M387" s="424">
        <f>+I387+L387</f>
        <v>71936068</v>
      </c>
      <c r="N387" s="416"/>
      <c r="P387" s="294">
        <f>+M386+M387</f>
        <v>9992018735</v>
      </c>
      <c r="U387" s="420"/>
    </row>
    <row r="388" spans="1:21" ht="18" customHeight="1" x14ac:dyDescent="0.25">
      <c r="A388" s="301"/>
      <c r="B388" s="414"/>
      <c r="C388" s="414"/>
      <c r="D388" s="414"/>
      <c r="E388" s="425" t="s">
        <v>24</v>
      </c>
      <c r="F388" s="35"/>
      <c r="G388" s="35"/>
      <c r="H388" s="35"/>
      <c r="I388" s="35">
        <f>+G388+H388</f>
        <v>0</v>
      </c>
      <c r="J388" s="35"/>
      <c r="K388" s="35">
        <v>1804545</v>
      </c>
      <c r="L388" s="35">
        <f t="shared" si="238"/>
        <v>1804545</v>
      </c>
      <c r="M388" s="35">
        <f t="shared" ref="M388:M391" si="239">+I388+L388</f>
        <v>1804545</v>
      </c>
      <c r="N388" s="416"/>
      <c r="U388" s="420"/>
    </row>
    <row r="389" spans="1:21" ht="18" customHeight="1" x14ac:dyDescent="0.25">
      <c r="A389" s="301"/>
      <c r="B389" s="414"/>
      <c r="C389" s="414"/>
      <c r="D389" s="414"/>
      <c r="E389" s="425" t="s">
        <v>22</v>
      </c>
      <c r="F389" s="35"/>
      <c r="G389" s="35"/>
      <c r="H389" s="35">
        <f>22526970+277647</f>
        <v>22804617</v>
      </c>
      <c r="I389" s="35">
        <f>+G389+H389</f>
        <v>22804617</v>
      </c>
      <c r="J389" s="35"/>
      <c r="K389" s="35"/>
      <c r="L389" s="35">
        <f t="shared" si="238"/>
        <v>0</v>
      </c>
      <c r="M389" s="35">
        <f t="shared" si="239"/>
        <v>22804617</v>
      </c>
      <c r="N389" s="416"/>
      <c r="U389" s="420"/>
    </row>
    <row r="390" spans="1:21" ht="18" customHeight="1" x14ac:dyDescent="0.25">
      <c r="A390" s="299"/>
      <c r="B390" s="426"/>
      <c r="C390" s="426"/>
      <c r="D390" s="426"/>
      <c r="E390" s="427" t="s">
        <v>25</v>
      </c>
      <c r="F390" s="236"/>
      <c r="G390" s="236"/>
      <c r="H390" s="236"/>
      <c r="I390" s="236">
        <f>+G390+H390</f>
        <v>0</v>
      </c>
      <c r="J390" s="236"/>
      <c r="K390" s="236"/>
      <c r="L390" s="236">
        <f t="shared" si="238"/>
        <v>0</v>
      </c>
      <c r="M390" s="236">
        <f t="shared" si="239"/>
        <v>0</v>
      </c>
      <c r="N390" s="428"/>
      <c r="Q390" s="298"/>
      <c r="U390" s="420"/>
    </row>
    <row r="391" spans="1:21" ht="18" customHeight="1" x14ac:dyDescent="0.25">
      <c r="A391" s="301"/>
      <c r="B391" s="414"/>
      <c r="C391" s="414"/>
      <c r="D391" s="414"/>
      <c r="E391" s="425" t="s">
        <v>26</v>
      </c>
      <c r="F391" s="35"/>
      <c r="G391" s="35"/>
      <c r="H391" s="35"/>
      <c r="I391" s="35">
        <f>+G391+H391</f>
        <v>0</v>
      </c>
      <c r="J391" s="35"/>
      <c r="K391" s="35">
        <v>360909</v>
      </c>
      <c r="L391" s="35">
        <f t="shared" si="238"/>
        <v>360909</v>
      </c>
      <c r="M391" s="35">
        <f t="shared" si="239"/>
        <v>360909</v>
      </c>
      <c r="N391" s="416"/>
      <c r="U391" s="420"/>
    </row>
    <row r="392" spans="1:21" ht="18" customHeight="1" x14ac:dyDescent="0.25">
      <c r="A392" s="301"/>
      <c r="B392" s="414"/>
      <c r="C392" s="414"/>
      <c r="D392" s="414"/>
      <c r="E392" s="425" t="s">
        <v>40</v>
      </c>
      <c r="F392" s="35"/>
      <c r="G392" s="35"/>
      <c r="H392" s="35"/>
      <c r="I392" s="35"/>
      <c r="J392" s="35"/>
      <c r="K392" s="35"/>
      <c r="L392" s="35"/>
      <c r="M392" s="35"/>
      <c r="N392" s="416"/>
      <c r="U392" s="420"/>
    </row>
    <row r="393" spans="1:21" ht="18" customHeight="1" x14ac:dyDescent="0.25">
      <c r="A393" s="301"/>
      <c r="B393" s="414"/>
      <c r="C393" s="414"/>
      <c r="D393" s="414"/>
      <c r="E393" s="425" t="s">
        <v>321</v>
      </c>
      <c r="F393" s="35"/>
      <c r="G393" s="35"/>
      <c r="H393" s="35"/>
      <c r="I393" s="35">
        <f>+G393+H393</f>
        <v>0</v>
      </c>
      <c r="J393" s="35"/>
      <c r="K393" s="35"/>
      <c r="L393" s="35">
        <f>+J393+K393</f>
        <v>0</v>
      </c>
      <c r="M393" s="35">
        <f>+I393+L393</f>
        <v>0</v>
      </c>
      <c r="N393" s="416"/>
      <c r="U393" s="420"/>
    </row>
    <row r="394" spans="1:21" ht="18" customHeight="1" x14ac:dyDescent="0.25">
      <c r="A394" s="301"/>
      <c r="B394" s="414"/>
      <c r="C394" s="414"/>
      <c r="D394" s="414"/>
      <c r="E394" s="425" t="s">
        <v>322</v>
      </c>
      <c r="F394" s="35"/>
      <c r="G394" s="35"/>
      <c r="H394" s="35">
        <f>1737798+2928768</f>
        <v>4666566</v>
      </c>
      <c r="I394" s="35">
        <f t="shared" ref="I394:I400" si="240">+G394+H394</f>
        <v>4666566</v>
      </c>
      <c r="J394" s="35"/>
      <c r="K394" s="35"/>
      <c r="L394" s="35">
        <f>+J394+K394</f>
        <v>0</v>
      </c>
      <c r="M394" s="35">
        <f t="shared" ref="M394:M400" si="241">+I394+L394</f>
        <v>4666566</v>
      </c>
      <c r="N394" s="416"/>
      <c r="U394" s="420"/>
    </row>
    <row r="395" spans="1:21" ht="18" customHeight="1" x14ac:dyDescent="0.25">
      <c r="A395" s="301"/>
      <c r="B395" s="414"/>
      <c r="C395" s="414"/>
      <c r="D395" s="414"/>
      <c r="E395" s="425" t="s">
        <v>323</v>
      </c>
      <c r="F395" s="35"/>
      <c r="G395" s="35"/>
      <c r="H395" s="35">
        <f>6951187+11715091</f>
        <v>18666278</v>
      </c>
      <c r="I395" s="35">
        <f t="shared" si="240"/>
        <v>18666278</v>
      </c>
      <c r="J395" s="35"/>
      <c r="K395" s="35"/>
      <c r="L395" s="35"/>
      <c r="M395" s="35">
        <f t="shared" si="241"/>
        <v>18666278</v>
      </c>
      <c r="N395" s="416"/>
      <c r="U395" s="420"/>
    </row>
    <row r="396" spans="1:21" ht="18" customHeight="1" x14ac:dyDescent="0.25">
      <c r="A396" s="301"/>
      <c r="B396" s="414"/>
      <c r="C396" s="414"/>
      <c r="D396" s="414"/>
      <c r="E396" s="425" t="s">
        <v>324</v>
      </c>
      <c r="F396" s="35"/>
      <c r="G396" s="35"/>
      <c r="H396" s="35">
        <v>580644</v>
      </c>
      <c r="I396" s="35">
        <f t="shared" si="240"/>
        <v>580644</v>
      </c>
      <c r="J396" s="35"/>
      <c r="K396" s="35"/>
      <c r="L396" s="35"/>
      <c r="M396" s="35">
        <f t="shared" si="241"/>
        <v>580644</v>
      </c>
      <c r="N396" s="416"/>
      <c r="U396" s="420"/>
    </row>
    <row r="397" spans="1:21" ht="18" customHeight="1" x14ac:dyDescent="0.25">
      <c r="A397" s="301"/>
      <c r="B397" s="414"/>
      <c r="C397" s="414"/>
      <c r="D397" s="414"/>
      <c r="E397" s="425" t="s">
        <v>325</v>
      </c>
      <c r="F397" s="35"/>
      <c r="G397" s="35"/>
      <c r="H397" s="35">
        <v>1741930</v>
      </c>
      <c r="I397" s="35">
        <f t="shared" si="240"/>
        <v>1741930</v>
      </c>
      <c r="J397" s="35"/>
      <c r="K397" s="35"/>
      <c r="L397" s="35"/>
      <c r="M397" s="35">
        <f t="shared" si="241"/>
        <v>1741930</v>
      </c>
      <c r="N397" s="416"/>
      <c r="U397" s="420"/>
    </row>
    <row r="398" spans="1:21" ht="18" customHeight="1" x14ac:dyDescent="0.25">
      <c r="A398" s="301"/>
      <c r="B398" s="414"/>
      <c r="C398" s="414"/>
      <c r="D398" s="414"/>
      <c r="E398" s="425" t="s">
        <v>326</v>
      </c>
      <c r="F398" s="35"/>
      <c r="G398" s="35"/>
      <c r="H398" s="35">
        <v>21310579</v>
      </c>
      <c r="I398" s="35">
        <f t="shared" si="240"/>
        <v>21310579</v>
      </c>
      <c r="J398" s="35"/>
      <c r="K398" s="35"/>
      <c r="L398" s="35"/>
      <c r="M398" s="35">
        <f t="shared" si="241"/>
        <v>21310579</v>
      </c>
      <c r="N398" s="416"/>
      <c r="U398" s="420"/>
    </row>
    <row r="399" spans="1:21" ht="18" customHeight="1" x14ac:dyDescent="0.25">
      <c r="A399" s="299"/>
      <c r="B399" s="426"/>
      <c r="C399" s="426"/>
      <c r="D399" s="426"/>
      <c r="E399" s="427" t="s">
        <v>327</v>
      </c>
      <c r="F399" s="236"/>
      <c r="G399" s="236"/>
      <c r="H399" s="236"/>
      <c r="I399" s="236"/>
      <c r="J399" s="236"/>
      <c r="K399" s="236"/>
      <c r="L399" s="236">
        <f>+J399+K399</f>
        <v>0</v>
      </c>
      <c r="M399" s="236">
        <f t="shared" si="241"/>
        <v>0</v>
      </c>
      <c r="N399" s="428"/>
      <c r="U399" s="420"/>
    </row>
    <row r="400" spans="1:21" ht="18" customHeight="1" x14ac:dyDescent="0.25">
      <c r="A400" s="301"/>
      <c r="B400" s="414"/>
      <c r="C400" s="414"/>
      <c r="D400" s="414"/>
      <c r="E400" s="425" t="s">
        <v>426</v>
      </c>
      <c r="F400" s="35"/>
      <c r="G400" s="35"/>
      <c r="H400" s="35"/>
      <c r="I400" s="35">
        <f t="shared" si="240"/>
        <v>0</v>
      </c>
      <c r="J400" s="35"/>
      <c r="K400" s="35"/>
      <c r="L400" s="35"/>
      <c r="M400" s="35">
        <f t="shared" si="241"/>
        <v>0</v>
      </c>
      <c r="N400" s="416"/>
      <c r="U400" s="420"/>
    </row>
    <row r="401" spans="1:21" ht="18" customHeight="1" x14ac:dyDescent="0.25">
      <c r="A401" s="301"/>
      <c r="B401" s="414"/>
      <c r="C401" s="414"/>
      <c r="D401" s="414"/>
      <c r="E401" s="414" t="s">
        <v>23</v>
      </c>
      <c r="F401" s="35"/>
      <c r="G401" s="35"/>
      <c r="H401" s="35"/>
      <c r="I401" s="35"/>
      <c r="J401" s="35"/>
      <c r="K401" s="35"/>
      <c r="L401" s="35"/>
      <c r="M401" s="35"/>
      <c r="N401" s="416"/>
      <c r="U401" s="420"/>
    </row>
    <row r="402" spans="1:21" ht="18" customHeight="1" x14ac:dyDescent="0.25">
      <c r="A402" s="301"/>
      <c r="B402" s="414"/>
      <c r="C402" s="414"/>
      <c r="D402" s="414"/>
      <c r="E402" s="429" t="s">
        <v>27</v>
      </c>
      <c r="F402" s="423"/>
      <c r="G402" s="430"/>
      <c r="H402" s="430">
        <v>0</v>
      </c>
      <c r="I402" s="430">
        <v>0</v>
      </c>
      <c r="J402" s="430">
        <v>0</v>
      </c>
      <c r="K402" s="430">
        <v>0</v>
      </c>
      <c r="L402" s="430">
        <v>0</v>
      </c>
      <c r="M402" s="430">
        <v>0</v>
      </c>
      <c r="N402" s="422"/>
      <c r="Q402" s="298"/>
      <c r="U402" s="420"/>
    </row>
    <row r="403" spans="1:21" ht="7.5" customHeight="1" x14ac:dyDescent="0.25">
      <c r="A403" s="301"/>
      <c r="B403" s="414"/>
      <c r="C403" s="414"/>
      <c r="D403" s="414"/>
      <c r="E403" s="414"/>
      <c r="F403" s="35"/>
      <c r="G403" s="35"/>
      <c r="H403" s="35"/>
      <c r="I403" s="35"/>
      <c r="J403" s="35"/>
      <c r="K403" s="35"/>
      <c r="L403" s="35"/>
      <c r="M403" s="35"/>
      <c r="N403" s="416"/>
      <c r="U403" s="420"/>
    </row>
    <row r="404" spans="1:21" ht="15" customHeight="1" x14ac:dyDescent="0.25">
      <c r="A404" s="301"/>
      <c r="B404" s="414"/>
      <c r="C404" s="414"/>
      <c r="D404" s="414"/>
      <c r="E404" s="414" t="s">
        <v>328</v>
      </c>
      <c r="F404" s="35"/>
      <c r="G404" s="35"/>
      <c r="H404" s="35"/>
      <c r="I404" s="35"/>
      <c r="J404" s="35"/>
      <c r="K404" s="35"/>
      <c r="L404" s="35"/>
      <c r="M404" s="35"/>
      <c r="N404" s="416"/>
      <c r="U404" s="420"/>
    </row>
    <row r="405" spans="1:21" ht="15" customHeight="1" x14ac:dyDescent="0.25">
      <c r="A405" s="301"/>
      <c r="B405" s="414"/>
      <c r="C405" s="414"/>
      <c r="D405" s="414"/>
      <c r="E405" s="414" t="s">
        <v>21</v>
      </c>
      <c r="F405" s="35"/>
      <c r="G405" s="35">
        <f>+G386</f>
        <v>0</v>
      </c>
      <c r="H405" s="424">
        <f>+H386</f>
        <v>9805797967</v>
      </c>
      <c r="I405" s="35">
        <f t="shared" ref="I405:L405" si="242">+I386</f>
        <v>9805797967</v>
      </c>
      <c r="J405" s="35">
        <f t="shared" si="242"/>
        <v>0</v>
      </c>
      <c r="K405" s="35">
        <f t="shared" si="242"/>
        <v>114284700</v>
      </c>
      <c r="L405" s="35">
        <f t="shared" si="242"/>
        <v>114284700</v>
      </c>
      <c r="M405" s="35">
        <f>+M386</f>
        <v>9920082667</v>
      </c>
      <c r="N405" s="416"/>
      <c r="O405" s="431"/>
      <c r="U405" s="420"/>
    </row>
    <row r="406" spans="1:21" ht="15" customHeight="1" x14ac:dyDescent="0.25">
      <c r="A406" s="301"/>
      <c r="B406" s="414"/>
      <c r="C406" s="414"/>
      <c r="D406" s="414"/>
      <c r="E406" s="414" t="s">
        <v>42</v>
      </c>
      <c r="F406" s="35"/>
      <c r="G406" s="35">
        <f>+SUM(G407:G420)</f>
        <v>0</v>
      </c>
      <c r="H406" s="35">
        <f>+SUM(H407:H420)</f>
        <v>69770614</v>
      </c>
      <c r="I406" s="35">
        <f>+G406+H406</f>
        <v>69770614</v>
      </c>
      <c r="J406" s="35">
        <f>+SUM(J407:J420)</f>
        <v>0</v>
      </c>
      <c r="K406" s="35">
        <f>+SUM(K407:K420)</f>
        <v>2165454</v>
      </c>
      <c r="L406" s="35">
        <f>+J406+K406</f>
        <v>2165454</v>
      </c>
      <c r="M406" s="424">
        <f>+I406+L406</f>
        <v>71936068</v>
      </c>
      <c r="N406" s="416"/>
      <c r="U406" s="420"/>
    </row>
    <row r="407" spans="1:21" ht="15" customHeight="1" x14ac:dyDescent="0.25">
      <c r="A407" s="301"/>
      <c r="B407" s="414"/>
      <c r="C407" s="414"/>
      <c r="D407" s="414"/>
      <c r="E407" s="425" t="s">
        <v>24</v>
      </c>
      <c r="F407" s="35"/>
      <c r="G407" s="35"/>
      <c r="H407" s="35"/>
      <c r="I407" s="35">
        <f>+G407+H407</f>
        <v>0</v>
      </c>
      <c r="J407" s="35"/>
      <c r="K407" s="35">
        <v>1804545</v>
      </c>
      <c r="L407" s="35">
        <f>+J407+K407</f>
        <v>1804545</v>
      </c>
      <c r="M407" s="35">
        <f>+I407+L407</f>
        <v>1804545</v>
      </c>
      <c r="N407" s="416"/>
      <c r="U407" s="420"/>
    </row>
    <row r="408" spans="1:21" ht="15" customHeight="1" x14ac:dyDescent="0.25">
      <c r="A408" s="301"/>
      <c r="B408" s="414"/>
      <c r="C408" s="414"/>
      <c r="D408" s="414"/>
      <c r="E408" s="425" t="s">
        <v>22</v>
      </c>
      <c r="F408" s="35"/>
      <c r="G408" s="35"/>
      <c r="H408" s="35">
        <f>22526970+277647</f>
        <v>22804617</v>
      </c>
      <c r="I408" s="35">
        <f>+G408+H408</f>
        <v>22804617</v>
      </c>
      <c r="J408" s="35"/>
      <c r="K408" s="35"/>
      <c r="L408" s="35">
        <f>+J408+K408</f>
        <v>0</v>
      </c>
      <c r="M408" s="35">
        <f>+I408+L408</f>
        <v>22804617</v>
      </c>
      <c r="N408" s="416"/>
      <c r="U408" s="420"/>
    </row>
    <row r="409" spans="1:21" ht="15" customHeight="1" x14ac:dyDescent="0.25">
      <c r="A409" s="301"/>
      <c r="B409" s="414"/>
      <c r="C409" s="414"/>
      <c r="D409" s="414"/>
      <c r="E409" s="425" t="s">
        <v>25</v>
      </c>
      <c r="F409" s="35"/>
      <c r="G409" s="35"/>
      <c r="H409" s="236"/>
      <c r="I409" s="35">
        <f>+G409+H409</f>
        <v>0</v>
      </c>
      <c r="J409" s="35"/>
      <c r="K409" s="236"/>
      <c r="L409" s="35">
        <f>+J409+K409</f>
        <v>0</v>
      </c>
      <c r="M409" s="35">
        <f>+I409+L409</f>
        <v>0</v>
      </c>
      <c r="N409" s="416"/>
      <c r="U409" s="420"/>
    </row>
    <row r="410" spans="1:21" ht="15" customHeight="1" x14ac:dyDescent="0.25">
      <c r="A410" s="301"/>
      <c r="B410" s="414"/>
      <c r="C410" s="414"/>
      <c r="D410" s="414"/>
      <c r="E410" s="425" t="s">
        <v>26</v>
      </c>
      <c r="F410" s="35"/>
      <c r="G410" s="35"/>
      <c r="H410" s="35"/>
      <c r="I410" s="35">
        <f>+G410+H410</f>
        <v>0</v>
      </c>
      <c r="J410" s="35"/>
      <c r="K410" s="35">
        <v>360909</v>
      </c>
      <c r="L410" s="35">
        <f>+J410+K410</f>
        <v>360909</v>
      </c>
      <c r="M410" s="35">
        <f>+I410+L410</f>
        <v>360909</v>
      </c>
      <c r="N410" s="416"/>
      <c r="U410" s="420"/>
    </row>
    <row r="411" spans="1:21" ht="15" customHeight="1" x14ac:dyDescent="0.25">
      <c r="A411" s="301"/>
      <c r="B411" s="414"/>
      <c r="C411" s="414"/>
      <c r="D411" s="414"/>
      <c r="E411" s="425" t="s">
        <v>40</v>
      </c>
      <c r="F411" s="35"/>
      <c r="G411" s="35"/>
      <c r="H411" s="35"/>
      <c r="I411" s="35"/>
      <c r="J411" s="35"/>
      <c r="K411" s="35"/>
      <c r="L411" s="35"/>
      <c r="M411" s="35"/>
      <c r="N411" s="416"/>
      <c r="U411" s="420"/>
    </row>
    <row r="412" spans="1:21" ht="15" customHeight="1" x14ac:dyDescent="0.25">
      <c r="A412" s="301"/>
      <c r="B412" s="414"/>
      <c r="C412" s="414"/>
      <c r="D412" s="414"/>
      <c r="E412" s="425" t="s">
        <v>321</v>
      </c>
      <c r="F412" s="35"/>
      <c r="G412" s="35"/>
      <c r="H412" s="35"/>
      <c r="I412" s="35">
        <f>+G412+H412</f>
        <v>0</v>
      </c>
      <c r="J412" s="35"/>
      <c r="K412" s="35"/>
      <c r="L412" s="35">
        <f>+J412+K412</f>
        <v>0</v>
      </c>
      <c r="M412" s="35">
        <f t="shared" ref="M412:M419" si="243">+I412+L412</f>
        <v>0</v>
      </c>
      <c r="N412" s="416"/>
      <c r="U412" s="420"/>
    </row>
    <row r="413" spans="1:21" ht="15" customHeight="1" x14ac:dyDescent="0.25">
      <c r="A413" s="301"/>
      <c r="B413" s="414"/>
      <c r="C413" s="414"/>
      <c r="D413" s="414"/>
      <c r="E413" s="425" t="s">
        <v>322</v>
      </c>
      <c r="F413" s="35"/>
      <c r="G413" s="35"/>
      <c r="H413" s="35">
        <f>1737798+2928768</f>
        <v>4666566</v>
      </c>
      <c r="I413" s="35">
        <f t="shared" ref="I413:I419" si="244">+G413+H413</f>
        <v>4666566</v>
      </c>
      <c r="J413" s="35"/>
      <c r="K413" s="35"/>
      <c r="L413" s="35"/>
      <c r="M413" s="35">
        <f t="shared" si="243"/>
        <v>4666566</v>
      </c>
      <c r="N413" s="416"/>
      <c r="U413" s="420"/>
    </row>
    <row r="414" spans="1:21" ht="15" customHeight="1" x14ac:dyDescent="0.25">
      <c r="A414" s="301"/>
      <c r="B414" s="414"/>
      <c r="C414" s="414"/>
      <c r="D414" s="414"/>
      <c r="E414" s="425" t="s">
        <v>323</v>
      </c>
      <c r="F414" s="35"/>
      <c r="G414" s="35"/>
      <c r="H414" s="35">
        <f>6951187+11715091</f>
        <v>18666278</v>
      </c>
      <c r="I414" s="35">
        <f t="shared" si="244"/>
        <v>18666278</v>
      </c>
      <c r="J414" s="35"/>
      <c r="K414" s="35"/>
      <c r="L414" s="35"/>
      <c r="M414" s="35">
        <f t="shared" si="243"/>
        <v>18666278</v>
      </c>
      <c r="N414" s="416"/>
      <c r="U414" s="420"/>
    </row>
    <row r="415" spans="1:21" ht="15" customHeight="1" x14ac:dyDescent="0.25">
      <c r="A415" s="301"/>
      <c r="B415" s="414"/>
      <c r="C415" s="414"/>
      <c r="D415" s="414"/>
      <c r="E415" s="425" t="s">
        <v>324</v>
      </c>
      <c r="F415" s="35"/>
      <c r="G415" s="35"/>
      <c r="H415" s="35">
        <v>580644</v>
      </c>
      <c r="I415" s="35">
        <f t="shared" si="244"/>
        <v>580644</v>
      </c>
      <c r="J415" s="35"/>
      <c r="K415" s="35"/>
      <c r="L415" s="35"/>
      <c r="M415" s="35">
        <f t="shared" si="243"/>
        <v>580644</v>
      </c>
      <c r="N415" s="416"/>
      <c r="U415" s="420"/>
    </row>
    <row r="416" spans="1:21" ht="15" customHeight="1" x14ac:dyDescent="0.25">
      <c r="A416" s="301"/>
      <c r="B416" s="414"/>
      <c r="C416" s="414"/>
      <c r="D416" s="414"/>
      <c r="E416" s="425" t="s">
        <v>325</v>
      </c>
      <c r="F416" s="35"/>
      <c r="G416" s="35"/>
      <c r="H416" s="35">
        <v>1741930</v>
      </c>
      <c r="I416" s="35">
        <f t="shared" si="244"/>
        <v>1741930</v>
      </c>
      <c r="J416" s="35"/>
      <c r="K416" s="35"/>
      <c r="L416" s="35"/>
      <c r="M416" s="35">
        <f t="shared" si="243"/>
        <v>1741930</v>
      </c>
      <c r="N416" s="416"/>
      <c r="U416" s="420"/>
    </row>
    <row r="417" spans="1:21" ht="15" customHeight="1" x14ac:dyDescent="0.25">
      <c r="A417" s="301"/>
      <c r="B417" s="414"/>
      <c r="C417" s="414"/>
      <c r="D417" s="414"/>
      <c r="E417" s="425" t="s">
        <v>326</v>
      </c>
      <c r="F417" s="35"/>
      <c r="G417" s="35"/>
      <c r="H417" s="35">
        <v>21310579</v>
      </c>
      <c r="I417" s="35">
        <f t="shared" si="244"/>
        <v>21310579</v>
      </c>
      <c r="J417" s="35"/>
      <c r="K417" s="35"/>
      <c r="L417" s="35"/>
      <c r="M417" s="35">
        <f t="shared" si="243"/>
        <v>21310579</v>
      </c>
      <c r="N417" s="416"/>
      <c r="U417" s="420"/>
    </row>
    <row r="418" spans="1:21" ht="15" customHeight="1" x14ac:dyDescent="0.25">
      <c r="A418" s="301"/>
      <c r="B418" s="414"/>
      <c r="C418" s="414"/>
      <c r="D418" s="414"/>
      <c r="E418" s="425" t="s">
        <v>327</v>
      </c>
      <c r="F418" s="35"/>
      <c r="G418" s="35"/>
      <c r="H418" s="236"/>
      <c r="I418" s="35"/>
      <c r="J418" s="35"/>
      <c r="K418" s="236"/>
      <c r="L418" s="35">
        <f>+J418+K418</f>
        <v>0</v>
      </c>
      <c r="M418" s="35">
        <f t="shared" si="243"/>
        <v>0</v>
      </c>
      <c r="N418" s="416"/>
      <c r="U418" s="420"/>
    </row>
    <row r="419" spans="1:21" ht="15" customHeight="1" x14ac:dyDescent="0.25">
      <c r="A419" s="301"/>
      <c r="B419" s="414"/>
      <c r="C419" s="414"/>
      <c r="D419" s="414"/>
      <c r="E419" s="425" t="s">
        <v>426</v>
      </c>
      <c r="F419" s="35"/>
      <c r="G419" s="35"/>
      <c r="H419" s="35"/>
      <c r="I419" s="35">
        <f t="shared" si="244"/>
        <v>0</v>
      </c>
      <c r="J419" s="35"/>
      <c r="K419" s="35"/>
      <c r="L419" s="35"/>
      <c r="M419" s="35">
        <f t="shared" si="243"/>
        <v>0</v>
      </c>
      <c r="N419" s="416"/>
      <c r="U419" s="420"/>
    </row>
    <row r="420" spans="1:21" ht="15" customHeight="1" x14ac:dyDescent="0.25">
      <c r="A420" s="301"/>
      <c r="B420" s="414"/>
      <c r="C420" s="414"/>
      <c r="D420" s="414"/>
      <c r="E420" s="414" t="s">
        <v>23</v>
      </c>
      <c r="F420" s="35"/>
      <c r="G420" s="35"/>
      <c r="H420" s="35"/>
      <c r="I420" s="35"/>
      <c r="J420" s="35"/>
      <c r="K420" s="35"/>
      <c r="L420" s="35"/>
      <c r="M420" s="35"/>
      <c r="N420" s="416"/>
      <c r="U420" s="420"/>
    </row>
    <row r="421" spans="1:21" ht="18" customHeight="1" x14ac:dyDescent="0.25">
      <c r="A421" s="301"/>
      <c r="B421" s="414"/>
      <c r="C421" s="414"/>
      <c r="D421" s="414"/>
      <c r="E421" s="429" t="s">
        <v>27</v>
      </c>
      <c r="F421" s="423"/>
      <c r="G421" s="430" t="s">
        <v>49</v>
      </c>
      <c r="H421" s="430" t="s">
        <v>49</v>
      </c>
      <c r="I421" s="430" t="s">
        <v>49</v>
      </c>
      <c r="J421" s="430" t="s">
        <v>49</v>
      </c>
      <c r="K421" s="430" t="s">
        <v>49</v>
      </c>
      <c r="L421" s="430" t="s">
        <v>49</v>
      </c>
      <c r="M421" s="430" t="s">
        <v>49</v>
      </c>
      <c r="N421" s="422"/>
      <c r="U421" s="420"/>
    </row>
    <row r="422" spans="1:21" ht="18" customHeight="1" x14ac:dyDescent="0.25">
      <c r="A422" s="301"/>
      <c r="B422" s="414"/>
      <c r="C422" s="414"/>
      <c r="D422" s="414"/>
      <c r="E422" s="414"/>
      <c r="F422" s="416"/>
      <c r="G422" s="416"/>
      <c r="H422" s="416"/>
      <c r="I422" s="416"/>
      <c r="J422" s="416"/>
      <c r="K422" s="416"/>
      <c r="L422" s="416"/>
      <c r="M422" s="416"/>
      <c r="N422" s="416"/>
      <c r="U422" s="420"/>
    </row>
    <row r="423" spans="1:21" ht="18" customHeight="1" x14ac:dyDescent="0.25">
      <c r="A423" s="432"/>
      <c r="B423" s="432"/>
      <c r="C423" s="432"/>
      <c r="D423" s="432"/>
      <c r="E423" s="429" t="s">
        <v>28</v>
      </c>
      <c r="F423" s="422"/>
      <c r="G423" s="422">
        <v>0</v>
      </c>
      <c r="H423" s="422">
        <v>0</v>
      </c>
      <c r="I423" s="422">
        <v>0</v>
      </c>
      <c r="J423" s="422">
        <v>0</v>
      </c>
      <c r="K423" s="422">
        <v>0</v>
      </c>
      <c r="L423" s="422">
        <v>0</v>
      </c>
      <c r="M423" s="422">
        <v>0</v>
      </c>
      <c r="N423" s="422"/>
      <c r="U423" s="420"/>
    </row>
    <row r="424" spans="1:21" ht="18" customHeight="1" x14ac:dyDescent="0.25">
      <c r="U424" s="420"/>
    </row>
    <row r="425" spans="1:21" ht="18" customHeight="1" x14ac:dyDescent="0.25">
      <c r="A425" s="537" t="s">
        <v>52</v>
      </c>
      <c r="B425" s="537"/>
      <c r="C425" s="537"/>
      <c r="D425" s="537"/>
      <c r="L425" s="539" t="s">
        <v>450</v>
      </c>
      <c r="M425" s="539"/>
      <c r="N425" s="539"/>
      <c r="U425" s="420"/>
    </row>
    <row r="426" spans="1:21" ht="18" customHeight="1" x14ac:dyDescent="0.25">
      <c r="A426" s="537" t="s">
        <v>59</v>
      </c>
      <c r="B426" s="537"/>
      <c r="C426" s="537"/>
      <c r="D426" s="537"/>
      <c r="U426" s="420"/>
    </row>
    <row r="427" spans="1:21" ht="18" customHeight="1" x14ac:dyDescent="0.25">
      <c r="A427" s="537" t="s">
        <v>60</v>
      </c>
      <c r="B427" s="537"/>
      <c r="C427" s="537"/>
      <c r="D427" s="537"/>
      <c r="E427" s="434" t="s">
        <v>38</v>
      </c>
      <c r="F427" s="538" t="s">
        <v>39</v>
      </c>
      <c r="G427" s="538"/>
      <c r="H427" s="538"/>
      <c r="I427" s="435"/>
      <c r="J427" s="435"/>
      <c r="K427" s="435"/>
      <c r="L427" s="538" t="s">
        <v>422</v>
      </c>
      <c r="M427" s="538"/>
      <c r="N427" s="538"/>
      <c r="U427" s="420"/>
    </row>
    <row r="428" spans="1:21" ht="18" customHeight="1" x14ac:dyDescent="0.25">
      <c r="A428" s="537" t="s">
        <v>53</v>
      </c>
      <c r="B428" s="537"/>
      <c r="C428" s="537"/>
      <c r="D428" s="537"/>
      <c r="E428" s="434" t="s">
        <v>330</v>
      </c>
      <c r="F428" s="538" t="s">
        <v>54</v>
      </c>
      <c r="G428" s="538"/>
      <c r="H428" s="538"/>
      <c r="I428" s="435"/>
      <c r="J428" s="435"/>
      <c r="K428" s="435"/>
      <c r="L428" s="538" t="s">
        <v>330</v>
      </c>
      <c r="M428" s="538"/>
      <c r="N428" s="538"/>
      <c r="U428" s="420"/>
    </row>
    <row r="429" spans="1:21" ht="18" customHeight="1" x14ac:dyDescent="0.25">
      <c r="A429" s="453"/>
      <c r="B429" s="436"/>
      <c r="C429" s="436"/>
      <c r="D429" s="436"/>
      <c r="E429" s="453"/>
      <c r="G429" s="454"/>
      <c r="H429" s="438"/>
      <c r="I429" s="438"/>
      <c r="K429" s="438"/>
      <c r="L429" s="438"/>
      <c r="M429" s="438"/>
      <c r="N429" s="438"/>
      <c r="U429" s="420"/>
    </row>
    <row r="430" spans="1:21" ht="18" customHeight="1" x14ac:dyDescent="0.25">
      <c r="A430" s="453"/>
      <c r="B430" s="436"/>
      <c r="C430" s="436"/>
      <c r="D430" s="436"/>
      <c r="E430" s="453"/>
      <c r="G430" s="438"/>
      <c r="H430" s="438"/>
      <c r="K430" s="438"/>
      <c r="L430" s="438"/>
      <c r="M430" s="438"/>
    </row>
    <row r="431" spans="1:21" ht="18" customHeight="1" x14ac:dyDescent="0.25">
      <c r="A431" s="439"/>
      <c r="B431" s="436"/>
      <c r="C431" s="436"/>
      <c r="D431" s="436"/>
      <c r="E431" s="453"/>
      <c r="G431" s="438"/>
      <c r="H431" s="438"/>
      <c r="K431" s="438"/>
      <c r="L431" s="438"/>
      <c r="M431" s="438"/>
    </row>
    <row r="432" spans="1:21" ht="18" customHeight="1" x14ac:dyDescent="0.25">
      <c r="A432" s="537" t="s">
        <v>56</v>
      </c>
      <c r="B432" s="537"/>
      <c r="C432" s="537"/>
      <c r="D432" s="537"/>
      <c r="E432" s="453" t="s">
        <v>421</v>
      </c>
      <c r="F432" s="539" t="s">
        <v>51</v>
      </c>
      <c r="G432" s="539"/>
      <c r="H432" s="539"/>
      <c r="I432" s="161"/>
      <c r="J432" s="161"/>
      <c r="K432" s="161"/>
      <c r="L432" s="539" t="s">
        <v>423</v>
      </c>
      <c r="M432" s="539"/>
      <c r="N432" s="539"/>
    </row>
    <row r="433" spans="1:14" ht="18" customHeight="1" x14ac:dyDescent="0.25">
      <c r="A433" s="537" t="s">
        <v>29</v>
      </c>
      <c r="B433" s="537"/>
      <c r="C433" s="537"/>
      <c r="D433" s="537"/>
      <c r="E433" s="453" t="s">
        <v>419</v>
      </c>
      <c r="F433" s="540" t="s">
        <v>58</v>
      </c>
      <c r="G433" s="540"/>
      <c r="H433" s="540"/>
      <c r="I433" s="161"/>
      <c r="J433" s="161"/>
      <c r="K433" s="161"/>
      <c r="L433" s="540" t="s">
        <v>425</v>
      </c>
      <c r="M433" s="540"/>
      <c r="N433" s="540"/>
    </row>
    <row r="434" spans="1:14" ht="18" customHeight="1" x14ac:dyDescent="0.25">
      <c r="A434" s="537" t="s">
        <v>57</v>
      </c>
      <c r="B434" s="537"/>
      <c r="C434" s="537"/>
      <c r="D434" s="537"/>
      <c r="E434" s="453" t="s">
        <v>420</v>
      </c>
      <c r="F434" s="539" t="s">
        <v>47</v>
      </c>
      <c r="G434" s="539"/>
      <c r="H434" s="539"/>
      <c r="I434" s="161"/>
      <c r="J434" s="161"/>
      <c r="K434" s="161"/>
      <c r="L434" s="539" t="s">
        <v>424</v>
      </c>
      <c r="M434" s="539"/>
      <c r="N434" s="539"/>
    </row>
  </sheetData>
  <mergeCells count="33"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  <mergeCell ref="B17:D17"/>
    <mergeCell ref="A426:D426"/>
    <mergeCell ref="A427:D427"/>
    <mergeCell ref="F427:H427"/>
    <mergeCell ref="L427:N427"/>
    <mergeCell ref="A425:D425"/>
    <mergeCell ref="L425:N425"/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</mergeCells>
  <printOptions horizontalCentered="1"/>
  <pageMargins left="0.19685039370078741" right="0.19685039370078741" top="0.39370078740157483" bottom="0.19685039370078741" header="0.31496062992125984" footer="0.31496062992125984"/>
  <pageSetup paperSize="258" scale="56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U434"/>
  <sheetViews>
    <sheetView showGridLines="0" view="pageBreakPreview" zoomScale="90" zoomScaleNormal="85" zoomScaleSheetLayoutView="90" workbookViewId="0">
      <pane xSplit="4" ySplit="16" topLeftCell="E357" activePane="bottomRight" state="frozen"/>
      <selection activeCell="H365" sqref="H365"/>
      <selection pane="topRight" activeCell="H365" sqref="H365"/>
      <selection pane="bottomLeft" activeCell="H365" sqref="H365"/>
      <selection pane="bottomRight" activeCell="H365" sqref="H365"/>
    </sheetView>
  </sheetViews>
  <sheetFormatPr defaultRowHeight="15" customHeight="1" x14ac:dyDescent="0.25"/>
  <cols>
    <col min="1" max="1" width="6" style="1" customWidth="1"/>
    <col min="2" max="2" width="11.5703125" style="1" customWidth="1"/>
    <col min="3" max="3" width="13.7109375" style="1" customWidth="1"/>
    <col min="4" max="4" width="15.85546875" style="1" customWidth="1"/>
    <col min="5" max="5" width="68.5703125" style="1" customWidth="1"/>
    <col min="6" max="6" width="18.140625" style="1" customWidth="1"/>
    <col min="7" max="7" width="16.85546875" style="1" customWidth="1"/>
    <col min="8" max="8" width="15.85546875" style="1" customWidth="1"/>
    <col min="9" max="9" width="18.7109375" style="1" customWidth="1"/>
    <col min="10" max="10" width="15" style="1" customWidth="1"/>
    <col min="11" max="11" width="14" style="1" customWidth="1"/>
    <col min="12" max="12" width="15.140625" style="1" customWidth="1"/>
    <col min="13" max="13" width="16.7109375" style="1" customWidth="1"/>
    <col min="14" max="14" width="19.28515625" style="1" customWidth="1"/>
    <col min="15" max="15" width="4.28515625" style="1" customWidth="1"/>
    <col min="16" max="16" width="18.42578125" style="188" customWidth="1"/>
    <col min="17" max="17" width="14.85546875" style="1" customWidth="1"/>
    <col min="18" max="18" width="15.42578125" style="1" customWidth="1"/>
    <col min="19" max="19" width="20.140625" style="207" customWidth="1"/>
    <col min="20" max="20" width="25.7109375" style="207" customWidth="1"/>
    <col min="21" max="21" width="26.140625" style="1" customWidth="1"/>
    <col min="22" max="16384" width="9.140625" style="1"/>
  </cols>
  <sheetData>
    <row r="1" spans="1:18" ht="1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</row>
    <row r="2" spans="1:18" ht="15" hidden="1" customHeight="1" x14ac:dyDescent="0.25">
      <c r="A2" s="503" t="s">
        <v>1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</row>
    <row r="3" spans="1:18" ht="15" hidden="1" customHeight="1" x14ac:dyDescent="0.25">
      <c r="A3" s="503" t="s">
        <v>2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1:18" ht="15" hidden="1" customHeight="1" x14ac:dyDescent="0.25"/>
    <row r="5" spans="1:18" ht="15" hidden="1" customHeight="1" x14ac:dyDescent="0.25"/>
    <row r="6" spans="1:18" ht="15" hidden="1" customHeight="1" x14ac:dyDescent="0.25">
      <c r="A6" s="1" t="s">
        <v>3</v>
      </c>
      <c r="D6" s="1" t="s">
        <v>45</v>
      </c>
    </row>
    <row r="7" spans="1:18" ht="15" hidden="1" customHeight="1" x14ac:dyDescent="0.25">
      <c r="A7" s="1" t="s">
        <v>4</v>
      </c>
      <c r="D7" s="1" t="s">
        <v>55</v>
      </c>
    </row>
    <row r="8" spans="1:18" ht="15" hidden="1" customHeight="1" x14ac:dyDescent="0.25">
      <c r="A8" s="1" t="s">
        <v>5</v>
      </c>
      <c r="D8" s="504" t="s">
        <v>50</v>
      </c>
      <c r="E8" s="504"/>
      <c r="F8" s="504"/>
    </row>
    <row r="9" spans="1:18" ht="15" hidden="1" customHeight="1" x14ac:dyDescent="0.25">
      <c r="A9" s="1" t="s">
        <v>6</v>
      </c>
      <c r="D9" s="1" t="s">
        <v>449</v>
      </c>
      <c r="R9" s="2"/>
    </row>
    <row r="10" spans="1:18" ht="15" hidden="1" customHeight="1" x14ac:dyDescent="0.25">
      <c r="A10" s="1" t="s">
        <v>7</v>
      </c>
      <c r="D10" s="1" t="s">
        <v>485</v>
      </c>
      <c r="R10" s="2"/>
    </row>
    <row r="11" spans="1:18" ht="15" hidden="1" customHeight="1" x14ac:dyDescent="0.25">
      <c r="R11" s="2"/>
    </row>
    <row r="12" spans="1:18" ht="15" hidden="1" customHeight="1" x14ac:dyDescent="0.25">
      <c r="R12" s="2"/>
    </row>
    <row r="13" spans="1:18" ht="15" customHeight="1" x14ac:dyDescent="0.25">
      <c r="A13" s="505" t="s">
        <v>37</v>
      </c>
      <c r="B13" s="507" t="s">
        <v>10</v>
      </c>
      <c r="C13" s="508"/>
      <c r="D13" s="509"/>
      <c r="E13" s="513" t="s">
        <v>8</v>
      </c>
      <c r="F13" s="513" t="s">
        <v>9</v>
      </c>
      <c r="G13" s="515" t="s">
        <v>14</v>
      </c>
      <c r="H13" s="515"/>
      <c r="I13" s="515"/>
      <c r="J13" s="515" t="s">
        <v>15</v>
      </c>
      <c r="K13" s="515"/>
      <c r="L13" s="515"/>
      <c r="M13" s="513" t="s">
        <v>17</v>
      </c>
      <c r="N13" s="513" t="s">
        <v>16</v>
      </c>
      <c r="R13" s="2"/>
    </row>
    <row r="14" spans="1:18" ht="15" customHeight="1" x14ac:dyDescent="0.25">
      <c r="A14" s="506"/>
      <c r="B14" s="510"/>
      <c r="C14" s="511"/>
      <c r="D14" s="512"/>
      <c r="E14" s="513"/>
      <c r="F14" s="514"/>
      <c r="G14" s="442" t="s">
        <v>11</v>
      </c>
      <c r="H14" s="442" t="s">
        <v>12</v>
      </c>
      <c r="I14" s="442" t="s">
        <v>13</v>
      </c>
      <c r="J14" s="442" t="s">
        <v>11</v>
      </c>
      <c r="K14" s="442" t="s">
        <v>12</v>
      </c>
      <c r="L14" s="442" t="s">
        <v>13</v>
      </c>
      <c r="M14" s="513"/>
      <c r="N14" s="513"/>
      <c r="R14" s="3"/>
    </row>
    <row r="15" spans="1:18" ht="15" customHeight="1" x14ac:dyDescent="0.25">
      <c r="A15" s="4"/>
      <c r="B15" s="497">
        <v>1</v>
      </c>
      <c r="C15" s="498"/>
      <c r="D15" s="499"/>
      <c r="E15" s="443">
        <v>2</v>
      </c>
      <c r="F15" s="443">
        <v>3</v>
      </c>
      <c r="G15" s="443">
        <v>7</v>
      </c>
      <c r="H15" s="443">
        <v>8</v>
      </c>
      <c r="I15" s="443" t="s">
        <v>18</v>
      </c>
      <c r="J15" s="443">
        <v>10</v>
      </c>
      <c r="K15" s="443">
        <v>11</v>
      </c>
      <c r="L15" s="443" t="s">
        <v>19</v>
      </c>
      <c r="M15" s="443" t="s">
        <v>155</v>
      </c>
      <c r="N15" s="443" t="s">
        <v>36</v>
      </c>
    </row>
    <row r="16" spans="1:18" ht="15" customHeight="1" x14ac:dyDescent="0.25">
      <c r="A16" s="8"/>
      <c r="B16" s="500"/>
      <c r="C16" s="501"/>
      <c r="D16" s="502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21" ht="17.100000000000001" customHeight="1" x14ac:dyDescent="0.25">
      <c r="A17" s="99"/>
      <c r="B17" s="494" t="s">
        <v>20</v>
      </c>
      <c r="C17" s="495"/>
      <c r="D17" s="496"/>
      <c r="E17" s="99"/>
      <c r="F17" s="100">
        <f>+F18+F47+F122+F138+F239+F247+F298+F350</f>
        <v>428263811167</v>
      </c>
      <c r="G17" s="100">
        <f>+G18+G47+G122+G138+G239+G247+G298+G350</f>
        <v>9805797967</v>
      </c>
      <c r="H17" s="100">
        <f>+H18+H47+H122+H138+H239+H247+H298+H350</f>
        <v>9782812369</v>
      </c>
      <c r="I17" s="100">
        <f>+G17+H17</f>
        <v>19588610336</v>
      </c>
      <c r="J17" s="100">
        <f>+J18+J47+J122+J138+J239+J247+J298+J350</f>
        <v>114284700</v>
      </c>
      <c r="K17" s="100">
        <f>+K18+K47+K122+K138+K239+K247+K298+K350</f>
        <v>345746731</v>
      </c>
      <c r="L17" s="100">
        <f>+J17+K17</f>
        <v>460031431</v>
      </c>
      <c r="M17" s="100">
        <f>+I17+L17</f>
        <v>20048641767</v>
      </c>
      <c r="N17" s="100">
        <f>+F17-M17</f>
        <v>408215169400</v>
      </c>
      <c r="R17" s="3"/>
      <c r="U17" s="188">
        <f>178000000+33460000+79728000+22342995000+29162378+3014333670+6242819000+179060000+4822000000+316799545+177216575</f>
        <v>37415574168</v>
      </c>
    </row>
    <row r="18" spans="1:21" s="114" customFormat="1" ht="18" customHeight="1" x14ac:dyDescent="0.25">
      <c r="A18" s="109"/>
      <c r="B18" s="110" t="s">
        <v>336</v>
      </c>
      <c r="C18" s="110"/>
      <c r="D18" s="110"/>
      <c r="E18" s="111" t="s">
        <v>335</v>
      </c>
      <c r="F18" s="112">
        <f>+F19+F32</f>
        <v>276269500</v>
      </c>
      <c r="G18" s="113">
        <f>+G19+G32</f>
        <v>0</v>
      </c>
      <c r="H18" s="113">
        <f>+H19+H32</f>
        <v>0</v>
      </c>
      <c r="I18" s="113">
        <f>+G18+H18</f>
        <v>0</v>
      </c>
      <c r="J18" s="113">
        <f>+J19+J32</f>
        <v>8490000</v>
      </c>
      <c r="K18" s="113">
        <f>+K19+K32</f>
        <v>40077500</v>
      </c>
      <c r="L18" s="113">
        <f>+J18+K18</f>
        <v>48567500</v>
      </c>
      <c r="M18" s="113">
        <f>+I18+L18</f>
        <v>48567500</v>
      </c>
      <c r="N18" s="112">
        <f>+F18-M18</f>
        <v>227702000</v>
      </c>
      <c r="P18" s="189">
        <f>+N19+N32+N48+N113+N123+N139+N165+N173+N184+N206+N240+N248+N256+N269+N278+N299+N312+N331+N337+N343+N351+N357+N369+N375</f>
        <v>408215169400</v>
      </c>
      <c r="Q18" s="114" t="s">
        <v>332</v>
      </c>
      <c r="R18" s="115"/>
      <c r="S18" s="238" t="s">
        <v>427</v>
      </c>
      <c r="T18" s="208"/>
    </row>
    <row r="19" spans="1:21" s="121" customFormat="1" ht="18" customHeight="1" x14ac:dyDescent="0.25">
      <c r="A19" s="154">
        <v>1</v>
      </c>
      <c r="B19" s="155"/>
      <c r="C19" s="155" t="s">
        <v>61</v>
      </c>
      <c r="D19" s="156"/>
      <c r="E19" s="157" t="s">
        <v>62</v>
      </c>
      <c r="F19" s="158">
        <f t="shared" ref="F19:H20" si="0">+F20</f>
        <v>117975500</v>
      </c>
      <c r="G19" s="159">
        <f t="shared" si="0"/>
        <v>0</v>
      </c>
      <c r="H19" s="159">
        <f t="shared" si="0"/>
        <v>0</v>
      </c>
      <c r="I19" s="159">
        <f>+G19+H19</f>
        <v>0</v>
      </c>
      <c r="J19" s="159">
        <f>+J20</f>
        <v>4190000</v>
      </c>
      <c r="K19" s="159">
        <f>+K20</f>
        <v>35777500</v>
      </c>
      <c r="L19" s="159">
        <f>+J19+K19</f>
        <v>39967500</v>
      </c>
      <c r="M19" s="159">
        <f>+I19+L19</f>
        <v>39967500</v>
      </c>
      <c r="N19" s="158">
        <f>+F19-M19</f>
        <v>78008000</v>
      </c>
      <c r="P19" s="190"/>
      <c r="R19" s="122"/>
      <c r="S19" s="209">
        <f>SUM(S24:S361)</f>
        <v>345746731</v>
      </c>
      <c r="T19" s="209">
        <f>SUM(T24:T434)</f>
        <v>9782812369</v>
      </c>
    </row>
    <row r="20" spans="1:21" s="107" customFormat="1" ht="18" customHeight="1" x14ac:dyDescent="0.25">
      <c r="A20" s="101"/>
      <c r="B20" s="102"/>
      <c r="C20" s="102"/>
      <c r="D20" s="103" t="s">
        <v>207</v>
      </c>
      <c r="E20" s="104" t="s">
        <v>262</v>
      </c>
      <c r="F20" s="105">
        <f t="shared" si="0"/>
        <v>117975500</v>
      </c>
      <c r="G20" s="106">
        <f t="shared" si="0"/>
        <v>0</v>
      </c>
      <c r="H20" s="106">
        <f t="shared" si="0"/>
        <v>0</v>
      </c>
      <c r="I20" s="106">
        <f>+G20+H20</f>
        <v>0</v>
      </c>
      <c r="J20" s="106">
        <f>+J21</f>
        <v>4190000</v>
      </c>
      <c r="K20" s="106">
        <f>+K21</f>
        <v>35777500</v>
      </c>
      <c r="L20" s="106">
        <f t="shared" ref="L20:L28" si="1">+J20+K20</f>
        <v>39967500</v>
      </c>
      <c r="M20" s="106">
        <f>+I20+L20</f>
        <v>39967500</v>
      </c>
      <c r="N20" s="105">
        <f>+F20-M20</f>
        <v>78008000</v>
      </c>
      <c r="P20" s="191"/>
      <c r="R20" s="108"/>
      <c r="S20" s="278"/>
      <c r="T20" s="278"/>
      <c r="U20" s="241"/>
    </row>
    <row r="21" spans="1:21" s="49" customFormat="1" ht="18" customHeight="1" x14ac:dyDescent="0.25">
      <c r="A21" s="44"/>
      <c r="B21" s="45"/>
      <c r="C21" s="45"/>
      <c r="D21" s="45" t="s">
        <v>63</v>
      </c>
      <c r="E21" s="46" t="s">
        <v>30</v>
      </c>
      <c r="F21" s="47">
        <f>+F22+F29</f>
        <v>117975500</v>
      </c>
      <c r="G21" s="48">
        <f>+G22+G29</f>
        <v>0</v>
      </c>
      <c r="H21" s="48">
        <f>+H22+H29</f>
        <v>0</v>
      </c>
      <c r="I21" s="48">
        <f>+G21+H21</f>
        <v>0</v>
      </c>
      <c r="J21" s="48">
        <f>+J22+J29</f>
        <v>4190000</v>
      </c>
      <c r="K21" s="48">
        <f>+K22+K29</f>
        <v>35777500</v>
      </c>
      <c r="L21" s="48">
        <f>+J21+K21</f>
        <v>39967500</v>
      </c>
      <c r="M21" s="48">
        <f>+I21+L21</f>
        <v>39967500</v>
      </c>
      <c r="N21" s="47">
        <f>+F21-M21</f>
        <v>78008000</v>
      </c>
      <c r="P21" s="192">
        <f>H386+H387+K386+K387</f>
        <v>10286209821</v>
      </c>
      <c r="Q21" s="49" t="s">
        <v>334</v>
      </c>
      <c r="S21" s="279"/>
      <c r="T21" s="279"/>
      <c r="U21" s="242"/>
    </row>
    <row r="22" spans="1:21" s="55" customFormat="1" ht="18" customHeight="1" x14ac:dyDescent="0.25">
      <c r="A22" s="50"/>
      <c r="B22" s="51"/>
      <c r="C22" s="51"/>
      <c r="D22" s="51" t="s">
        <v>263</v>
      </c>
      <c r="E22" s="52" t="s">
        <v>264</v>
      </c>
      <c r="F22" s="53">
        <f>+F23</f>
        <v>65295500</v>
      </c>
      <c r="G22" s="54">
        <f>+G23</f>
        <v>0</v>
      </c>
      <c r="H22" s="54">
        <f>+H23</f>
        <v>0</v>
      </c>
      <c r="I22" s="54">
        <f t="shared" ref="I22:I31" si="2">+G22+H22</f>
        <v>0</v>
      </c>
      <c r="J22" s="54">
        <f>+J23</f>
        <v>0</v>
      </c>
      <c r="K22" s="54">
        <f>+K23</f>
        <v>31587500</v>
      </c>
      <c r="L22" s="54">
        <f t="shared" si="1"/>
        <v>31587500</v>
      </c>
      <c r="M22" s="54">
        <f t="shared" ref="M22:M31" si="3">+I22+L22</f>
        <v>31587500</v>
      </c>
      <c r="N22" s="53">
        <f t="shared" ref="N22:N31" si="4">+F22-M22</f>
        <v>33708000</v>
      </c>
      <c r="P22" s="193">
        <f>+H17+K17</f>
        <v>10128559100</v>
      </c>
      <c r="Q22" s="49" t="s">
        <v>333</v>
      </c>
      <c r="S22" s="279"/>
      <c r="T22" s="279"/>
      <c r="U22" s="243"/>
    </row>
    <row r="23" spans="1:21" s="49" customFormat="1" ht="18" customHeight="1" x14ac:dyDescent="0.25">
      <c r="A23" s="56"/>
      <c r="B23" s="57"/>
      <c r="C23" s="57"/>
      <c r="D23" s="57" t="s">
        <v>64</v>
      </c>
      <c r="E23" s="57" t="s">
        <v>65</v>
      </c>
      <c r="F23" s="58">
        <f>SUM(F24:F28)</f>
        <v>65295500</v>
      </c>
      <c r="G23" s="59">
        <f>SUM(G24:G28)</f>
        <v>0</v>
      </c>
      <c r="H23" s="59">
        <f>SUM(H24:H28)</f>
        <v>0</v>
      </c>
      <c r="I23" s="60">
        <f>+G23+H23</f>
        <v>0</v>
      </c>
      <c r="J23" s="60">
        <f>+SUM(J24:J28)</f>
        <v>0</v>
      </c>
      <c r="K23" s="60">
        <f>+SUM(K24:K28)</f>
        <v>31587500</v>
      </c>
      <c r="L23" s="60">
        <f>+J23+K23</f>
        <v>31587500</v>
      </c>
      <c r="M23" s="60">
        <f>+I23+L23</f>
        <v>31587500</v>
      </c>
      <c r="N23" s="58">
        <f>+F23-M23</f>
        <v>33708000</v>
      </c>
      <c r="P23" s="192"/>
      <c r="S23" s="279"/>
      <c r="T23" s="279"/>
      <c r="U23" s="242"/>
    </row>
    <row r="24" spans="1:21" s="65" customFormat="1" ht="18" customHeight="1" x14ac:dyDescent="0.25">
      <c r="A24" s="61"/>
      <c r="B24" s="62"/>
      <c r="C24" s="62"/>
      <c r="D24" s="62" t="s">
        <v>66</v>
      </c>
      <c r="E24" s="62" t="s">
        <v>67</v>
      </c>
      <c r="F24" s="63">
        <v>7554500</v>
      </c>
      <c r="G24" s="64"/>
      <c r="H24" s="64"/>
      <c r="I24" s="64">
        <f t="shared" si="2"/>
        <v>0</v>
      </c>
      <c r="J24" s="64"/>
      <c r="K24" s="64">
        <v>7554500</v>
      </c>
      <c r="L24" s="64">
        <f t="shared" si="1"/>
        <v>7554500</v>
      </c>
      <c r="M24" s="64">
        <f>+I24+L24</f>
        <v>7554500</v>
      </c>
      <c r="N24" s="63">
        <f t="shared" si="4"/>
        <v>0</v>
      </c>
      <c r="P24" s="194"/>
      <c r="S24" s="445">
        <v>7554500</v>
      </c>
      <c r="T24" s="280"/>
      <c r="U24" s="244"/>
    </row>
    <row r="25" spans="1:21" s="65" customFormat="1" ht="18" customHeight="1" x14ac:dyDescent="0.25">
      <c r="A25" s="61"/>
      <c r="B25" s="62"/>
      <c r="C25" s="62"/>
      <c r="D25" s="62" t="s">
        <v>337</v>
      </c>
      <c r="E25" s="62" t="s">
        <v>338</v>
      </c>
      <c r="F25" s="63">
        <v>6408000</v>
      </c>
      <c r="G25" s="64"/>
      <c r="H25" s="64"/>
      <c r="I25" s="64">
        <f>+G25+H25</f>
        <v>0</v>
      </c>
      <c r="J25" s="64"/>
      <c r="K25" s="64">
        <v>6408000</v>
      </c>
      <c r="L25" s="64">
        <f t="shared" si="1"/>
        <v>6408000</v>
      </c>
      <c r="M25" s="64">
        <f t="shared" si="3"/>
        <v>6408000</v>
      </c>
      <c r="N25" s="63">
        <f t="shared" si="4"/>
        <v>0</v>
      </c>
      <c r="P25" s="194"/>
      <c r="S25" s="445">
        <v>6408000</v>
      </c>
      <c r="T25" s="280"/>
      <c r="U25" s="244"/>
    </row>
    <row r="26" spans="1:21" s="65" customFormat="1" ht="18" customHeight="1" x14ac:dyDescent="0.25">
      <c r="A26" s="61"/>
      <c r="B26" s="62"/>
      <c r="C26" s="62"/>
      <c r="D26" s="62" t="s">
        <v>68</v>
      </c>
      <c r="E26" s="62" t="s">
        <v>69</v>
      </c>
      <c r="F26" s="63">
        <v>44208000</v>
      </c>
      <c r="G26" s="64"/>
      <c r="H26" s="64"/>
      <c r="I26" s="64">
        <f t="shared" si="2"/>
        <v>0</v>
      </c>
      <c r="J26" s="64"/>
      <c r="K26" s="64">
        <f>16875000+750000</f>
        <v>17625000</v>
      </c>
      <c r="L26" s="64">
        <f t="shared" si="1"/>
        <v>17625000</v>
      </c>
      <c r="M26" s="64">
        <f t="shared" si="3"/>
        <v>17625000</v>
      </c>
      <c r="N26" s="63">
        <f t="shared" si="4"/>
        <v>26583000</v>
      </c>
      <c r="P26" s="194">
        <f>5440000000+63000000+730000000+7470000000+6242819000+3024665072+31328939+4570000000+12239500000+3046850000+197720000+310724118</f>
        <v>43366607129</v>
      </c>
      <c r="Q26" s="65" t="s">
        <v>428</v>
      </c>
      <c r="S26" s="445">
        <f>750000+16875000</f>
        <v>17625000</v>
      </c>
      <c r="T26" s="280"/>
      <c r="U26" s="244"/>
    </row>
    <row r="27" spans="1:21" s="65" customFormat="1" ht="18" customHeight="1" x14ac:dyDescent="0.25">
      <c r="A27" s="61"/>
      <c r="B27" s="62"/>
      <c r="C27" s="62"/>
      <c r="D27" s="62" t="s">
        <v>339</v>
      </c>
      <c r="E27" s="62" t="s">
        <v>340</v>
      </c>
      <c r="F27" s="63">
        <v>2125000</v>
      </c>
      <c r="G27" s="64"/>
      <c r="H27" s="64"/>
      <c r="I27" s="64"/>
      <c r="J27" s="64"/>
      <c r="K27" s="64"/>
      <c r="L27" s="64">
        <f t="shared" si="1"/>
        <v>0</v>
      </c>
      <c r="M27" s="64">
        <f t="shared" si="3"/>
        <v>0</v>
      </c>
      <c r="N27" s="63">
        <f t="shared" si="4"/>
        <v>2125000</v>
      </c>
      <c r="P27" s="194"/>
      <c r="S27" s="445"/>
      <c r="T27" s="280"/>
      <c r="U27" s="244"/>
    </row>
    <row r="28" spans="1:21" s="65" customFormat="1" ht="18" customHeight="1" x14ac:dyDescent="0.25">
      <c r="A28" s="61"/>
      <c r="B28" s="62"/>
      <c r="C28" s="62"/>
      <c r="D28" s="62" t="s">
        <v>70</v>
      </c>
      <c r="E28" s="62" t="s">
        <v>33</v>
      </c>
      <c r="F28" s="63">
        <v>5000000</v>
      </c>
      <c r="G28" s="64"/>
      <c r="H28" s="64"/>
      <c r="I28" s="64"/>
      <c r="J28" s="64"/>
      <c r="K28" s="64"/>
      <c r="L28" s="64">
        <f t="shared" si="1"/>
        <v>0</v>
      </c>
      <c r="M28" s="64">
        <f t="shared" si="3"/>
        <v>0</v>
      </c>
      <c r="N28" s="63">
        <f t="shared" si="4"/>
        <v>5000000</v>
      </c>
      <c r="P28" s="194"/>
      <c r="S28" s="445"/>
      <c r="T28" s="280"/>
      <c r="U28" s="244"/>
    </row>
    <row r="29" spans="1:21" s="55" customFormat="1" ht="18" customHeight="1" x14ac:dyDescent="0.25">
      <c r="A29" s="50"/>
      <c r="B29" s="51"/>
      <c r="C29" s="51"/>
      <c r="D29" s="51" t="s">
        <v>271</v>
      </c>
      <c r="E29" s="52" t="s">
        <v>272</v>
      </c>
      <c r="F29" s="53">
        <f>+F30</f>
        <v>52680000</v>
      </c>
      <c r="G29" s="54">
        <f>+G30</f>
        <v>0</v>
      </c>
      <c r="H29" s="54">
        <f>+H30</f>
        <v>0</v>
      </c>
      <c r="I29" s="54">
        <f>+G29+H29</f>
        <v>0</v>
      </c>
      <c r="J29" s="54">
        <f>+J30</f>
        <v>4190000</v>
      </c>
      <c r="K29" s="54">
        <f>+K30</f>
        <v>4190000</v>
      </c>
      <c r="L29" s="54">
        <f>+J29+K29</f>
        <v>8380000</v>
      </c>
      <c r="M29" s="54">
        <f>+I29+L29</f>
        <v>8380000</v>
      </c>
      <c r="N29" s="53">
        <f t="shared" si="4"/>
        <v>44300000</v>
      </c>
      <c r="P29" s="195"/>
      <c r="S29" s="446"/>
      <c r="T29" s="279"/>
      <c r="U29" s="243"/>
    </row>
    <row r="30" spans="1:21" s="49" customFormat="1" ht="18" customHeight="1" x14ac:dyDescent="0.25">
      <c r="A30" s="56"/>
      <c r="B30" s="57"/>
      <c r="C30" s="57"/>
      <c r="D30" s="57" t="s">
        <v>81</v>
      </c>
      <c r="E30" s="57" t="s">
        <v>31</v>
      </c>
      <c r="F30" s="58">
        <f>SUM(F31:F31)</f>
        <v>52680000</v>
      </c>
      <c r="G30" s="59">
        <f>+G31</f>
        <v>0</v>
      </c>
      <c r="H30" s="60">
        <f>+SUM(H31:H31)</f>
        <v>0</v>
      </c>
      <c r="I30" s="60">
        <f t="shared" si="2"/>
        <v>0</v>
      </c>
      <c r="J30" s="60">
        <f>+SUM(J31:J31)</f>
        <v>4190000</v>
      </c>
      <c r="K30" s="60">
        <f>+SUM(K31:K31)</f>
        <v>4190000</v>
      </c>
      <c r="L30" s="60">
        <f>+J30+K30</f>
        <v>8380000</v>
      </c>
      <c r="M30" s="60">
        <f t="shared" si="3"/>
        <v>8380000</v>
      </c>
      <c r="N30" s="58">
        <f t="shared" si="4"/>
        <v>44300000</v>
      </c>
      <c r="P30" s="192"/>
      <c r="S30" s="446"/>
      <c r="T30" s="279"/>
      <c r="U30" s="242"/>
    </row>
    <row r="31" spans="1:21" s="65" customFormat="1" ht="18" customHeight="1" x14ac:dyDescent="0.25">
      <c r="A31" s="61"/>
      <c r="B31" s="62"/>
      <c r="C31" s="62"/>
      <c r="D31" s="62" t="s">
        <v>82</v>
      </c>
      <c r="E31" s="62" t="s">
        <v>83</v>
      </c>
      <c r="F31" s="63">
        <v>52680000</v>
      </c>
      <c r="G31" s="64"/>
      <c r="H31" s="64"/>
      <c r="I31" s="64">
        <f t="shared" si="2"/>
        <v>0</v>
      </c>
      <c r="J31" s="64">
        <v>4190000</v>
      </c>
      <c r="K31" s="64">
        <v>4190000</v>
      </c>
      <c r="L31" s="64">
        <f t="shared" ref="L31" si="5">+J31+K31</f>
        <v>8380000</v>
      </c>
      <c r="M31" s="64">
        <f t="shared" si="3"/>
        <v>8380000</v>
      </c>
      <c r="N31" s="63">
        <f t="shared" si="4"/>
        <v>44300000</v>
      </c>
      <c r="P31" s="194"/>
      <c r="S31" s="445">
        <v>4190000</v>
      </c>
      <c r="T31" s="282"/>
      <c r="U31" s="244"/>
    </row>
    <row r="32" spans="1:21" s="121" customFormat="1" ht="32.25" customHeight="1" x14ac:dyDescent="0.25">
      <c r="A32" s="154">
        <v>2</v>
      </c>
      <c r="B32" s="155"/>
      <c r="C32" s="155" t="s">
        <v>79</v>
      </c>
      <c r="D32" s="156"/>
      <c r="E32" s="164" t="s">
        <v>80</v>
      </c>
      <c r="F32" s="158">
        <f t="shared" ref="F32:H33" si="6">+F33</f>
        <v>158294000</v>
      </c>
      <c r="G32" s="159">
        <f t="shared" si="6"/>
        <v>0</v>
      </c>
      <c r="H32" s="159">
        <f t="shared" si="6"/>
        <v>0</v>
      </c>
      <c r="I32" s="159">
        <f>+G32+H32</f>
        <v>0</v>
      </c>
      <c r="J32" s="159">
        <f>+J33</f>
        <v>4300000</v>
      </c>
      <c r="K32" s="159">
        <f>+K33</f>
        <v>4300000</v>
      </c>
      <c r="L32" s="159">
        <f>+J32+K32</f>
        <v>8600000</v>
      </c>
      <c r="M32" s="159">
        <f>+I32+L32</f>
        <v>8600000</v>
      </c>
      <c r="N32" s="158">
        <f>+F32-M32</f>
        <v>149694000</v>
      </c>
      <c r="P32" s="190"/>
      <c r="R32" s="122"/>
      <c r="S32" s="283"/>
      <c r="T32" s="283"/>
      <c r="U32" s="246"/>
    </row>
    <row r="33" spans="1:21" s="107" customFormat="1" ht="18" customHeight="1" x14ac:dyDescent="0.25">
      <c r="A33" s="101"/>
      <c r="B33" s="102"/>
      <c r="C33" s="102"/>
      <c r="D33" s="103" t="s">
        <v>207</v>
      </c>
      <c r="E33" s="104" t="s">
        <v>262</v>
      </c>
      <c r="F33" s="105">
        <f t="shared" si="6"/>
        <v>158294000</v>
      </c>
      <c r="G33" s="106">
        <f t="shared" si="6"/>
        <v>0</v>
      </c>
      <c r="H33" s="106">
        <f t="shared" si="6"/>
        <v>0</v>
      </c>
      <c r="I33" s="106">
        <f t="shared" ref="I33:I37" si="7">+G33+H33</f>
        <v>0</v>
      </c>
      <c r="J33" s="106">
        <f>+J34</f>
        <v>4300000</v>
      </c>
      <c r="K33" s="106">
        <f>+K34</f>
        <v>4300000</v>
      </c>
      <c r="L33" s="106">
        <f t="shared" ref="L33:L35" si="8">+J33+K33</f>
        <v>8600000</v>
      </c>
      <c r="M33" s="106">
        <f>+I33+L33</f>
        <v>8600000</v>
      </c>
      <c r="N33" s="105">
        <f t="shared" ref="N33:N36" si="9">+F33-M33</f>
        <v>149694000</v>
      </c>
      <c r="P33" s="191"/>
      <c r="R33" s="108"/>
      <c r="S33" s="284"/>
      <c r="T33" s="284"/>
      <c r="U33" s="241"/>
    </row>
    <row r="34" spans="1:21" s="49" customFormat="1" ht="18" customHeight="1" x14ac:dyDescent="0.25">
      <c r="A34" s="44"/>
      <c r="B34" s="45"/>
      <c r="C34" s="45"/>
      <c r="D34" s="45" t="s">
        <v>63</v>
      </c>
      <c r="E34" s="46" t="s">
        <v>30</v>
      </c>
      <c r="F34" s="47">
        <f>+F35+F42</f>
        <v>158294000</v>
      </c>
      <c r="G34" s="48">
        <f>+G35+G42</f>
        <v>0</v>
      </c>
      <c r="H34" s="48">
        <f>+H35+H42</f>
        <v>0</v>
      </c>
      <c r="I34" s="48">
        <f t="shared" si="7"/>
        <v>0</v>
      </c>
      <c r="J34" s="48">
        <f>+J35+J42</f>
        <v>4300000</v>
      </c>
      <c r="K34" s="48">
        <f>+K35+K42</f>
        <v>4300000</v>
      </c>
      <c r="L34" s="48">
        <f t="shared" si="8"/>
        <v>8600000</v>
      </c>
      <c r="M34" s="48">
        <f t="shared" ref="M34:M35" si="10">+I34+L34</f>
        <v>8600000</v>
      </c>
      <c r="N34" s="47">
        <f t="shared" si="9"/>
        <v>149694000</v>
      </c>
      <c r="P34" s="192"/>
      <c r="S34" s="282"/>
      <c r="T34" s="282"/>
      <c r="U34" s="242"/>
    </row>
    <row r="35" spans="1:21" s="55" customFormat="1" ht="18" customHeight="1" x14ac:dyDescent="0.25">
      <c r="A35" s="50"/>
      <c r="B35" s="51"/>
      <c r="C35" s="51"/>
      <c r="D35" s="51" t="s">
        <v>263</v>
      </c>
      <c r="E35" s="52" t="s">
        <v>264</v>
      </c>
      <c r="F35" s="53">
        <f t="shared" ref="F35" si="11">+F36</f>
        <v>76694000</v>
      </c>
      <c r="G35" s="54">
        <f>+G36</f>
        <v>0</v>
      </c>
      <c r="H35" s="54">
        <f>+H36</f>
        <v>0</v>
      </c>
      <c r="I35" s="54">
        <f t="shared" si="7"/>
        <v>0</v>
      </c>
      <c r="J35" s="54">
        <f>+J36</f>
        <v>0</v>
      </c>
      <c r="K35" s="54">
        <f>+K36</f>
        <v>0</v>
      </c>
      <c r="L35" s="54">
        <f t="shared" si="8"/>
        <v>0</v>
      </c>
      <c r="M35" s="54">
        <f t="shared" si="10"/>
        <v>0</v>
      </c>
      <c r="N35" s="53">
        <f t="shared" si="9"/>
        <v>76694000</v>
      </c>
      <c r="P35" s="195"/>
      <c r="S35" s="282"/>
      <c r="T35" s="282"/>
      <c r="U35" s="243"/>
    </row>
    <row r="36" spans="1:21" s="49" customFormat="1" ht="18" customHeight="1" x14ac:dyDescent="0.25">
      <c r="A36" s="56"/>
      <c r="B36" s="57"/>
      <c r="C36" s="57"/>
      <c r="D36" s="57" t="s">
        <v>64</v>
      </c>
      <c r="E36" s="57" t="s">
        <v>65</v>
      </c>
      <c r="F36" s="58">
        <f>SUM(F37:F41)</f>
        <v>76694000</v>
      </c>
      <c r="G36" s="59">
        <f>SUM(G37:G41)</f>
        <v>0</v>
      </c>
      <c r="H36" s="59">
        <f>SUM(H37:H41)</f>
        <v>0</v>
      </c>
      <c r="I36" s="60">
        <f t="shared" si="7"/>
        <v>0</v>
      </c>
      <c r="J36" s="60">
        <f>SUM(J37:J41)</f>
        <v>0</v>
      </c>
      <c r="K36" s="60">
        <f>SUM(K37:K41)</f>
        <v>0</v>
      </c>
      <c r="L36" s="60">
        <f>+J36+K36</f>
        <v>0</v>
      </c>
      <c r="M36" s="60">
        <f>+I36+L36</f>
        <v>0</v>
      </c>
      <c r="N36" s="58">
        <f t="shared" si="9"/>
        <v>76694000</v>
      </c>
      <c r="P36" s="192"/>
      <c r="S36" s="282"/>
      <c r="T36" s="282"/>
      <c r="U36" s="242"/>
    </row>
    <row r="37" spans="1:21" s="65" customFormat="1" ht="18" customHeight="1" x14ac:dyDescent="0.25">
      <c r="A37" s="61"/>
      <c r="B37" s="66"/>
      <c r="C37" s="62"/>
      <c r="D37" s="62" t="s">
        <v>66</v>
      </c>
      <c r="E37" s="62" t="s">
        <v>67</v>
      </c>
      <c r="F37" s="63">
        <v>8160000</v>
      </c>
      <c r="G37" s="64"/>
      <c r="H37" s="64"/>
      <c r="I37" s="64">
        <f t="shared" si="7"/>
        <v>0</v>
      </c>
      <c r="J37" s="64"/>
      <c r="K37" s="64"/>
      <c r="L37" s="64">
        <f t="shared" ref="L37" si="12">+J37+K37</f>
        <v>0</v>
      </c>
      <c r="M37" s="64">
        <f t="shared" ref="M37" si="13">+I37+L37</f>
        <v>0</v>
      </c>
      <c r="N37" s="63">
        <f>+F37-M37</f>
        <v>8160000</v>
      </c>
      <c r="P37" s="194"/>
      <c r="S37" s="281"/>
      <c r="T37" s="282"/>
      <c r="U37" s="244"/>
    </row>
    <row r="38" spans="1:21" s="65" customFormat="1" ht="18" customHeight="1" x14ac:dyDescent="0.25">
      <c r="A38" s="61"/>
      <c r="B38" s="66"/>
      <c r="C38" s="62"/>
      <c r="D38" s="62" t="s">
        <v>337</v>
      </c>
      <c r="E38" s="62" t="s">
        <v>338</v>
      </c>
      <c r="F38" s="63">
        <v>5112000</v>
      </c>
      <c r="G38" s="64"/>
      <c r="H38" s="64"/>
      <c r="I38" s="64"/>
      <c r="J38" s="64"/>
      <c r="K38" s="64"/>
      <c r="L38" s="64">
        <f>+J38+K38</f>
        <v>0</v>
      </c>
      <c r="M38" s="64">
        <f>+I38+L38</f>
        <v>0</v>
      </c>
      <c r="N38" s="63">
        <f>+F38-M38</f>
        <v>5112000</v>
      </c>
      <c r="P38" s="194"/>
      <c r="S38" s="281"/>
      <c r="T38" s="282"/>
      <c r="U38" s="244"/>
    </row>
    <row r="39" spans="1:21" s="65" customFormat="1" ht="18" customHeight="1" x14ac:dyDescent="0.25">
      <c r="A39" s="61"/>
      <c r="B39" s="66"/>
      <c r="C39" s="62"/>
      <c r="D39" s="62" t="s">
        <v>68</v>
      </c>
      <c r="E39" s="62" t="s">
        <v>69</v>
      </c>
      <c r="F39" s="63">
        <v>36414000</v>
      </c>
      <c r="G39" s="64"/>
      <c r="H39" s="64"/>
      <c r="I39" s="64"/>
      <c r="J39" s="64"/>
      <c r="K39" s="64"/>
      <c r="L39" s="64">
        <f t="shared" ref="L39:L41" si="14">+J39+K39</f>
        <v>0</v>
      </c>
      <c r="M39" s="64">
        <f t="shared" ref="M39:M41" si="15">+I39+L39</f>
        <v>0</v>
      </c>
      <c r="N39" s="63">
        <f t="shared" ref="N39:N45" si="16">+F39-M39</f>
        <v>36414000</v>
      </c>
      <c r="P39" s="194"/>
      <c r="S39" s="281"/>
      <c r="T39" s="282"/>
      <c r="U39" s="244"/>
    </row>
    <row r="40" spans="1:21" s="65" customFormat="1" ht="18" customHeight="1" x14ac:dyDescent="0.25">
      <c r="A40" s="61"/>
      <c r="B40" s="66"/>
      <c r="C40" s="62"/>
      <c r="D40" s="62" t="s">
        <v>339</v>
      </c>
      <c r="E40" s="62" t="s">
        <v>340</v>
      </c>
      <c r="F40" s="63">
        <v>12008000</v>
      </c>
      <c r="G40" s="64"/>
      <c r="H40" s="64"/>
      <c r="I40" s="64"/>
      <c r="J40" s="64"/>
      <c r="K40" s="64"/>
      <c r="L40" s="64">
        <f t="shared" si="14"/>
        <v>0</v>
      </c>
      <c r="M40" s="64">
        <f t="shared" si="15"/>
        <v>0</v>
      </c>
      <c r="N40" s="63">
        <f t="shared" si="16"/>
        <v>12008000</v>
      </c>
      <c r="P40" s="194"/>
      <c r="S40" s="281"/>
      <c r="T40" s="282"/>
      <c r="U40" s="244"/>
    </row>
    <row r="41" spans="1:21" s="65" customFormat="1" ht="18" customHeight="1" x14ac:dyDescent="0.25">
      <c r="A41" s="61"/>
      <c r="B41" s="66"/>
      <c r="C41" s="62"/>
      <c r="D41" s="62" t="s">
        <v>70</v>
      </c>
      <c r="E41" s="62" t="s">
        <v>33</v>
      </c>
      <c r="F41" s="63">
        <v>15000000</v>
      </c>
      <c r="G41" s="64"/>
      <c r="H41" s="64"/>
      <c r="I41" s="64">
        <f>+G41+H41</f>
        <v>0</v>
      </c>
      <c r="J41" s="64"/>
      <c r="K41" s="64"/>
      <c r="L41" s="64">
        <f t="shared" si="14"/>
        <v>0</v>
      </c>
      <c r="M41" s="64">
        <f t="shared" si="15"/>
        <v>0</v>
      </c>
      <c r="N41" s="63">
        <f t="shared" si="16"/>
        <v>15000000</v>
      </c>
      <c r="P41" s="194"/>
      <c r="S41" s="281"/>
      <c r="T41" s="282"/>
      <c r="U41" s="244"/>
    </row>
    <row r="42" spans="1:21" s="55" customFormat="1" ht="18" customHeight="1" x14ac:dyDescent="0.25">
      <c r="A42" s="50"/>
      <c r="B42" s="51"/>
      <c r="C42" s="51"/>
      <c r="D42" s="51" t="s">
        <v>271</v>
      </c>
      <c r="E42" s="52" t="s">
        <v>272</v>
      </c>
      <c r="F42" s="53">
        <f>+F43</f>
        <v>81600000</v>
      </c>
      <c r="G42" s="54">
        <f>+G43</f>
        <v>0</v>
      </c>
      <c r="H42" s="54">
        <f>+H43</f>
        <v>0</v>
      </c>
      <c r="I42" s="54">
        <f t="shared" ref="I42:I45" si="17">+G42+H42</f>
        <v>0</v>
      </c>
      <c r="J42" s="54">
        <f>+J43</f>
        <v>4300000</v>
      </c>
      <c r="K42" s="54">
        <f>+K43</f>
        <v>4300000</v>
      </c>
      <c r="L42" s="54">
        <f>+J42+K42</f>
        <v>8600000</v>
      </c>
      <c r="M42" s="54">
        <f>+I42+L42</f>
        <v>8600000</v>
      </c>
      <c r="N42" s="53">
        <f t="shared" si="16"/>
        <v>73000000</v>
      </c>
      <c r="P42" s="195"/>
      <c r="S42" s="281"/>
      <c r="T42" s="282"/>
      <c r="U42" s="243"/>
    </row>
    <row r="43" spans="1:21" s="49" customFormat="1" ht="18" customHeight="1" x14ac:dyDescent="0.25">
      <c r="A43" s="56"/>
      <c r="B43" s="57"/>
      <c r="C43" s="57"/>
      <c r="D43" s="57" t="s">
        <v>81</v>
      </c>
      <c r="E43" s="57" t="s">
        <v>31</v>
      </c>
      <c r="F43" s="58">
        <f>SUM(F44:F45)</f>
        <v>81600000</v>
      </c>
      <c r="G43" s="59">
        <f>+G45</f>
        <v>0</v>
      </c>
      <c r="H43" s="60">
        <f>+SUM(H45:H45)</f>
        <v>0</v>
      </c>
      <c r="I43" s="60">
        <f t="shared" si="17"/>
        <v>0</v>
      </c>
      <c r="J43" s="60">
        <f>+SUM(J45:J45)</f>
        <v>4300000</v>
      </c>
      <c r="K43" s="60">
        <f>+SUM(K45:K45)</f>
        <v>4300000</v>
      </c>
      <c r="L43" s="60">
        <f t="shared" ref="L43:L45" si="18">+J43+K43</f>
        <v>8600000</v>
      </c>
      <c r="M43" s="60">
        <f t="shared" ref="M43:M45" si="19">+I43+L43</f>
        <v>8600000</v>
      </c>
      <c r="N43" s="58">
        <f t="shared" si="16"/>
        <v>73000000</v>
      </c>
      <c r="P43" s="192"/>
      <c r="S43" s="281"/>
      <c r="T43" s="282"/>
      <c r="U43" s="242"/>
    </row>
    <row r="44" spans="1:21" s="65" customFormat="1" ht="18" customHeight="1" x14ac:dyDescent="0.25">
      <c r="A44" s="61"/>
      <c r="B44" s="62"/>
      <c r="C44" s="62"/>
      <c r="D44" s="62" t="s">
        <v>451</v>
      </c>
      <c r="E44" s="62" t="s">
        <v>452</v>
      </c>
      <c r="F44" s="63">
        <v>30000000</v>
      </c>
      <c r="G44" s="64"/>
      <c r="H44" s="64"/>
      <c r="I44" s="64">
        <f t="shared" si="17"/>
        <v>0</v>
      </c>
      <c r="J44" s="64"/>
      <c r="K44" s="64"/>
      <c r="L44" s="64">
        <f t="shared" si="18"/>
        <v>0</v>
      </c>
      <c r="M44" s="64">
        <f t="shared" si="19"/>
        <v>0</v>
      </c>
      <c r="N44" s="63">
        <f t="shared" si="16"/>
        <v>30000000</v>
      </c>
      <c r="P44" s="194"/>
      <c r="S44" s="281"/>
      <c r="T44" s="282"/>
      <c r="U44" s="244"/>
    </row>
    <row r="45" spans="1:21" s="65" customFormat="1" ht="18" customHeight="1" x14ac:dyDescent="0.25">
      <c r="A45" s="61"/>
      <c r="B45" s="62"/>
      <c r="C45" s="62"/>
      <c r="D45" s="62" t="s">
        <v>82</v>
      </c>
      <c r="E45" s="62" t="s">
        <v>83</v>
      </c>
      <c r="F45" s="63">
        <v>51600000</v>
      </c>
      <c r="G45" s="64"/>
      <c r="H45" s="64"/>
      <c r="I45" s="64">
        <f t="shared" si="17"/>
        <v>0</v>
      </c>
      <c r="J45" s="64">
        <v>4300000</v>
      </c>
      <c r="K45" s="64">
        <v>4300000</v>
      </c>
      <c r="L45" s="64">
        <f t="shared" si="18"/>
        <v>8600000</v>
      </c>
      <c r="M45" s="64">
        <f t="shared" si="19"/>
        <v>8600000</v>
      </c>
      <c r="N45" s="63">
        <f t="shared" si="16"/>
        <v>43000000</v>
      </c>
      <c r="P45" s="194"/>
      <c r="S45" s="445">
        <v>4300000</v>
      </c>
      <c r="T45" s="282"/>
      <c r="U45" s="244"/>
    </row>
    <row r="46" spans="1:21" s="134" customFormat="1" ht="18" customHeight="1" x14ac:dyDescent="0.25">
      <c r="A46" s="129"/>
      <c r="B46" s="130"/>
      <c r="C46" s="130"/>
      <c r="D46" s="131"/>
      <c r="E46" s="131"/>
      <c r="F46" s="132"/>
      <c r="G46" s="133"/>
      <c r="H46" s="133"/>
      <c r="I46" s="133"/>
      <c r="J46" s="133"/>
      <c r="K46" s="133"/>
      <c r="L46" s="133"/>
      <c r="M46" s="133"/>
      <c r="N46" s="132"/>
      <c r="P46" s="197"/>
      <c r="S46" s="285"/>
      <c r="T46" s="286"/>
      <c r="U46" s="247"/>
    </row>
    <row r="47" spans="1:21" s="137" customFormat="1" ht="18" customHeight="1" x14ac:dyDescent="0.25">
      <c r="A47" s="109"/>
      <c r="B47" s="110" t="s">
        <v>407</v>
      </c>
      <c r="C47" s="110"/>
      <c r="D47" s="110"/>
      <c r="E47" s="110" t="s">
        <v>408</v>
      </c>
      <c r="F47" s="135">
        <f>+F48+F113</f>
        <v>27970445142</v>
      </c>
      <c r="G47" s="136">
        <f>+G48</f>
        <v>592026147</v>
      </c>
      <c r="H47" s="136">
        <f>+H48+H113</f>
        <v>322803781</v>
      </c>
      <c r="I47" s="136">
        <f>+G47+H47</f>
        <v>914829928</v>
      </c>
      <c r="J47" s="136">
        <f>+J114</f>
        <v>0</v>
      </c>
      <c r="K47" s="136">
        <f>+K114</f>
        <v>2990625</v>
      </c>
      <c r="L47" s="136">
        <f>+J47+K47</f>
        <v>2990625</v>
      </c>
      <c r="M47" s="136">
        <f>+I47+L47</f>
        <v>917820553</v>
      </c>
      <c r="N47" s="135">
        <f>+F47-M47</f>
        <v>27052624589</v>
      </c>
      <c r="P47" s="198"/>
      <c r="R47" s="138"/>
      <c r="S47" s="287"/>
      <c r="T47" s="287"/>
      <c r="U47" s="248"/>
    </row>
    <row r="48" spans="1:21" s="121" customFormat="1" ht="18" customHeight="1" x14ac:dyDescent="0.25">
      <c r="A48" s="116">
        <v>3</v>
      </c>
      <c r="B48" s="117"/>
      <c r="C48" s="117" t="s">
        <v>156</v>
      </c>
      <c r="D48" s="118"/>
      <c r="E48" s="128" t="s">
        <v>157</v>
      </c>
      <c r="F48" s="119">
        <f>+F49</f>
        <v>27939292142</v>
      </c>
      <c r="G48" s="120">
        <f>+G49</f>
        <v>592026147</v>
      </c>
      <c r="H48" s="120">
        <f>+H49</f>
        <v>322803781</v>
      </c>
      <c r="I48" s="120">
        <f>+G48+H48</f>
        <v>914829928</v>
      </c>
      <c r="J48" s="120">
        <f>+J49</f>
        <v>0</v>
      </c>
      <c r="K48" s="120">
        <f>+K49</f>
        <v>0</v>
      </c>
      <c r="L48" s="120">
        <f>+J48+K48</f>
        <v>0</v>
      </c>
      <c r="M48" s="120">
        <f>+I48+L48</f>
        <v>914829928</v>
      </c>
      <c r="N48" s="119">
        <f>+F48-M48</f>
        <v>27024462214</v>
      </c>
      <c r="P48" s="190"/>
      <c r="R48" s="122"/>
      <c r="S48" s="283"/>
      <c r="T48" s="283"/>
      <c r="U48" s="246"/>
    </row>
    <row r="49" spans="1:21" s="107" customFormat="1" ht="18" customHeight="1" x14ac:dyDescent="0.25">
      <c r="A49" s="101"/>
      <c r="B49" s="102"/>
      <c r="C49" s="102"/>
      <c r="D49" s="103" t="s">
        <v>207</v>
      </c>
      <c r="E49" s="104" t="s">
        <v>262</v>
      </c>
      <c r="F49" s="105">
        <f t="shared" ref="F49" si="20">+F50</f>
        <v>27939292142</v>
      </c>
      <c r="G49" s="106">
        <f>+G50</f>
        <v>592026147</v>
      </c>
      <c r="H49" s="106">
        <f>+H50</f>
        <v>322803781</v>
      </c>
      <c r="I49" s="106">
        <f t="shared" ref="I49:I50" si="21">+G49+H49</f>
        <v>914829928</v>
      </c>
      <c r="J49" s="106"/>
      <c r="K49" s="106">
        <f>+K50</f>
        <v>0</v>
      </c>
      <c r="L49" s="106">
        <f t="shared" ref="L49:L112" si="22">+J49+K49</f>
        <v>0</v>
      </c>
      <c r="M49" s="106">
        <f t="shared" ref="M49:M72" si="23">+I49+L49</f>
        <v>914829928</v>
      </c>
      <c r="N49" s="105">
        <f t="shared" ref="N49:N54" si="24">+F49-M49</f>
        <v>27024462214</v>
      </c>
      <c r="P49" s="191"/>
      <c r="R49" s="108"/>
      <c r="S49" s="284"/>
      <c r="T49" s="284"/>
      <c r="U49" s="241"/>
    </row>
    <row r="50" spans="1:21" s="49" customFormat="1" ht="18" customHeight="1" x14ac:dyDescent="0.25">
      <c r="A50" s="44"/>
      <c r="B50" s="45"/>
      <c r="C50" s="45"/>
      <c r="D50" s="69" t="s">
        <v>158</v>
      </c>
      <c r="E50" s="45" t="s">
        <v>159</v>
      </c>
      <c r="F50" s="47">
        <f>F51+F76+F83+F101</f>
        <v>27939292142</v>
      </c>
      <c r="G50" s="70">
        <f>+G51+G83+G101+G76</f>
        <v>592026147</v>
      </c>
      <c r="H50" s="70">
        <f>+H51+H83+H101+H76</f>
        <v>322803781</v>
      </c>
      <c r="I50" s="70">
        <f t="shared" si="21"/>
        <v>914829928</v>
      </c>
      <c r="J50" s="70"/>
      <c r="K50" s="70">
        <f>+K51+K76+K83+K101</f>
        <v>0</v>
      </c>
      <c r="L50" s="70">
        <f t="shared" si="22"/>
        <v>0</v>
      </c>
      <c r="M50" s="70">
        <f t="shared" si="23"/>
        <v>914829928</v>
      </c>
      <c r="N50" s="47">
        <f t="shared" si="24"/>
        <v>27024462214</v>
      </c>
      <c r="P50" s="192"/>
      <c r="S50" s="282"/>
      <c r="T50" s="282"/>
      <c r="U50" s="242"/>
    </row>
    <row r="51" spans="1:21" s="55" customFormat="1" ht="18" customHeight="1" x14ac:dyDescent="0.25">
      <c r="A51" s="50"/>
      <c r="B51" s="51"/>
      <c r="C51" s="51"/>
      <c r="D51" s="71" t="s">
        <v>208</v>
      </c>
      <c r="E51" s="51" t="s">
        <v>209</v>
      </c>
      <c r="F51" s="53">
        <f>F52+F54+F56+F58+F60+F62+F64+F66+F68+F70+F72+F74</f>
        <v>15098272502</v>
      </c>
      <c r="G51" s="72">
        <f>+G52+G54+G56+G58+G60+G62+G64+G66+G68+G70+G72+G74</f>
        <v>321607359</v>
      </c>
      <c r="H51" s="72">
        <f>+H52+H54+H56+H58+H60+H62+H64+H66+H68+H70+H72+H74</f>
        <v>322803781</v>
      </c>
      <c r="I51" s="72">
        <f>+G51+H51</f>
        <v>644411140</v>
      </c>
      <c r="J51" s="72"/>
      <c r="K51" s="72">
        <f>+K52+K54+K56+K58+K60+K62+K64+K66+K68+K70+K72+K74</f>
        <v>0</v>
      </c>
      <c r="L51" s="72">
        <f t="shared" si="22"/>
        <v>0</v>
      </c>
      <c r="M51" s="72">
        <f t="shared" si="23"/>
        <v>644411140</v>
      </c>
      <c r="N51" s="53">
        <f t="shared" si="24"/>
        <v>14453861362</v>
      </c>
      <c r="P51" s="195"/>
      <c r="S51" s="282"/>
      <c r="T51" s="282"/>
      <c r="U51" s="243"/>
    </row>
    <row r="52" spans="1:21" s="49" customFormat="1" ht="18" customHeight="1" x14ac:dyDescent="0.25">
      <c r="A52" s="56"/>
      <c r="B52" s="57"/>
      <c r="C52" s="57"/>
      <c r="D52" s="73" t="s">
        <v>160</v>
      </c>
      <c r="E52" s="57" t="s">
        <v>162</v>
      </c>
      <c r="F52" s="58">
        <f>+F53</f>
        <v>13525507924</v>
      </c>
      <c r="G52" s="59">
        <f>+G53</f>
        <v>241934700</v>
      </c>
      <c r="H52" s="59">
        <f>+H53</f>
        <v>242954900</v>
      </c>
      <c r="I52" s="59">
        <f t="shared" ref="I52" si="25">+G52+H52</f>
        <v>484889600</v>
      </c>
      <c r="J52" s="59"/>
      <c r="K52" s="59">
        <f>+K53</f>
        <v>0</v>
      </c>
      <c r="L52" s="59">
        <f>+J52+K52</f>
        <v>0</v>
      </c>
      <c r="M52" s="59">
        <f t="shared" si="23"/>
        <v>484889600</v>
      </c>
      <c r="N52" s="58">
        <f t="shared" si="24"/>
        <v>13040618324</v>
      </c>
      <c r="P52" s="192"/>
      <c r="S52" s="282"/>
      <c r="T52" s="282"/>
      <c r="U52" s="242"/>
    </row>
    <row r="53" spans="1:21" s="49" customFormat="1" ht="18" customHeight="1" x14ac:dyDescent="0.25">
      <c r="A53" s="61"/>
      <c r="B53" s="62"/>
      <c r="C53" s="62"/>
      <c r="D53" s="74" t="s">
        <v>161</v>
      </c>
      <c r="E53" s="62" t="s">
        <v>163</v>
      </c>
      <c r="F53" s="63">
        <v>13525507924</v>
      </c>
      <c r="G53" s="75">
        <v>241934700</v>
      </c>
      <c r="H53" s="75">
        <v>242954900</v>
      </c>
      <c r="I53" s="75">
        <f>+G53+H53</f>
        <v>484889600</v>
      </c>
      <c r="J53" s="75"/>
      <c r="K53" s="75"/>
      <c r="L53" s="75">
        <f t="shared" si="22"/>
        <v>0</v>
      </c>
      <c r="M53" s="75">
        <f t="shared" si="23"/>
        <v>484889600</v>
      </c>
      <c r="N53" s="63">
        <f t="shared" si="24"/>
        <v>13040618324</v>
      </c>
      <c r="P53" s="192"/>
      <c r="S53" s="282"/>
      <c r="T53" s="281">
        <v>242954900</v>
      </c>
      <c r="U53" s="242"/>
    </row>
    <row r="54" spans="1:21" s="49" customFormat="1" ht="18" customHeight="1" x14ac:dyDescent="0.25">
      <c r="A54" s="56"/>
      <c r="B54" s="57"/>
      <c r="C54" s="57"/>
      <c r="D54" s="73" t="s">
        <v>164</v>
      </c>
      <c r="E54" s="57" t="s">
        <v>166</v>
      </c>
      <c r="F54" s="58">
        <f>+F55</f>
        <v>401878814</v>
      </c>
      <c r="G54" s="59">
        <f>+G55</f>
        <v>24447544</v>
      </c>
      <c r="H54" s="59">
        <f>+H55</f>
        <v>24563352</v>
      </c>
      <c r="I54" s="59">
        <f t="shared" ref="I54:I73" si="26">+G54+H54</f>
        <v>49010896</v>
      </c>
      <c r="J54" s="59"/>
      <c r="K54" s="59">
        <f>+K55</f>
        <v>0</v>
      </c>
      <c r="L54" s="59">
        <f>+J54+K54</f>
        <v>0</v>
      </c>
      <c r="M54" s="59">
        <f t="shared" si="23"/>
        <v>49010896</v>
      </c>
      <c r="N54" s="58">
        <f t="shared" si="24"/>
        <v>352867918</v>
      </c>
      <c r="P54" s="192"/>
      <c r="S54" s="282"/>
      <c r="T54" s="281"/>
      <c r="U54" s="242"/>
    </row>
    <row r="55" spans="1:21" s="49" customFormat="1" ht="18" customHeight="1" x14ac:dyDescent="0.25">
      <c r="A55" s="61"/>
      <c r="B55" s="62"/>
      <c r="C55" s="62"/>
      <c r="D55" s="74" t="s">
        <v>165</v>
      </c>
      <c r="E55" s="62" t="s">
        <v>167</v>
      </c>
      <c r="F55" s="63">
        <v>401878814</v>
      </c>
      <c r="G55" s="75">
        <v>24447544</v>
      </c>
      <c r="H55" s="75">
        <v>24563352</v>
      </c>
      <c r="I55" s="75">
        <f t="shared" si="26"/>
        <v>49010896</v>
      </c>
      <c r="J55" s="75"/>
      <c r="K55" s="75"/>
      <c r="L55" s="75">
        <f t="shared" si="22"/>
        <v>0</v>
      </c>
      <c r="M55" s="75">
        <f t="shared" si="23"/>
        <v>49010896</v>
      </c>
      <c r="N55" s="63">
        <f>+F55-M55</f>
        <v>352867918</v>
      </c>
      <c r="P55" s="192"/>
      <c r="S55" s="282"/>
      <c r="T55" s="281">
        <v>24563352</v>
      </c>
      <c r="U55" s="242"/>
    </row>
    <row r="56" spans="1:21" s="49" customFormat="1" ht="18" customHeight="1" x14ac:dyDescent="0.25">
      <c r="A56" s="56"/>
      <c r="B56" s="57"/>
      <c r="C56" s="57"/>
      <c r="D56" s="73" t="s">
        <v>168</v>
      </c>
      <c r="E56" s="57" t="s">
        <v>170</v>
      </c>
      <c r="F56" s="58">
        <f>+F57</f>
        <v>290052000</v>
      </c>
      <c r="G56" s="59">
        <f>+G57</f>
        <v>17805000</v>
      </c>
      <c r="H56" s="59">
        <f>+H57</f>
        <v>17805000</v>
      </c>
      <c r="I56" s="59">
        <f t="shared" si="26"/>
        <v>35610000</v>
      </c>
      <c r="J56" s="59"/>
      <c r="K56" s="59">
        <f>+K57</f>
        <v>0</v>
      </c>
      <c r="L56" s="59">
        <f t="shared" si="22"/>
        <v>0</v>
      </c>
      <c r="M56" s="59">
        <f t="shared" si="23"/>
        <v>35610000</v>
      </c>
      <c r="N56" s="58">
        <f t="shared" ref="N56:N58" si="27">+F56-M56</f>
        <v>254442000</v>
      </c>
      <c r="P56" s="192"/>
      <c r="S56" s="282"/>
      <c r="T56" s="281"/>
      <c r="U56" s="242"/>
    </row>
    <row r="57" spans="1:21" s="49" customFormat="1" ht="18" customHeight="1" x14ac:dyDescent="0.25">
      <c r="A57" s="61"/>
      <c r="B57" s="62"/>
      <c r="C57" s="62"/>
      <c r="D57" s="74" t="s">
        <v>169</v>
      </c>
      <c r="E57" s="62" t="s">
        <v>171</v>
      </c>
      <c r="F57" s="63">
        <v>290052000</v>
      </c>
      <c r="G57" s="75">
        <v>17805000</v>
      </c>
      <c r="H57" s="75">
        <v>17805000</v>
      </c>
      <c r="I57" s="75">
        <f t="shared" si="26"/>
        <v>35610000</v>
      </c>
      <c r="J57" s="75"/>
      <c r="K57" s="75"/>
      <c r="L57" s="75">
        <f t="shared" si="22"/>
        <v>0</v>
      </c>
      <c r="M57" s="75">
        <f t="shared" si="23"/>
        <v>35610000</v>
      </c>
      <c r="N57" s="63">
        <f t="shared" si="27"/>
        <v>254442000</v>
      </c>
      <c r="P57" s="192"/>
      <c r="S57" s="282"/>
      <c r="T57" s="281">
        <v>17805000</v>
      </c>
      <c r="U57" s="242"/>
    </row>
    <row r="58" spans="1:21" s="49" customFormat="1" ht="18" customHeight="1" x14ac:dyDescent="0.25">
      <c r="A58" s="56"/>
      <c r="B58" s="57"/>
      <c r="C58" s="57"/>
      <c r="D58" s="73" t="s">
        <v>172</v>
      </c>
      <c r="E58" s="57" t="s">
        <v>174</v>
      </c>
      <c r="F58" s="58">
        <f>+F59</f>
        <v>62496000</v>
      </c>
      <c r="G58" s="59">
        <f>+G59</f>
        <v>960000</v>
      </c>
      <c r="H58" s="59">
        <f>+H59</f>
        <v>960000</v>
      </c>
      <c r="I58" s="59">
        <f t="shared" si="26"/>
        <v>1920000</v>
      </c>
      <c r="J58" s="59"/>
      <c r="K58" s="59">
        <f>+K59</f>
        <v>0</v>
      </c>
      <c r="L58" s="59">
        <f t="shared" si="22"/>
        <v>0</v>
      </c>
      <c r="M58" s="59">
        <f t="shared" si="23"/>
        <v>1920000</v>
      </c>
      <c r="N58" s="58">
        <f t="shared" si="27"/>
        <v>60576000</v>
      </c>
      <c r="P58" s="192"/>
      <c r="S58" s="282"/>
      <c r="T58" s="281"/>
      <c r="U58" s="242"/>
    </row>
    <row r="59" spans="1:21" s="49" customFormat="1" ht="18" customHeight="1" x14ac:dyDescent="0.25">
      <c r="A59" s="61"/>
      <c r="B59" s="62"/>
      <c r="C59" s="62"/>
      <c r="D59" s="74" t="s">
        <v>173</v>
      </c>
      <c r="E59" s="62" t="s">
        <v>175</v>
      </c>
      <c r="F59" s="63">
        <v>62496000</v>
      </c>
      <c r="G59" s="75">
        <v>960000</v>
      </c>
      <c r="H59" s="75">
        <v>960000</v>
      </c>
      <c r="I59" s="75">
        <f t="shared" si="26"/>
        <v>1920000</v>
      </c>
      <c r="J59" s="75"/>
      <c r="K59" s="75"/>
      <c r="L59" s="75">
        <f t="shared" si="22"/>
        <v>0</v>
      </c>
      <c r="M59" s="75">
        <f t="shared" si="23"/>
        <v>1920000</v>
      </c>
      <c r="N59" s="63">
        <f>+F59-M59</f>
        <v>60576000</v>
      </c>
      <c r="P59" s="192"/>
      <c r="S59" s="282"/>
      <c r="T59" s="281">
        <v>960000</v>
      </c>
      <c r="U59" s="242"/>
    </row>
    <row r="60" spans="1:21" s="49" customFormat="1" ht="18" customHeight="1" x14ac:dyDescent="0.25">
      <c r="A60" s="56"/>
      <c r="B60" s="57"/>
      <c r="C60" s="57"/>
      <c r="D60" s="73" t="s">
        <v>176</v>
      </c>
      <c r="E60" s="57" t="s">
        <v>178</v>
      </c>
      <c r="F60" s="58">
        <f>+F61</f>
        <v>126672000</v>
      </c>
      <c r="G60" s="59">
        <f>+G61</f>
        <v>7730000</v>
      </c>
      <c r="H60" s="59">
        <f>+H61</f>
        <v>7735000</v>
      </c>
      <c r="I60" s="59">
        <f t="shared" si="26"/>
        <v>15465000</v>
      </c>
      <c r="J60" s="59"/>
      <c r="K60" s="59">
        <f>+K61</f>
        <v>0</v>
      </c>
      <c r="L60" s="59">
        <f t="shared" si="22"/>
        <v>0</v>
      </c>
      <c r="M60" s="59">
        <f t="shared" si="23"/>
        <v>15465000</v>
      </c>
      <c r="N60" s="58">
        <f t="shared" ref="N60:N72" si="28">+F60-M60</f>
        <v>111207000</v>
      </c>
      <c r="P60" s="192"/>
      <c r="S60" s="282"/>
      <c r="T60" s="281"/>
      <c r="U60" s="242"/>
    </row>
    <row r="61" spans="1:21" s="49" customFormat="1" ht="18" customHeight="1" x14ac:dyDescent="0.25">
      <c r="A61" s="61"/>
      <c r="B61" s="62"/>
      <c r="C61" s="62"/>
      <c r="D61" s="74" t="s">
        <v>177</v>
      </c>
      <c r="E61" s="62" t="s">
        <v>179</v>
      </c>
      <c r="F61" s="63">
        <v>126672000</v>
      </c>
      <c r="G61" s="75">
        <v>7730000</v>
      </c>
      <c r="H61" s="75">
        <v>7735000</v>
      </c>
      <c r="I61" s="75">
        <f t="shared" si="26"/>
        <v>15465000</v>
      </c>
      <c r="J61" s="75"/>
      <c r="K61" s="75"/>
      <c r="L61" s="75">
        <f t="shared" si="22"/>
        <v>0</v>
      </c>
      <c r="M61" s="75">
        <f t="shared" si="23"/>
        <v>15465000</v>
      </c>
      <c r="N61" s="63">
        <f t="shared" si="28"/>
        <v>111207000</v>
      </c>
      <c r="P61" s="192"/>
      <c r="S61" s="282"/>
      <c r="T61" s="281">
        <v>7735000</v>
      </c>
      <c r="U61" s="242"/>
    </row>
    <row r="62" spans="1:21" s="49" customFormat="1" ht="18" customHeight="1" x14ac:dyDescent="0.25">
      <c r="A62" s="56"/>
      <c r="B62" s="57"/>
      <c r="C62" s="57"/>
      <c r="D62" s="73" t="s">
        <v>180</v>
      </c>
      <c r="E62" s="57" t="s">
        <v>182</v>
      </c>
      <c r="F62" s="58">
        <f>+F63</f>
        <v>237247920</v>
      </c>
      <c r="G62" s="59">
        <f>+G63</f>
        <v>14411580</v>
      </c>
      <c r="H62" s="59">
        <f>+H63</f>
        <v>14411580</v>
      </c>
      <c r="I62" s="59">
        <f t="shared" si="26"/>
        <v>28823160</v>
      </c>
      <c r="J62" s="59"/>
      <c r="K62" s="59">
        <f>+K63</f>
        <v>0</v>
      </c>
      <c r="L62" s="59">
        <f t="shared" si="22"/>
        <v>0</v>
      </c>
      <c r="M62" s="59">
        <f t="shared" si="23"/>
        <v>28823160</v>
      </c>
      <c r="N62" s="58">
        <f t="shared" si="28"/>
        <v>208424760</v>
      </c>
      <c r="P62" s="192"/>
      <c r="S62" s="282"/>
      <c r="T62" s="282"/>
      <c r="U62" s="242"/>
    </row>
    <row r="63" spans="1:21" s="49" customFormat="1" ht="18" customHeight="1" x14ac:dyDescent="0.25">
      <c r="A63" s="61"/>
      <c r="B63" s="62"/>
      <c r="C63" s="62"/>
      <c r="D63" s="74" t="s">
        <v>181</v>
      </c>
      <c r="E63" s="62" t="s">
        <v>183</v>
      </c>
      <c r="F63" s="63">
        <v>237247920</v>
      </c>
      <c r="G63" s="75">
        <v>14411580</v>
      </c>
      <c r="H63" s="75">
        <v>14411580</v>
      </c>
      <c r="I63" s="75">
        <f t="shared" si="26"/>
        <v>28823160</v>
      </c>
      <c r="J63" s="75"/>
      <c r="K63" s="75"/>
      <c r="L63" s="75">
        <f t="shared" si="22"/>
        <v>0</v>
      </c>
      <c r="M63" s="75">
        <f t="shared" si="23"/>
        <v>28823160</v>
      </c>
      <c r="N63" s="63">
        <f t="shared" si="28"/>
        <v>208424760</v>
      </c>
      <c r="P63" s="192"/>
      <c r="S63" s="282"/>
      <c r="T63" s="281">
        <v>14411580</v>
      </c>
      <c r="U63" s="242"/>
    </row>
    <row r="64" spans="1:21" s="49" customFormat="1" ht="18" customHeight="1" x14ac:dyDescent="0.25">
      <c r="A64" s="56"/>
      <c r="B64" s="57"/>
      <c r="C64" s="57"/>
      <c r="D64" s="73" t="s">
        <v>184</v>
      </c>
      <c r="E64" s="57" t="s">
        <v>186</v>
      </c>
      <c r="F64" s="58">
        <f>+F65</f>
        <v>202631050</v>
      </c>
      <c r="G64" s="59">
        <f>+G65</f>
        <v>277647</v>
      </c>
      <c r="H64" s="59">
        <f>+H65</f>
        <v>277647</v>
      </c>
      <c r="I64" s="59">
        <f t="shared" si="26"/>
        <v>555294</v>
      </c>
      <c r="J64" s="59"/>
      <c r="K64" s="59">
        <f>+K65</f>
        <v>0</v>
      </c>
      <c r="L64" s="59">
        <f t="shared" si="22"/>
        <v>0</v>
      </c>
      <c r="M64" s="59">
        <f t="shared" si="23"/>
        <v>555294</v>
      </c>
      <c r="N64" s="58">
        <f t="shared" si="28"/>
        <v>202075756</v>
      </c>
      <c r="P64" s="192"/>
      <c r="S64" s="282"/>
      <c r="T64" s="281"/>
      <c r="U64" s="242"/>
    </row>
    <row r="65" spans="1:21" s="49" customFormat="1" ht="18" customHeight="1" x14ac:dyDescent="0.25">
      <c r="A65" s="61"/>
      <c r="B65" s="62"/>
      <c r="C65" s="62"/>
      <c r="D65" s="74" t="s">
        <v>185</v>
      </c>
      <c r="E65" s="62" t="s">
        <v>187</v>
      </c>
      <c r="F65" s="63">
        <v>202631050</v>
      </c>
      <c r="G65" s="75">
        <v>277647</v>
      </c>
      <c r="H65" s="75">
        <v>277647</v>
      </c>
      <c r="I65" s="75">
        <f t="shared" si="26"/>
        <v>555294</v>
      </c>
      <c r="J65" s="75"/>
      <c r="K65" s="75"/>
      <c r="L65" s="75">
        <f t="shared" si="22"/>
        <v>0</v>
      </c>
      <c r="M65" s="75">
        <f t="shared" si="23"/>
        <v>555294</v>
      </c>
      <c r="N65" s="63">
        <f t="shared" si="28"/>
        <v>202075756</v>
      </c>
      <c r="P65" s="192"/>
      <c r="S65" s="282"/>
      <c r="T65" s="281">
        <v>277647</v>
      </c>
      <c r="U65" s="242"/>
    </row>
    <row r="66" spans="1:21" s="49" customFormat="1" ht="18" customHeight="1" x14ac:dyDescent="0.25">
      <c r="A66" s="56"/>
      <c r="B66" s="57"/>
      <c r="C66" s="57"/>
      <c r="D66" s="73" t="s">
        <v>188</v>
      </c>
      <c r="E66" s="57" t="s">
        <v>190</v>
      </c>
      <c r="F66" s="58">
        <f t="shared" ref="F66" si="29">+F67</f>
        <v>51845</v>
      </c>
      <c r="G66" s="59">
        <f>+G67</f>
        <v>3223</v>
      </c>
      <c r="H66" s="59">
        <f>+H67</f>
        <v>3205</v>
      </c>
      <c r="I66" s="59">
        <f t="shared" si="26"/>
        <v>6428</v>
      </c>
      <c r="J66" s="59"/>
      <c r="K66" s="59">
        <f>+K67</f>
        <v>0</v>
      </c>
      <c r="L66" s="59">
        <f t="shared" si="22"/>
        <v>0</v>
      </c>
      <c r="M66" s="59">
        <f t="shared" si="23"/>
        <v>6428</v>
      </c>
      <c r="N66" s="58">
        <f t="shared" si="28"/>
        <v>45417</v>
      </c>
      <c r="P66" s="192"/>
      <c r="S66" s="282"/>
      <c r="T66" s="281"/>
      <c r="U66" s="242"/>
    </row>
    <row r="67" spans="1:21" s="49" customFormat="1" ht="18" customHeight="1" x14ac:dyDescent="0.25">
      <c r="A67" s="61"/>
      <c r="B67" s="62"/>
      <c r="C67" s="62"/>
      <c r="D67" s="74" t="s">
        <v>189</v>
      </c>
      <c r="E67" s="62" t="s">
        <v>329</v>
      </c>
      <c r="F67" s="63">
        <v>51845</v>
      </c>
      <c r="G67" s="75">
        <v>3223</v>
      </c>
      <c r="H67" s="75">
        <v>3205</v>
      </c>
      <c r="I67" s="75">
        <f t="shared" si="26"/>
        <v>6428</v>
      </c>
      <c r="J67" s="75"/>
      <c r="K67" s="75"/>
      <c r="L67" s="75">
        <f t="shared" si="22"/>
        <v>0</v>
      </c>
      <c r="M67" s="75">
        <f t="shared" si="23"/>
        <v>6428</v>
      </c>
      <c r="N67" s="63">
        <f t="shared" si="28"/>
        <v>45417</v>
      </c>
      <c r="P67" s="192"/>
      <c r="S67" s="282"/>
      <c r="T67" s="281">
        <v>3205</v>
      </c>
      <c r="U67" s="242"/>
    </row>
    <row r="68" spans="1:21" s="49" customFormat="1" ht="18" customHeight="1" x14ac:dyDescent="0.25">
      <c r="A68" s="56"/>
      <c r="B68" s="57"/>
      <c r="C68" s="57"/>
      <c r="D68" s="73" t="s">
        <v>191</v>
      </c>
      <c r="E68" s="57" t="s">
        <v>193</v>
      </c>
      <c r="F68" s="58">
        <f t="shared" ref="F68" si="30">+F69</f>
        <v>190139023</v>
      </c>
      <c r="G68" s="59">
        <f>+G69</f>
        <v>11715091</v>
      </c>
      <c r="H68" s="59">
        <f>+H69</f>
        <v>11760731</v>
      </c>
      <c r="I68" s="59">
        <f t="shared" si="26"/>
        <v>23475822</v>
      </c>
      <c r="J68" s="59"/>
      <c r="K68" s="59">
        <f>+K69</f>
        <v>0</v>
      </c>
      <c r="L68" s="59">
        <f t="shared" si="22"/>
        <v>0</v>
      </c>
      <c r="M68" s="59">
        <f t="shared" si="23"/>
        <v>23475822</v>
      </c>
      <c r="N68" s="58">
        <f t="shared" si="28"/>
        <v>166663201</v>
      </c>
      <c r="P68" s="192"/>
      <c r="S68" s="282"/>
      <c r="T68" s="281"/>
      <c r="U68" s="242"/>
    </row>
    <row r="69" spans="1:21" s="49" customFormat="1" ht="18" customHeight="1" x14ac:dyDescent="0.25">
      <c r="A69" s="61"/>
      <c r="B69" s="62"/>
      <c r="C69" s="62"/>
      <c r="D69" s="74" t="s">
        <v>192</v>
      </c>
      <c r="E69" s="62" t="s">
        <v>194</v>
      </c>
      <c r="F69" s="63">
        <v>190139023</v>
      </c>
      <c r="G69" s="75">
        <v>11715091</v>
      </c>
      <c r="H69" s="75">
        <v>11760731</v>
      </c>
      <c r="I69" s="75">
        <f t="shared" si="26"/>
        <v>23475822</v>
      </c>
      <c r="J69" s="75"/>
      <c r="K69" s="75"/>
      <c r="L69" s="75">
        <f t="shared" si="22"/>
        <v>0</v>
      </c>
      <c r="M69" s="75">
        <f t="shared" si="23"/>
        <v>23475822</v>
      </c>
      <c r="N69" s="63">
        <f t="shared" si="28"/>
        <v>166663201</v>
      </c>
      <c r="P69" s="192"/>
      <c r="S69" s="282"/>
      <c r="T69" s="281">
        <v>11760731</v>
      </c>
      <c r="U69" s="242"/>
    </row>
    <row r="70" spans="1:21" s="49" customFormat="1" ht="18" customHeight="1" x14ac:dyDescent="0.25">
      <c r="A70" s="56"/>
      <c r="B70" s="57"/>
      <c r="C70" s="57"/>
      <c r="D70" s="73" t="s">
        <v>195</v>
      </c>
      <c r="E70" s="57" t="s">
        <v>197</v>
      </c>
      <c r="F70" s="58">
        <f t="shared" ref="F70" si="31">+F71</f>
        <v>9404942</v>
      </c>
      <c r="G70" s="59">
        <f>+G71</f>
        <v>580644</v>
      </c>
      <c r="H70" s="59">
        <f>+H71</f>
        <v>583091</v>
      </c>
      <c r="I70" s="59">
        <f t="shared" si="26"/>
        <v>1163735</v>
      </c>
      <c r="J70" s="59"/>
      <c r="K70" s="59">
        <f>+K71</f>
        <v>0</v>
      </c>
      <c r="L70" s="59">
        <f t="shared" si="22"/>
        <v>0</v>
      </c>
      <c r="M70" s="59">
        <f t="shared" si="23"/>
        <v>1163735</v>
      </c>
      <c r="N70" s="58">
        <f t="shared" si="28"/>
        <v>8241207</v>
      </c>
      <c r="P70" s="192"/>
      <c r="S70" s="282"/>
      <c r="T70" s="281"/>
      <c r="U70" s="242"/>
    </row>
    <row r="71" spans="1:21" s="49" customFormat="1" ht="18" customHeight="1" x14ac:dyDescent="0.25">
      <c r="A71" s="61"/>
      <c r="B71" s="62"/>
      <c r="C71" s="62"/>
      <c r="D71" s="74" t="s">
        <v>196</v>
      </c>
      <c r="E71" s="62" t="s">
        <v>198</v>
      </c>
      <c r="F71" s="63">
        <v>9404942</v>
      </c>
      <c r="G71" s="75">
        <v>580644</v>
      </c>
      <c r="H71" s="75">
        <v>583091</v>
      </c>
      <c r="I71" s="75">
        <f t="shared" si="26"/>
        <v>1163735</v>
      </c>
      <c r="J71" s="75"/>
      <c r="K71" s="75"/>
      <c r="L71" s="75">
        <f t="shared" si="22"/>
        <v>0</v>
      </c>
      <c r="M71" s="75">
        <f t="shared" si="23"/>
        <v>1163735</v>
      </c>
      <c r="N71" s="63">
        <f t="shared" si="28"/>
        <v>8241207</v>
      </c>
      <c r="P71" s="192"/>
      <c r="S71" s="282"/>
      <c r="T71" s="281">
        <v>583091</v>
      </c>
      <c r="U71" s="242"/>
    </row>
    <row r="72" spans="1:21" s="49" customFormat="1" ht="18" customHeight="1" x14ac:dyDescent="0.25">
      <c r="A72" s="56"/>
      <c r="B72" s="57"/>
      <c r="C72" s="57"/>
      <c r="D72" s="73" t="s">
        <v>199</v>
      </c>
      <c r="E72" s="57" t="s">
        <v>201</v>
      </c>
      <c r="F72" s="58">
        <f>+F73</f>
        <v>28215046</v>
      </c>
      <c r="G72" s="59">
        <f>+G73</f>
        <v>1741930</v>
      </c>
      <c r="H72" s="59">
        <f>+H73</f>
        <v>1749275</v>
      </c>
      <c r="I72" s="59">
        <f t="shared" si="26"/>
        <v>3491205</v>
      </c>
      <c r="J72" s="59"/>
      <c r="K72" s="59">
        <f>+K73</f>
        <v>0</v>
      </c>
      <c r="L72" s="59">
        <f t="shared" si="22"/>
        <v>0</v>
      </c>
      <c r="M72" s="59">
        <f t="shared" si="23"/>
        <v>3491205</v>
      </c>
      <c r="N72" s="58">
        <f t="shared" si="28"/>
        <v>24723841</v>
      </c>
      <c r="P72" s="192"/>
      <c r="S72" s="282"/>
      <c r="T72" s="282"/>
      <c r="U72" s="242"/>
    </row>
    <row r="73" spans="1:21" s="49" customFormat="1" ht="18" customHeight="1" x14ac:dyDescent="0.25">
      <c r="A73" s="61"/>
      <c r="B73" s="62"/>
      <c r="C73" s="62"/>
      <c r="D73" s="74" t="s">
        <v>200</v>
      </c>
      <c r="E73" s="62" t="s">
        <v>202</v>
      </c>
      <c r="F73" s="63">
        <v>28215046</v>
      </c>
      <c r="G73" s="75">
        <v>1741930</v>
      </c>
      <c r="H73" s="75">
        <v>1749275</v>
      </c>
      <c r="I73" s="75">
        <f t="shared" si="26"/>
        <v>3491205</v>
      </c>
      <c r="J73" s="75"/>
      <c r="K73" s="75"/>
      <c r="L73" s="75">
        <f t="shared" si="22"/>
        <v>0</v>
      </c>
      <c r="M73" s="75">
        <f>+I73+L73</f>
        <v>3491205</v>
      </c>
      <c r="N73" s="63">
        <f>+F73-M73</f>
        <v>24723841</v>
      </c>
      <c r="P73" s="192"/>
      <c r="S73" s="282"/>
      <c r="T73" s="281">
        <v>1749275</v>
      </c>
      <c r="U73" s="242"/>
    </row>
    <row r="74" spans="1:21" s="49" customFormat="1" ht="18" customHeight="1" x14ac:dyDescent="0.25">
      <c r="A74" s="56"/>
      <c r="B74" s="57"/>
      <c r="C74" s="57"/>
      <c r="D74" s="73" t="s">
        <v>203</v>
      </c>
      <c r="E74" s="57" t="s">
        <v>205</v>
      </c>
      <c r="F74" s="58">
        <f>+F75</f>
        <v>23975938</v>
      </c>
      <c r="G74" s="59">
        <f>G75</f>
        <v>0</v>
      </c>
      <c r="H74" s="59">
        <f>+H75</f>
        <v>0</v>
      </c>
      <c r="I74" s="59">
        <f>+I75</f>
        <v>0</v>
      </c>
      <c r="J74" s="59"/>
      <c r="K74" s="59">
        <f>+K75</f>
        <v>0</v>
      </c>
      <c r="L74" s="59">
        <f t="shared" si="22"/>
        <v>0</v>
      </c>
      <c r="M74" s="59">
        <f t="shared" ref="M74:M101" si="32">+I74+L74</f>
        <v>0</v>
      </c>
      <c r="N74" s="58">
        <f t="shared" ref="N74:N84" si="33">+F74-M74</f>
        <v>23975938</v>
      </c>
      <c r="P74" s="192"/>
      <c r="S74" s="282"/>
      <c r="T74" s="282"/>
      <c r="U74" s="242"/>
    </row>
    <row r="75" spans="1:21" s="49" customFormat="1" ht="18" customHeight="1" x14ac:dyDescent="0.25">
      <c r="A75" s="61"/>
      <c r="B75" s="62"/>
      <c r="C75" s="62"/>
      <c r="D75" s="74" t="s">
        <v>204</v>
      </c>
      <c r="E75" s="62" t="s">
        <v>206</v>
      </c>
      <c r="F75" s="63">
        <v>23975938</v>
      </c>
      <c r="G75" s="75"/>
      <c r="H75" s="75"/>
      <c r="I75" s="75">
        <f t="shared" ref="I75:I100" si="34">+G75+H75</f>
        <v>0</v>
      </c>
      <c r="J75" s="75"/>
      <c r="K75" s="75"/>
      <c r="L75" s="75">
        <f t="shared" si="22"/>
        <v>0</v>
      </c>
      <c r="M75" s="75">
        <f t="shared" si="32"/>
        <v>0</v>
      </c>
      <c r="N75" s="63">
        <f t="shared" si="33"/>
        <v>23975938</v>
      </c>
      <c r="P75" s="192"/>
      <c r="S75" s="282"/>
      <c r="T75" s="282"/>
      <c r="U75" s="242"/>
    </row>
    <row r="76" spans="1:21" s="55" customFormat="1" ht="18" customHeight="1" x14ac:dyDescent="0.25">
      <c r="A76" s="50"/>
      <c r="B76" s="51"/>
      <c r="C76" s="51"/>
      <c r="D76" s="71" t="s">
        <v>210</v>
      </c>
      <c r="E76" s="51" t="s">
        <v>211</v>
      </c>
      <c r="F76" s="53">
        <f>+F77+F79+F81</f>
        <v>2044369640</v>
      </c>
      <c r="G76" s="72">
        <f>+G77+G79+G81</f>
        <v>194118788</v>
      </c>
      <c r="H76" s="72">
        <f>+H77+H79+H81</f>
        <v>0</v>
      </c>
      <c r="I76" s="72">
        <f>+G76+H76</f>
        <v>194118788</v>
      </c>
      <c r="J76" s="72"/>
      <c r="K76" s="72">
        <f>+K77</f>
        <v>0</v>
      </c>
      <c r="L76" s="72">
        <f t="shared" si="22"/>
        <v>0</v>
      </c>
      <c r="M76" s="72">
        <f t="shared" si="32"/>
        <v>194118788</v>
      </c>
      <c r="N76" s="53">
        <f t="shared" si="33"/>
        <v>1850250852</v>
      </c>
      <c r="P76" s="195"/>
      <c r="S76" s="282"/>
      <c r="T76" s="282"/>
      <c r="U76" s="243"/>
    </row>
    <row r="77" spans="1:21" s="49" customFormat="1" ht="18" customHeight="1" x14ac:dyDescent="0.25">
      <c r="A77" s="56"/>
      <c r="B77" s="57"/>
      <c r="C77" s="57"/>
      <c r="D77" s="73" t="s">
        <v>212</v>
      </c>
      <c r="E77" s="57" t="s">
        <v>214</v>
      </c>
      <c r="F77" s="58">
        <f>+F78</f>
        <v>180000000</v>
      </c>
      <c r="G77" s="59">
        <f>+G78</f>
        <v>179148911</v>
      </c>
      <c r="H77" s="59">
        <f t="shared" ref="G77:H81" si="35">+H78</f>
        <v>0</v>
      </c>
      <c r="I77" s="59">
        <f t="shared" si="34"/>
        <v>179148911</v>
      </c>
      <c r="J77" s="59"/>
      <c r="K77" s="59">
        <f>+K78</f>
        <v>0</v>
      </c>
      <c r="L77" s="59">
        <f t="shared" si="22"/>
        <v>0</v>
      </c>
      <c r="M77" s="59">
        <f t="shared" si="32"/>
        <v>179148911</v>
      </c>
      <c r="N77" s="58">
        <f t="shared" si="33"/>
        <v>851089</v>
      </c>
      <c r="P77" s="192"/>
      <c r="S77" s="282"/>
      <c r="T77" s="282"/>
      <c r="U77" s="242"/>
    </row>
    <row r="78" spans="1:21" s="49" customFormat="1" ht="18" customHeight="1" x14ac:dyDescent="0.25">
      <c r="A78" s="61"/>
      <c r="B78" s="62"/>
      <c r="C78" s="62"/>
      <c r="D78" s="74" t="s">
        <v>213</v>
      </c>
      <c r="E78" s="62" t="s">
        <v>215</v>
      </c>
      <c r="F78" s="63">
        <v>180000000</v>
      </c>
      <c r="G78" s="75">
        <v>179148911</v>
      </c>
      <c r="H78" s="75"/>
      <c r="I78" s="75">
        <f t="shared" si="34"/>
        <v>179148911</v>
      </c>
      <c r="J78" s="75"/>
      <c r="K78" s="75"/>
      <c r="L78" s="75">
        <f t="shared" si="22"/>
        <v>0</v>
      </c>
      <c r="M78" s="75">
        <f t="shared" si="32"/>
        <v>179148911</v>
      </c>
      <c r="N78" s="63">
        <f t="shared" si="33"/>
        <v>851089</v>
      </c>
      <c r="P78" s="192"/>
      <c r="S78" s="282"/>
      <c r="T78" s="282"/>
      <c r="U78" s="242"/>
    </row>
    <row r="79" spans="1:21" s="49" customFormat="1" ht="18" customHeight="1" x14ac:dyDescent="0.25">
      <c r="A79" s="56"/>
      <c r="B79" s="57"/>
      <c r="C79" s="57"/>
      <c r="D79" s="73" t="s">
        <v>431</v>
      </c>
      <c r="E79" s="57" t="s">
        <v>432</v>
      </c>
      <c r="F79" s="58">
        <f>+F80</f>
        <v>123544200</v>
      </c>
      <c r="G79" s="59">
        <f t="shared" si="35"/>
        <v>9969877</v>
      </c>
      <c r="H79" s="59">
        <f t="shared" si="35"/>
        <v>0</v>
      </c>
      <c r="I79" s="59">
        <f>+G79+H79</f>
        <v>9969877</v>
      </c>
      <c r="J79" s="59"/>
      <c r="K79" s="59">
        <f>+K80</f>
        <v>0</v>
      </c>
      <c r="L79" s="59">
        <f t="shared" si="22"/>
        <v>0</v>
      </c>
      <c r="M79" s="59">
        <f t="shared" si="32"/>
        <v>9969877</v>
      </c>
      <c r="N79" s="58">
        <f t="shared" si="33"/>
        <v>113574323</v>
      </c>
      <c r="P79" s="192"/>
      <c r="S79" s="282"/>
      <c r="T79" s="282"/>
      <c r="U79" s="242"/>
    </row>
    <row r="80" spans="1:21" s="49" customFormat="1" ht="18" customHeight="1" x14ac:dyDescent="0.25">
      <c r="A80" s="61"/>
      <c r="B80" s="62"/>
      <c r="C80" s="62"/>
      <c r="D80" s="74" t="s">
        <v>429</v>
      </c>
      <c r="E80" s="62" t="s">
        <v>430</v>
      </c>
      <c r="F80" s="63">
        <v>123544200</v>
      </c>
      <c r="G80" s="75">
        <v>9969877</v>
      </c>
      <c r="H80" s="75"/>
      <c r="I80" s="75">
        <f>+G80+H80</f>
        <v>9969877</v>
      </c>
      <c r="J80" s="75"/>
      <c r="K80" s="75"/>
      <c r="L80" s="75"/>
      <c r="M80" s="75">
        <f t="shared" si="32"/>
        <v>9969877</v>
      </c>
      <c r="N80" s="63">
        <f>+F80-M80</f>
        <v>113574323</v>
      </c>
      <c r="P80" s="192"/>
      <c r="S80" s="282"/>
      <c r="T80" s="282"/>
      <c r="U80" s="242"/>
    </row>
    <row r="81" spans="1:21" s="49" customFormat="1" ht="18" customHeight="1" x14ac:dyDescent="0.25">
      <c r="A81" s="56"/>
      <c r="B81" s="57"/>
      <c r="C81" s="57"/>
      <c r="D81" s="73" t="s">
        <v>453</v>
      </c>
      <c r="E81" s="57" t="s">
        <v>456</v>
      </c>
      <c r="F81" s="58">
        <f>+F82</f>
        <v>1740825440</v>
      </c>
      <c r="G81" s="59">
        <f t="shared" si="35"/>
        <v>5000000</v>
      </c>
      <c r="H81" s="59">
        <f t="shared" si="35"/>
        <v>0</v>
      </c>
      <c r="I81" s="59">
        <f>+G81+H81</f>
        <v>5000000</v>
      </c>
      <c r="J81" s="59"/>
      <c r="K81" s="59">
        <f>+K82</f>
        <v>0</v>
      </c>
      <c r="L81" s="59">
        <f t="shared" ref="L81" si="36">+J81+K81</f>
        <v>0</v>
      </c>
      <c r="M81" s="59">
        <f t="shared" si="32"/>
        <v>5000000</v>
      </c>
      <c r="N81" s="58">
        <f t="shared" ref="N81" si="37">+F81-M81</f>
        <v>1735825440</v>
      </c>
      <c r="P81" s="192"/>
      <c r="S81" s="282"/>
      <c r="T81" s="282"/>
      <c r="U81" s="242"/>
    </row>
    <row r="82" spans="1:21" s="49" customFormat="1" ht="18" customHeight="1" x14ac:dyDescent="0.25">
      <c r="A82" s="61"/>
      <c r="B82" s="62"/>
      <c r="C82" s="62"/>
      <c r="D82" s="74" t="s">
        <v>454</v>
      </c>
      <c r="E82" s="62" t="s">
        <v>455</v>
      </c>
      <c r="F82" s="63">
        <v>1740825440</v>
      </c>
      <c r="G82" s="75">
        <v>5000000</v>
      </c>
      <c r="H82" s="75"/>
      <c r="I82" s="75">
        <f>+G82+H82</f>
        <v>5000000</v>
      </c>
      <c r="J82" s="75"/>
      <c r="K82" s="75"/>
      <c r="L82" s="75"/>
      <c r="M82" s="75">
        <f t="shared" si="32"/>
        <v>5000000</v>
      </c>
      <c r="N82" s="63">
        <f>+F82-M82</f>
        <v>1735825440</v>
      </c>
      <c r="P82" s="192"/>
      <c r="S82" s="282"/>
      <c r="T82" s="282"/>
      <c r="U82" s="242"/>
    </row>
    <row r="83" spans="1:21" s="55" customFormat="1" ht="18" customHeight="1" x14ac:dyDescent="0.25">
      <c r="A83" s="50"/>
      <c r="B83" s="51"/>
      <c r="C83" s="51"/>
      <c r="D83" s="71" t="s">
        <v>216</v>
      </c>
      <c r="E83" s="51" t="s">
        <v>219</v>
      </c>
      <c r="F83" s="53">
        <f>+F84+F95+F99</f>
        <v>10039198750</v>
      </c>
      <c r="G83" s="72">
        <f>+G84+G95+G99</f>
        <v>76300000</v>
      </c>
      <c r="H83" s="72">
        <f>+H84+H95+H99</f>
        <v>0</v>
      </c>
      <c r="I83" s="72">
        <f>+G83+H83</f>
        <v>76300000</v>
      </c>
      <c r="J83" s="72"/>
      <c r="K83" s="72">
        <f>+K84</f>
        <v>0</v>
      </c>
      <c r="L83" s="72">
        <f t="shared" si="22"/>
        <v>0</v>
      </c>
      <c r="M83" s="72">
        <f t="shared" si="32"/>
        <v>76300000</v>
      </c>
      <c r="N83" s="53">
        <f t="shared" si="33"/>
        <v>9962898750</v>
      </c>
      <c r="P83" s="195"/>
      <c r="S83" s="282"/>
      <c r="T83" s="282"/>
      <c r="U83" s="243"/>
    </row>
    <row r="84" spans="1:21" s="49" customFormat="1" ht="18" customHeight="1" x14ac:dyDescent="0.25">
      <c r="A84" s="56"/>
      <c r="B84" s="57"/>
      <c r="C84" s="57"/>
      <c r="D84" s="73" t="s">
        <v>217</v>
      </c>
      <c r="E84" s="57" t="s">
        <v>220</v>
      </c>
      <c r="F84" s="58">
        <f>SUM(F85:F94)</f>
        <v>8593798750</v>
      </c>
      <c r="G84" s="59">
        <f>SUM(G85:G94)</f>
        <v>0</v>
      </c>
      <c r="H84" s="59">
        <f>SUM(H85:H94)</f>
        <v>0</v>
      </c>
      <c r="I84" s="59">
        <f t="shared" si="34"/>
        <v>0</v>
      </c>
      <c r="J84" s="59"/>
      <c r="K84" s="59">
        <f>+SUM(K85:K94)</f>
        <v>0</v>
      </c>
      <c r="L84" s="59">
        <f t="shared" si="22"/>
        <v>0</v>
      </c>
      <c r="M84" s="59">
        <f t="shared" si="32"/>
        <v>0</v>
      </c>
      <c r="N84" s="58">
        <f t="shared" si="33"/>
        <v>8593798750</v>
      </c>
      <c r="P84" s="192"/>
      <c r="S84" s="282"/>
      <c r="T84" s="282"/>
      <c r="U84" s="242"/>
    </row>
    <row r="85" spans="1:21" s="49" customFormat="1" ht="18" customHeight="1" x14ac:dyDescent="0.25">
      <c r="A85" s="61"/>
      <c r="B85" s="62"/>
      <c r="C85" s="62"/>
      <c r="D85" s="74" t="s">
        <v>218</v>
      </c>
      <c r="E85" s="62" t="s">
        <v>221</v>
      </c>
      <c r="F85" s="63">
        <v>356112500</v>
      </c>
      <c r="G85" s="75"/>
      <c r="H85" s="75"/>
      <c r="I85" s="75">
        <f t="shared" si="34"/>
        <v>0</v>
      </c>
      <c r="J85" s="75"/>
      <c r="K85" s="75"/>
      <c r="L85" s="75">
        <f t="shared" si="22"/>
        <v>0</v>
      </c>
      <c r="M85" s="75">
        <f t="shared" si="32"/>
        <v>0</v>
      </c>
      <c r="N85" s="63">
        <f>+F85-M85</f>
        <v>356112500</v>
      </c>
      <c r="P85" s="192"/>
      <c r="S85" s="282"/>
      <c r="T85" s="282"/>
      <c r="U85" s="242"/>
    </row>
    <row r="86" spans="1:21" s="49" customFormat="1" ht="18" customHeight="1" x14ac:dyDescent="0.25">
      <c r="A86" s="61"/>
      <c r="B86" s="62"/>
      <c r="C86" s="62"/>
      <c r="D86" s="74" t="s">
        <v>222</v>
      </c>
      <c r="E86" s="62" t="s">
        <v>223</v>
      </c>
      <c r="F86" s="63">
        <v>413550000</v>
      </c>
      <c r="G86" s="75"/>
      <c r="H86" s="75"/>
      <c r="I86" s="75">
        <f t="shared" si="34"/>
        <v>0</v>
      </c>
      <c r="J86" s="75"/>
      <c r="K86" s="75"/>
      <c r="L86" s="75">
        <f t="shared" si="22"/>
        <v>0</v>
      </c>
      <c r="M86" s="75">
        <f t="shared" si="32"/>
        <v>0</v>
      </c>
      <c r="N86" s="63">
        <f t="shared" ref="N86:N100" si="38">+F86-M86</f>
        <v>413550000</v>
      </c>
      <c r="P86" s="192"/>
      <c r="S86" s="282"/>
      <c r="T86" s="282"/>
      <c r="U86" s="242"/>
    </row>
    <row r="87" spans="1:21" s="49" customFormat="1" ht="18" customHeight="1" x14ac:dyDescent="0.25">
      <c r="A87" s="61"/>
      <c r="B87" s="62"/>
      <c r="C87" s="62"/>
      <c r="D87" s="74" t="s">
        <v>224</v>
      </c>
      <c r="E87" s="62" t="s">
        <v>225</v>
      </c>
      <c r="F87" s="63">
        <v>45950000</v>
      </c>
      <c r="G87" s="75"/>
      <c r="H87" s="75"/>
      <c r="I87" s="75">
        <f t="shared" si="34"/>
        <v>0</v>
      </c>
      <c r="J87" s="75"/>
      <c r="K87" s="75"/>
      <c r="L87" s="75">
        <f t="shared" si="22"/>
        <v>0</v>
      </c>
      <c r="M87" s="75">
        <f t="shared" si="32"/>
        <v>0</v>
      </c>
      <c r="N87" s="63">
        <f t="shared" si="38"/>
        <v>45950000</v>
      </c>
      <c r="P87" s="192"/>
      <c r="S87" s="282"/>
      <c r="T87" s="282"/>
      <c r="U87" s="242"/>
    </row>
    <row r="88" spans="1:21" s="49" customFormat="1" ht="18" customHeight="1" x14ac:dyDescent="0.25">
      <c r="A88" s="61"/>
      <c r="B88" s="62"/>
      <c r="C88" s="62"/>
      <c r="D88" s="74" t="s">
        <v>226</v>
      </c>
      <c r="E88" s="62" t="s">
        <v>227</v>
      </c>
      <c r="F88" s="63">
        <v>252725000</v>
      </c>
      <c r="G88" s="75"/>
      <c r="H88" s="75"/>
      <c r="I88" s="75">
        <f t="shared" si="34"/>
        <v>0</v>
      </c>
      <c r="J88" s="75"/>
      <c r="K88" s="75"/>
      <c r="L88" s="75">
        <f t="shared" si="22"/>
        <v>0</v>
      </c>
      <c r="M88" s="75">
        <f t="shared" si="32"/>
        <v>0</v>
      </c>
      <c r="N88" s="63">
        <f t="shared" si="38"/>
        <v>252725000</v>
      </c>
      <c r="P88" s="192"/>
      <c r="S88" s="282"/>
      <c r="T88" s="282"/>
      <c r="U88" s="242"/>
    </row>
    <row r="89" spans="1:21" s="49" customFormat="1" ht="18" customHeight="1" x14ac:dyDescent="0.25">
      <c r="A89" s="61"/>
      <c r="B89" s="62"/>
      <c r="C89" s="62"/>
      <c r="D89" s="74" t="s">
        <v>228</v>
      </c>
      <c r="E89" s="62" t="s">
        <v>229</v>
      </c>
      <c r="F89" s="63">
        <v>3101625000</v>
      </c>
      <c r="G89" s="75"/>
      <c r="H89" s="75"/>
      <c r="I89" s="75">
        <f t="shared" si="34"/>
        <v>0</v>
      </c>
      <c r="J89" s="75"/>
      <c r="K89" s="75"/>
      <c r="L89" s="75">
        <f t="shared" si="22"/>
        <v>0</v>
      </c>
      <c r="M89" s="75">
        <f t="shared" si="32"/>
        <v>0</v>
      </c>
      <c r="N89" s="63">
        <f t="shared" si="38"/>
        <v>3101625000</v>
      </c>
      <c r="P89" s="192"/>
      <c r="S89" s="282"/>
      <c r="T89" s="282"/>
      <c r="U89" s="242"/>
    </row>
    <row r="90" spans="1:21" s="49" customFormat="1" ht="18" customHeight="1" x14ac:dyDescent="0.25">
      <c r="A90" s="61"/>
      <c r="B90" s="62"/>
      <c r="C90" s="62"/>
      <c r="D90" s="74" t="s">
        <v>230</v>
      </c>
      <c r="E90" s="62" t="s">
        <v>231</v>
      </c>
      <c r="F90" s="63">
        <v>13785000</v>
      </c>
      <c r="G90" s="75"/>
      <c r="H90" s="75"/>
      <c r="I90" s="75">
        <f t="shared" si="34"/>
        <v>0</v>
      </c>
      <c r="J90" s="75"/>
      <c r="K90" s="75"/>
      <c r="L90" s="75">
        <f t="shared" si="22"/>
        <v>0</v>
      </c>
      <c r="M90" s="75">
        <f t="shared" si="32"/>
        <v>0</v>
      </c>
      <c r="N90" s="63">
        <f t="shared" si="38"/>
        <v>13785000</v>
      </c>
      <c r="P90" s="192"/>
      <c r="S90" s="282"/>
      <c r="T90" s="282"/>
      <c r="U90" s="242"/>
    </row>
    <row r="91" spans="1:21" s="49" customFormat="1" ht="18" customHeight="1" x14ac:dyDescent="0.25">
      <c r="A91" s="61"/>
      <c r="B91" s="62"/>
      <c r="C91" s="62"/>
      <c r="D91" s="74" t="s">
        <v>232</v>
      </c>
      <c r="E91" s="62" t="s">
        <v>233</v>
      </c>
      <c r="F91" s="63">
        <v>126362500</v>
      </c>
      <c r="G91" s="75"/>
      <c r="H91" s="75"/>
      <c r="I91" s="75">
        <f t="shared" si="34"/>
        <v>0</v>
      </c>
      <c r="J91" s="75"/>
      <c r="K91" s="75"/>
      <c r="L91" s="75">
        <f t="shared" si="22"/>
        <v>0</v>
      </c>
      <c r="M91" s="75">
        <f t="shared" si="32"/>
        <v>0</v>
      </c>
      <c r="N91" s="63">
        <f t="shared" si="38"/>
        <v>126362500</v>
      </c>
      <c r="P91" s="192"/>
      <c r="S91" s="282"/>
      <c r="T91" s="282"/>
      <c r="U91" s="242"/>
    </row>
    <row r="92" spans="1:21" s="49" customFormat="1" ht="19.5" customHeight="1" x14ac:dyDescent="0.25">
      <c r="A92" s="171"/>
      <c r="B92" s="162"/>
      <c r="C92" s="162"/>
      <c r="D92" s="267" t="s">
        <v>234</v>
      </c>
      <c r="E92" s="172" t="s">
        <v>235</v>
      </c>
      <c r="F92" s="173">
        <v>2297500</v>
      </c>
      <c r="G92" s="163"/>
      <c r="H92" s="163"/>
      <c r="I92" s="163">
        <f t="shared" si="34"/>
        <v>0</v>
      </c>
      <c r="J92" s="163"/>
      <c r="K92" s="163"/>
      <c r="L92" s="163">
        <f t="shared" si="22"/>
        <v>0</v>
      </c>
      <c r="M92" s="163">
        <f t="shared" si="32"/>
        <v>0</v>
      </c>
      <c r="N92" s="173">
        <f t="shared" si="38"/>
        <v>2297500</v>
      </c>
      <c r="P92" s="192"/>
      <c r="S92" s="282"/>
      <c r="T92" s="282"/>
      <c r="U92" s="242"/>
    </row>
    <row r="93" spans="1:21" s="49" customFormat="1" ht="30.75" customHeight="1" x14ac:dyDescent="0.25">
      <c r="A93" s="171"/>
      <c r="B93" s="162"/>
      <c r="C93" s="162"/>
      <c r="D93" s="267" t="s">
        <v>236</v>
      </c>
      <c r="E93" s="172" t="s">
        <v>237</v>
      </c>
      <c r="F93" s="173">
        <v>1156791250</v>
      </c>
      <c r="G93" s="163"/>
      <c r="H93" s="163"/>
      <c r="I93" s="163">
        <f t="shared" si="34"/>
        <v>0</v>
      </c>
      <c r="J93" s="163"/>
      <c r="K93" s="163"/>
      <c r="L93" s="163">
        <f t="shared" si="22"/>
        <v>0</v>
      </c>
      <c r="M93" s="163">
        <f t="shared" si="32"/>
        <v>0</v>
      </c>
      <c r="N93" s="173">
        <f t="shared" si="38"/>
        <v>1156791250</v>
      </c>
      <c r="P93" s="192"/>
      <c r="S93" s="282"/>
      <c r="T93" s="282"/>
      <c r="U93" s="242"/>
    </row>
    <row r="94" spans="1:21" s="49" customFormat="1" ht="31.5" x14ac:dyDescent="0.25">
      <c r="A94" s="171"/>
      <c r="B94" s="162"/>
      <c r="C94" s="162"/>
      <c r="D94" s="267" t="s">
        <v>238</v>
      </c>
      <c r="E94" s="172" t="s">
        <v>239</v>
      </c>
      <c r="F94" s="173">
        <v>3124600000</v>
      </c>
      <c r="G94" s="163"/>
      <c r="H94" s="163"/>
      <c r="I94" s="163">
        <f t="shared" si="34"/>
        <v>0</v>
      </c>
      <c r="J94" s="163"/>
      <c r="K94" s="163"/>
      <c r="L94" s="163">
        <f t="shared" si="22"/>
        <v>0</v>
      </c>
      <c r="M94" s="163">
        <f t="shared" si="32"/>
        <v>0</v>
      </c>
      <c r="N94" s="173">
        <f t="shared" si="38"/>
        <v>3124600000</v>
      </c>
      <c r="P94" s="192"/>
      <c r="S94" s="282"/>
      <c r="T94" s="282"/>
      <c r="U94" s="242"/>
    </row>
    <row r="95" spans="1:21" s="49" customFormat="1" ht="18" customHeight="1" x14ac:dyDescent="0.25">
      <c r="A95" s="56"/>
      <c r="B95" s="57"/>
      <c r="C95" s="57"/>
      <c r="D95" s="73" t="s">
        <v>433</v>
      </c>
      <c r="E95" s="57" t="s">
        <v>434</v>
      </c>
      <c r="F95" s="58">
        <f>+F96+F97+F98</f>
        <v>984100000</v>
      </c>
      <c r="G95" s="59">
        <f>+G96+G97</f>
        <v>42050000</v>
      </c>
      <c r="H95" s="59">
        <f>+H96+H97</f>
        <v>0</v>
      </c>
      <c r="I95" s="59">
        <f>+G95+H95</f>
        <v>42050000</v>
      </c>
      <c r="J95" s="59">
        <f>+J96+J97</f>
        <v>0</v>
      </c>
      <c r="K95" s="59">
        <f>+SUM(K101:K110)</f>
        <v>0</v>
      </c>
      <c r="L95" s="59">
        <f>+J95+K95</f>
        <v>0</v>
      </c>
      <c r="M95" s="59">
        <f t="shared" si="32"/>
        <v>42050000</v>
      </c>
      <c r="N95" s="58">
        <f t="shared" si="38"/>
        <v>942050000</v>
      </c>
      <c r="P95" s="192"/>
      <c r="S95" s="282"/>
      <c r="T95" s="282"/>
      <c r="U95" s="242"/>
    </row>
    <row r="96" spans="1:21" s="49" customFormat="1" ht="18" customHeight="1" x14ac:dyDescent="0.25">
      <c r="A96" s="61"/>
      <c r="B96" s="62"/>
      <c r="C96" s="62"/>
      <c r="D96" s="74" t="s">
        <v>435</v>
      </c>
      <c r="E96" s="62" t="s">
        <v>437</v>
      </c>
      <c r="F96" s="63">
        <v>516750000</v>
      </c>
      <c r="G96" s="75">
        <v>40950000</v>
      </c>
      <c r="H96" s="75"/>
      <c r="I96" s="75">
        <f t="shared" si="34"/>
        <v>40950000</v>
      </c>
      <c r="J96" s="75"/>
      <c r="K96" s="75"/>
      <c r="L96" s="75">
        <f t="shared" si="22"/>
        <v>0</v>
      </c>
      <c r="M96" s="75">
        <f t="shared" si="32"/>
        <v>40950000</v>
      </c>
      <c r="N96" s="63">
        <f t="shared" si="38"/>
        <v>475800000</v>
      </c>
      <c r="P96" s="192"/>
      <c r="S96" s="282"/>
      <c r="T96" s="282"/>
      <c r="U96" s="242"/>
    </row>
    <row r="97" spans="1:21" s="49" customFormat="1" ht="18" customHeight="1" x14ac:dyDescent="0.25">
      <c r="A97" s="61"/>
      <c r="B97" s="62"/>
      <c r="C97" s="62"/>
      <c r="D97" s="74" t="s">
        <v>436</v>
      </c>
      <c r="E97" s="62" t="s">
        <v>438</v>
      </c>
      <c r="F97" s="63">
        <v>19500000</v>
      </c>
      <c r="G97" s="75">
        <v>1100000</v>
      </c>
      <c r="H97" s="75"/>
      <c r="I97" s="75">
        <f t="shared" si="34"/>
        <v>1100000</v>
      </c>
      <c r="J97" s="75"/>
      <c r="K97" s="75"/>
      <c r="L97" s="75">
        <f t="shared" si="22"/>
        <v>0</v>
      </c>
      <c r="M97" s="75">
        <f t="shared" si="32"/>
        <v>1100000</v>
      </c>
      <c r="N97" s="63">
        <f t="shared" si="38"/>
        <v>18400000</v>
      </c>
      <c r="P97" s="192"/>
      <c r="S97" s="282"/>
      <c r="T97" s="282"/>
      <c r="U97" s="242"/>
    </row>
    <row r="98" spans="1:21" s="49" customFormat="1" ht="18" customHeight="1" x14ac:dyDescent="0.25">
      <c r="A98" s="61"/>
      <c r="B98" s="62"/>
      <c r="C98" s="62"/>
      <c r="D98" s="74" t="s">
        <v>457</v>
      </c>
      <c r="E98" s="62" t="s">
        <v>458</v>
      </c>
      <c r="F98" s="63">
        <v>447850000</v>
      </c>
      <c r="G98" s="75"/>
      <c r="H98" s="75"/>
      <c r="I98" s="75">
        <f t="shared" si="34"/>
        <v>0</v>
      </c>
      <c r="J98" s="75"/>
      <c r="K98" s="75"/>
      <c r="L98" s="75">
        <f t="shared" si="22"/>
        <v>0</v>
      </c>
      <c r="M98" s="75">
        <f t="shared" si="32"/>
        <v>0</v>
      </c>
      <c r="N98" s="63">
        <f t="shared" si="38"/>
        <v>447850000</v>
      </c>
      <c r="P98" s="192"/>
      <c r="S98" s="282"/>
      <c r="T98" s="282"/>
      <c r="U98" s="242"/>
    </row>
    <row r="99" spans="1:21" s="49" customFormat="1" ht="18" customHeight="1" x14ac:dyDescent="0.25">
      <c r="A99" s="56"/>
      <c r="B99" s="57"/>
      <c r="C99" s="57"/>
      <c r="D99" s="73" t="s">
        <v>439</v>
      </c>
      <c r="E99" s="57" t="s">
        <v>442</v>
      </c>
      <c r="F99" s="58">
        <f>+F100</f>
        <v>461300000</v>
      </c>
      <c r="G99" s="59">
        <f>+G100</f>
        <v>34250000</v>
      </c>
      <c r="H99" s="59">
        <f>+H100</f>
        <v>0</v>
      </c>
      <c r="I99" s="59">
        <f t="shared" si="34"/>
        <v>34250000</v>
      </c>
      <c r="J99" s="59"/>
      <c r="K99" s="59">
        <f>+SUM(K104:K113)</f>
        <v>2990625</v>
      </c>
      <c r="L99" s="59">
        <f t="shared" si="22"/>
        <v>2990625</v>
      </c>
      <c r="M99" s="59">
        <f t="shared" si="32"/>
        <v>37240625</v>
      </c>
      <c r="N99" s="58">
        <f t="shared" si="38"/>
        <v>424059375</v>
      </c>
      <c r="P99" s="192"/>
      <c r="S99" s="282"/>
      <c r="T99" s="282"/>
      <c r="U99" s="242"/>
    </row>
    <row r="100" spans="1:21" s="49" customFormat="1" ht="18" customHeight="1" x14ac:dyDescent="0.25">
      <c r="A100" s="61"/>
      <c r="B100" s="62"/>
      <c r="C100" s="62"/>
      <c r="D100" s="74" t="s">
        <v>440</v>
      </c>
      <c r="E100" s="62" t="s">
        <v>441</v>
      </c>
      <c r="F100" s="63">
        <v>461300000</v>
      </c>
      <c r="G100" s="75">
        <v>34250000</v>
      </c>
      <c r="H100" s="75"/>
      <c r="I100" s="75">
        <f t="shared" si="34"/>
        <v>34250000</v>
      </c>
      <c r="J100" s="75"/>
      <c r="K100" s="75"/>
      <c r="L100" s="75">
        <f t="shared" si="22"/>
        <v>0</v>
      </c>
      <c r="M100" s="75">
        <f t="shared" si="32"/>
        <v>34250000</v>
      </c>
      <c r="N100" s="63">
        <f t="shared" si="38"/>
        <v>427050000</v>
      </c>
      <c r="P100" s="192"/>
      <c r="S100" s="282"/>
      <c r="T100" s="282"/>
      <c r="U100" s="242"/>
    </row>
    <row r="101" spans="1:21" s="55" customFormat="1" ht="18" customHeight="1" x14ac:dyDescent="0.25">
      <c r="A101" s="50"/>
      <c r="B101" s="51"/>
      <c r="C101" s="51"/>
      <c r="D101" s="71" t="s">
        <v>240</v>
      </c>
      <c r="E101" s="51" t="s">
        <v>241</v>
      </c>
      <c r="F101" s="53">
        <f>+F102</f>
        <v>757451250</v>
      </c>
      <c r="G101" s="72">
        <f>+G102</f>
        <v>0</v>
      </c>
      <c r="H101" s="72">
        <f>+H102</f>
        <v>0</v>
      </c>
      <c r="I101" s="72">
        <f>+G101+H101</f>
        <v>0</v>
      </c>
      <c r="J101" s="72">
        <f>+J102</f>
        <v>0</v>
      </c>
      <c r="K101" s="72">
        <f>+K102</f>
        <v>0</v>
      </c>
      <c r="L101" s="72">
        <f>+J101+K101</f>
        <v>0</v>
      </c>
      <c r="M101" s="72">
        <f t="shared" si="32"/>
        <v>0</v>
      </c>
      <c r="N101" s="53">
        <f>+F101-M101</f>
        <v>757451250</v>
      </c>
      <c r="P101" s="195"/>
      <c r="S101" s="282"/>
      <c r="T101" s="282"/>
      <c r="U101" s="243"/>
    </row>
    <row r="102" spans="1:21" s="49" customFormat="1" ht="18" customHeight="1" x14ac:dyDescent="0.25">
      <c r="A102" s="56"/>
      <c r="B102" s="57"/>
      <c r="C102" s="57"/>
      <c r="D102" s="73" t="s">
        <v>242</v>
      </c>
      <c r="E102" s="57" t="s">
        <v>409</v>
      </c>
      <c r="F102" s="58">
        <f>SUM(F103:F112)</f>
        <v>757451250</v>
      </c>
      <c r="G102" s="59">
        <f>SUM(G103:G112)</f>
        <v>0</v>
      </c>
      <c r="H102" s="59">
        <f>SUM(H103:H112)</f>
        <v>0</v>
      </c>
      <c r="I102" s="59">
        <f>+G102+H102</f>
        <v>0</v>
      </c>
      <c r="J102" s="59">
        <f>SUM(J103:J112)</f>
        <v>0</v>
      </c>
      <c r="K102" s="59">
        <f>SUM(K103:K112)</f>
        <v>0</v>
      </c>
      <c r="L102" s="59">
        <f>+J102+K102</f>
        <v>0</v>
      </c>
      <c r="M102" s="59">
        <f>+I102+L102</f>
        <v>0</v>
      </c>
      <c r="N102" s="58">
        <f>+F102-M102</f>
        <v>757451250</v>
      </c>
      <c r="P102" s="192"/>
      <c r="S102" s="282"/>
      <c r="T102" s="282"/>
      <c r="U102" s="242"/>
    </row>
    <row r="103" spans="1:21" s="49" customFormat="1" ht="18" customHeight="1" x14ac:dyDescent="0.25">
      <c r="A103" s="61"/>
      <c r="B103" s="62"/>
      <c r="C103" s="62"/>
      <c r="D103" s="74" t="s">
        <v>243</v>
      </c>
      <c r="E103" s="62" t="s">
        <v>331</v>
      </c>
      <c r="F103" s="63">
        <v>31387500</v>
      </c>
      <c r="G103" s="75"/>
      <c r="H103" s="75"/>
      <c r="I103" s="75">
        <f t="shared" ref="I103:I110" si="39">+G103+H103</f>
        <v>0</v>
      </c>
      <c r="J103" s="75"/>
      <c r="K103" s="75"/>
      <c r="L103" s="75">
        <f t="shared" si="22"/>
        <v>0</v>
      </c>
      <c r="M103" s="75">
        <f t="shared" ref="M103:M112" si="40">+I103+L103</f>
        <v>0</v>
      </c>
      <c r="N103" s="63">
        <f t="shared" ref="N103:N108" si="41">+F103-M103</f>
        <v>31387500</v>
      </c>
      <c r="P103" s="192"/>
      <c r="S103" s="282"/>
      <c r="T103" s="282"/>
      <c r="U103" s="242"/>
    </row>
    <row r="104" spans="1:21" s="49" customFormat="1" ht="18" customHeight="1" x14ac:dyDescent="0.25">
      <c r="A104" s="61"/>
      <c r="B104" s="62"/>
      <c r="C104" s="62"/>
      <c r="D104" s="74" t="s">
        <v>244</v>
      </c>
      <c r="E104" s="62" t="s">
        <v>245</v>
      </c>
      <c r="F104" s="63">
        <v>36450000</v>
      </c>
      <c r="G104" s="75"/>
      <c r="H104" s="75"/>
      <c r="I104" s="75">
        <f t="shared" si="39"/>
        <v>0</v>
      </c>
      <c r="J104" s="75"/>
      <c r="K104" s="75"/>
      <c r="L104" s="75">
        <f t="shared" si="22"/>
        <v>0</v>
      </c>
      <c r="M104" s="75">
        <f t="shared" si="40"/>
        <v>0</v>
      </c>
      <c r="N104" s="63">
        <f t="shared" si="41"/>
        <v>36450000</v>
      </c>
      <c r="P104" s="192"/>
      <c r="S104" s="282"/>
      <c r="T104" s="282"/>
      <c r="U104" s="242"/>
    </row>
    <row r="105" spans="1:21" s="49" customFormat="1" ht="18" customHeight="1" x14ac:dyDescent="0.25">
      <c r="A105" s="61"/>
      <c r="B105" s="62"/>
      <c r="C105" s="62"/>
      <c r="D105" s="74" t="s">
        <v>246</v>
      </c>
      <c r="E105" s="62" t="s">
        <v>247</v>
      </c>
      <c r="F105" s="63">
        <v>4050000</v>
      </c>
      <c r="G105" s="75"/>
      <c r="H105" s="75"/>
      <c r="I105" s="75">
        <f t="shared" si="39"/>
        <v>0</v>
      </c>
      <c r="J105" s="75"/>
      <c r="K105" s="75"/>
      <c r="L105" s="75">
        <f t="shared" si="22"/>
        <v>0</v>
      </c>
      <c r="M105" s="75">
        <f t="shared" si="40"/>
        <v>0</v>
      </c>
      <c r="N105" s="63">
        <f t="shared" si="41"/>
        <v>4050000</v>
      </c>
      <c r="P105" s="192"/>
      <c r="S105" s="282"/>
      <c r="T105" s="282"/>
      <c r="U105" s="242"/>
    </row>
    <row r="106" spans="1:21" s="49" customFormat="1" ht="18" customHeight="1" x14ac:dyDescent="0.25">
      <c r="A106" s="61"/>
      <c r="B106" s="62"/>
      <c r="C106" s="62"/>
      <c r="D106" s="74" t="s">
        <v>248</v>
      </c>
      <c r="E106" s="62" t="s">
        <v>249</v>
      </c>
      <c r="F106" s="63">
        <v>22275000</v>
      </c>
      <c r="G106" s="75"/>
      <c r="H106" s="75"/>
      <c r="I106" s="75">
        <f t="shared" si="39"/>
        <v>0</v>
      </c>
      <c r="J106" s="75"/>
      <c r="K106" s="75"/>
      <c r="L106" s="75">
        <f t="shared" si="22"/>
        <v>0</v>
      </c>
      <c r="M106" s="75">
        <f t="shared" si="40"/>
        <v>0</v>
      </c>
      <c r="N106" s="63">
        <f t="shared" si="41"/>
        <v>22275000</v>
      </c>
      <c r="P106" s="192"/>
      <c r="S106" s="282"/>
      <c r="T106" s="282"/>
      <c r="U106" s="242"/>
    </row>
    <row r="107" spans="1:21" s="49" customFormat="1" ht="18" customHeight="1" x14ac:dyDescent="0.25">
      <c r="A107" s="61"/>
      <c r="B107" s="62"/>
      <c r="C107" s="62"/>
      <c r="D107" s="74" t="s">
        <v>250</v>
      </c>
      <c r="E107" s="62" t="s">
        <v>251</v>
      </c>
      <c r="F107" s="63">
        <v>273375000</v>
      </c>
      <c r="G107" s="75"/>
      <c r="H107" s="75"/>
      <c r="I107" s="75">
        <f t="shared" si="39"/>
        <v>0</v>
      </c>
      <c r="J107" s="75"/>
      <c r="K107" s="75"/>
      <c r="L107" s="75">
        <f t="shared" si="22"/>
        <v>0</v>
      </c>
      <c r="M107" s="75">
        <f t="shared" si="40"/>
        <v>0</v>
      </c>
      <c r="N107" s="63">
        <f t="shared" si="41"/>
        <v>273375000</v>
      </c>
      <c r="P107" s="192"/>
      <c r="S107" s="282"/>
      <c r="T107" s="282"/>
      <c r="U107" s="242"/>
    </row>
    <row r="108" spans="1:21" s="49" customFormat="1" ht="18" customHeight="1" x14ac:dyDescent="0.25">
      <c r="A108" s="61"/>
      <c r="B108" s="62"/>
      <c r="C108" s="62"/>
      <c r="D108" s="74" t="s">
        <v>252</v>
      </c>
      <c r="E108" s="62" t="s">
        <v>253</v>
      </c>
      <c r="F108" s="63">
        <v>1215000</v>
      </c>
      <c r="G108" s="75"/>
      <c r="H108" s="75"/>
      <c r="I108" s="75">
        <f t="shared" si="39"/>
        <v>0</v>
      </c>
      <c r="J108" s="75"/>
      <c r="K108" s="75"/>
      <c r="L108" s="75">
        <f t="shared" si="22"/>
        <v>0</v>
      </c>
      <c r="M108" s="75">
        <f t="shared" si="40"/>
        <v>0</v>
      </c>
      <c r="N108" s="63">
        <f t="shared" si="41"/>
        <v>1215000</v>
      </c>
      <c r="P108" s="192"/>
      <c r="S108" s="282"/>
      <c r="T108" s="282"/>
      <c r="U108" s="242"/>
    </row>
    <row r="109" spans="1:21" s="49" customFormat="1" ht="18" customHeight="1" x14ac:dyDescent="0.25">
      <c r="A109" s="61"/>
      <c r="B109" s="62"/>
      <c r="C109" s="62"/>
      <c r="D109" s="74" t="s">
        <v>254</v>
      </c>
      <c r="E109" s="62" t="s">
        <v>255</v>
      </c>
      <c r="F109" s="63">
        <v>11137500</v>
      </c>
      <c r="G109" s="75"/>
      <c r="H109" s="75"/>
      <c r="I109" s="75">
        <f t="shared" si="39"/>
        <v>0</v>
      </c>
      <c r="J109" s="75"/>
      <c r="K109" s="75"/>
      <c r="L109" s="75">
        <f t="shared" si="22"/>
        <v>0</v>
      </c>
      <c r="M109" s="75">
        <f t="shared" si="40"/>
        <v>0</v>
      </c>
      <c r="N109" s="63">
        <f>+F109-M109</f>
        <v>11137500</v>
      </c>
      <c r="P109" s="192"/>
      <c r="S109" s="282"/>
      <c r="T109" s="282"/>
      <c r="U109" s="242"/>
    </row>
    <row r="110" spans="1:21" s="49" customFormat="1" ht="32.25" customHeight="1" x14ac:dyDescent="0.25">
      <c r="A110" s="171"/>
      <c r="B110" s="162"/>
      <c r="C110" s="162"/>
      <c r="D110" s="267" t="s">
        <v>256</v>
      </c>
      <c r="E110" s="172" t="s">
        <v>257</v>
      </c>
      <c r="F110" s="173">
        <v>202500</v>
      </c>
      <c r="G110" s="163"/>
      <c r="H110" s="163"/>
      <c r="I110" s="163">
        <f t="shared" si="39"/>
        <v>0</v>
      </c>
      <c r="J110" s="163"/>
      <c r="K110" s="163"/>
      <c r="L110" s="163">
        <f t="shared" si="22"/>
        <v>0</v>
      </c>
      <c r="M110" s="163">
        <f t="shared" si="40"/>
        <v>0</v>
      </c>
      <c r="N110" s="173">
        <f>+F110-M110</f>
        <v>202500</v>
      </c>
      <c r="P110" s="192"/>
      <c r="S110" s="282"/>
      <c r="T110" s="282"/>
      <c r="U110" s="242"/>
    </row>
    <row r="111" spans="1:21" s="49" customFormat="1" ht="31.5" x14ac:dyDescent="0.25">
      <c r="A111" s="171"/>
      <c r="B111" s="162"/>
      <c r="C111" s="162"/>
      <c r="D111" s="267" t="s">
        <v>258</v>
      </c>
      <c r="E111" s="172" t="s">
        <v>259</v>
      </c>
      <c r="F111" s="173">
        <v>101958750</v>
      </c>
      <c r="G111" s="163"/>
      <c r="H111" s="163"/>
      <c r="I111" s="163">
        <f>+G111+H111</f>
        <v>0</v>
      </c>
      <c r="J111" s="163"/>
      <c r="K111" s="163"/>
      <c r="L111" s="163">
        <f t="shared" si="22"/>
        <v>0</v>
      </c>
      <c r="M111" s="163">
        <f t="shared" si="40"/>
        <v>0</v>
      </c>
      <c r="N111" s="173">
        <f>+F111-M111</f>
        <v>101958750</v>
      </c>
      <c r="P111" s="192"/>
      <c r="S111" s="282"/>
      <c r="T111" s="282"/>
      <c r="U111" s="242"/>
    </row>
    <row r="112" spans="1:21" s="134" customFormat="1" ht="31.5" x14ac:dyDescent="0.25">
      <c r="A112" s="165"/>
      <c r="B112" s="166"/>
      <c r="C112" s="166"/>
      <c r="D112" s="268" t="s">
        <v>260</v>
      </c>
      <c r="E112" s="167" t="s">
        <v>261</v>
      </c>
      <c r="F112" s="168">
        <v>275400000</v>
      </c>
      <c r="G112" s="169"/>
      <c r="H112" s="169"/>
      <c r="I112" s="169">
        <f t="shared" ref="I112" si="42">+G112+H112</f>
        <v>0</v>
      </c>
      <c r="J112" s="169"/>
      <c r="K112" s="169"/>
      <c r="L112" s="169">
        <f t="shared" si="22"/>
        <v>0</v>
      </c>
      <c r="M112" s="169">
        <f t="shared" si="40"/>
        <v>0</v>
      </c>
      <c r="N112" s="168">
        <f>+F112-M112</f>
        <v>275400000</v>
      </c>
      <c r="P112" s="197"/>
      <c r="S112" s="286"/>
      <c r="T112" s="286"/>
      <c r="U112" s="247"/>
    </row>
    <row r="113" spans="1:21" s="121" customFormat="1" ht="18" customHeight="1" x14ac:dyDescent="0.25">
      <c r="A113" s="116">
        <v>4</v>
      </c>
      <c r="B113" s="117"/>
      <c r="C113" s="117" t="s">
        <v>84</v>
      </c>
      <c r="D113" s="118"/>
      <c r="E113" s="128" t="s">
        <v>85</v>
      </c>
      <c r="F113" s="119">
        <f>+F114</f>
        <v>31153000</v>
      </c>
      <c r="G113" s="120">
        <f t="shared" ref="F113:H114" si="43">+G114</f>
        <v>0</v>
      </c>
      <c r="H113" s="120">
        <f t="shared" si="43"/>
        <v>0</v>
      </c>
      <c r="I113" s="120">
        <f>+G113+H113</f>
        <v>0</v>
      </c>
      <c r="J113" s="120">
        <f>+J114</f>
        <v>0</v>
      </c>
      <c r="K113" s="120">
        <f>+K114</f>
        <v>2990625</v>
      </c>
      <c r="L113" s="120">
        <f>+J113+K113</f>
        <v>2990625</v>
      </c>
      <c r="M113" s="120">
        <f>+I113+L113</f>
        <v>2990625</v>
      </c>
      <c r="N113" s="119">
        <f>+F113-M113</f>
        <v>28162375</v>
      </c>
      <c r="P113" s="190"/>
      <c r="R113" s="122"/>
      <c r="S113" s="283"/>
      <c r="T113" s="283"/>
      <c r="U113" s="246"/>
    </row>
    <row r="114" spans="1:21" s="107" customFormat="1" ht="18" customHeight="1" x14ac:dyDescent="0.25">
      <c r="A114" s="101"/>
      <c r="B114" s="102"/>
      <c r="C114" s="102"/>
      <c r="D114" s="103" t="s">
        <v>207</v>
      </c>
      <c r="E114" s="104" t="s">
        <v>262</v>
      </c>
      <c r="F114" s="105">
        <f t="shared" si="43"/>
        <v>31153000</v>
      </c>
      <c r="G114" s="106">
        <f t="shared" si="43"/>
        <v>0</v>
      </c>
      <c r="H114" s="106">
        <f t="shared" si="43"/>
        <v>0</v>
      </c>
      <c r="I114" s="106">
        <f>+G114+H114</f>
        <v>0</v>
      </c>
      <c r="J114" s="106">
        <f t="shared" ref="J114:K116" si="44">+J115</f>
        <v>0</v>
      </c>
      <c r="K114" s="106">
        <f t="shared" si="44"/>
        <v>2990625</v>
      </c>
      <c r="L114" s="106">
        <f>+J114+K114</f>
        <v>2990625</v>
      </c>
      <c r="M114" s="106">
        <f t="shared" ref="M114:M120" si="45">+I114+L114</f>
        <v>2990625</v>
      </c>
      <c r="N114" s="105">
        <f t="shared" ref="N114:N117" si="46">+F114-M114</f>
        <v>28162375</v>
      </c>
      <c r="P114" s="191"/>
      <c r="R114" s="108"/>
      <c r="S114" s="284"/>
      <c r="T114" s="284"/>
      <c r="U114" s="241"/>
    </row>
    <row r="115" spans="1:21" s="49" customFormat="1" ht="18" customHeight="1" x14ac:dyDescent="0.25">
      <c r="A115" s="44"/>
      <c r="B115" s="77"/>
      <c r="C115" s="77"/>
      <c r="D115" s="45" t="s">
        <v>63</v>
      </c>
      <c r="E115" s="45" t="s">
        <v>30</v>
      </c>
      <c r="F115" s="47">
        <f>F116</f>
        <v>31153000</v>
      </c>
      <c r="G115" s="70">
        <f>+G116</f>
        <v>0</v>
      </c>
      <c r="H115" s="70">
        <f>+H116</f>
        <v>0</v>
      </c>
      <c r="I115" s="70">
        <f>+G115+H115</f>
        <v>0</v>
      </c>
      <c r="J115" s="70">
        <f>+J116</f>
        <v>0</v>
      </c>
      <c r="K115" s="70">
        <f t="shared" si="44"/>
        <v>2990625</v>
      </c>
      <c r="L115" s="70">
        <f>+J115+K115</f>
        <v>2990625</v>
      </c>
      <c r="M115" s="70">
        <f t="shared" si="45"/>
        <v>2990625</v>
      </c>
      <c r="N115" s="47">
        <f t="shared" si="46"/>
        <v>28162375</v>
      </c>
      <c r="P115" s="192"/>
      <c r="S115" s="282"/>
      <c r="T115" s="282"/>
      <c r="U115" s="242"/>
    </row>
    <row r="116" spans="1:21" s="55" customFormat="1" ht="18" customHeight="1" x14ac:dyDescent="0.25">
      <c r="A116" s="50"/>
      <c r="B116" s="51"/>
      <c r="C116" s="51"/>
      <c r="D116" s="51" t="s">
        <v>263</v>
      </c>
      <c r="E116" s="52" t="s">
        <v>264</v>
      </c>
      <c r="F116" s="53">
        <f>+F117</f>
        <v>31153000</v>
      </c>
      <c r="G116" s="54">
        <f>+G117</f>
        <v>0</v>
      </c>
      <c r="H116" s="54">
        <f>+H117</f>
        <v>0</v>
      </c>
      <c r="I116" s="54">
        <f>+G116+H116</f>
        <v>0</v>
      </c>
      <c r="J116" s="54">
        <f t="shared" si="44"/>
        <v>0</v>
      </c>
      <c r="K116" s="54">
        <f t="shared" si="44"/>
        <v>2990625</v>
      </c>
      <c r="L116" s="54">
        <f>+J116+K116</f>
        <v>2990625</v>
      </c>
      <c r="M116" s="54">
        <f t="shared" si="45"/>
        <v>2990625</v>
      </c>
      <c r="N116" s="53">
        <f t="shared" si="46"/>
        <v>28162375</v>
      </c>
      <c r="P116" s="195"/>
      <c r="S116" s="282"/>
      <c r="T116" s="282"/>
      <c r="U116" s="243"/>
    </row>
    <row r="117" spans="1:21" s="49" customFormat="1" ht="18" customHeight="1" x14ac:dyDescent="0.25">
      <c r="A117" s="56"/>
      <c r="B117" s="78"/>
      <c r="C117" s="78"/>
      <c r="D117" s="57" t="s">
        <v>64</v>
      </c>
      <c r="E117" s="57" t="s">
        <v>65</v>
      </c>
      <c r="F117" s="58">
        <f>F118+F119+F120</f>
        <v>31153000</v>
      </c>
      <c r="G117" s="59">
        <f>SUM(G118:G120)</f>
        <v>0</v>
      </c>
      <c r="H117" s="59">
        <f>SUM(H118:H120)</f>
        <v>0</v>
      </c>
      <c r="I117" s="59">
        <f>+G117+H117</f>
        <v>0</v>
      </c>
      <c r="J117" s="59">
        <f>SUM(J118:J120)</f>
        <v>0</v>
      </c>
      <c r="K117" s="59">
        <f>SUM(K118:K120)</f>
        <v>2990625</v>
      </c>
      <c r="L117" s="59">
        <f>+J117+K117</f>
        <v>2990625</v>
      </c>
      <c r="M117" s="59">
        <f t="shared" si="45"/>
        <v>2990625</v>
      </c>
      <c r="N117" s="58">
        <f t="shared" si="46"/>
        <v>28162375</v>
      </c>
      <c r="P117" s="192"/>
      <c r="S117" s="282"/>
      <c r="T117" s="282"/>
      <c r="U117" s="242"/>
    </row>
    <row r="118" spans="1:21" s="49" customFormat="1" ht="18" customHeight="1" x14ac:dyDescent="0.25">
      <c r="A118" s="61"/>
      <c r="B118" s="79"/>
      <c r="C118" s="79"/>
      <c r="D118" s="62" t="s">
        <v>66</v>
      </c>
      <c r="E118" s="62" t="s">
        <v>67</v>
      </c>
      <c r="F118" s="63">
        <v>1447000</v>
      </c>
      <c r="G118" s="75"/>
      <c r="H118" s="75"/>
      <c r="I118" s="75">
        <f t="shared" ref="I118:I120" si="47">+G118+H118</f>
        <v>0</v>
      </c>
      <c r="J118" s="75"/>
      <c r="K118" s="75"/>
      <c r="L118" s="75">
        <f t="shared" ref="L118:L120" si="48">+J118+K118</f>
        <v>0</v>
      </c>
      <c r="M118" s="75">
        <f t="shared" si="45"/>
        <v>0</v>
      </c>
      <c r="N118" s="63">
        <f>+F118-M118</f>
        <v>1447000</v>
      </c>
      <c r="P118" s="192"/>
      <c r="S118" s="281">
        <f>999375+995625+995625</f>
        <v>2990625</v>
      </c>
      <c r="T118" s="282"/>
      <c r="U118" s="242"/>
    </row>
    <row r="119" spans="1:21" s="49" customFormat="1" ht="18" customHeight="1" x14ac:dyDescent="0.25">
      <c r="A119" s="61"/>
      <c r="B119" s="79"/>
      <c r="C119" s="79"/>
      <c r="D119" s="62" t="s">
        <v>337</v>
      </c>
      <c r="E119" s="62" t="s">
        <v>338</v>
      </c>
      <c r="F119" s="63">
        <v>3792000</v>
      </c>
      <c r="G119" s="75"/>
      <c r="H119" s="75"/>
      <c r="I119" s="75">
        <f t="shared" si="47"/>
        <v>0</v>
      </c>
      <c r="J119" s="75"/>
      <c r="K119" s="75"/>
      <c r="L119" s="75">
        <f t="shared" si="48"/>
        <v>0</v>
      </c>
      <c r="M119" s="75">
        <f t="shared" si="45"/>
        <v>0</v>
      </c>
      <c r="N119" s="63">
        <f t="shared" ref="N119:N120" si="49">+F119-M119</f>
        <v>3792000</v>
      </c>
      <c r="P119" s="192"/>
      <c r="S119" s="282"/>
      <c r="T119" s="282"/>
      <c r="U119" s="242"/>
    </row>
    <row r="120" spans="1:21" s="49" customFormat="1" ht="18" customHeight="1" x14ac:dyDescent="0.25">
      <c r="A120" s="61"/>
      <c r="B120" s="79"/>
      <c r="C120" s="79"/>
      <c r="D120" s="62" t="s">
        <v>68</v>
      </c>
      <c r="E120" s="62" t="s">
        <v>69</v>
      </c>
      <c r="F120" s="63">
        <v>25914000</v>
      </c>
      <c r="G120" s="75"/>
      <c r="H120" s="75"/>
      <c r="I120" s="75">
        <f t="shared" si="47"/>
        <v>0</v>
      </c>
      <c r="J120" s="75"/>
      <c r="K120" s="75">
        <v>2990625</v>
      </c>
      <c r="L120" s="75">
        <f t="shared" si="48"/>
        <v>2990625</v>
      </c>
      <c r="M120" s="75">
        <f t="shared" si="45"/>
        <v>2990625</v>
      </c>
      <c r="N120" s="63">
        <f t="shared" si="49"/>
        <v>22923375</v>
      </c>
      <c r="P120" s="192"/>
      <c r="S120" s="282"/>
      <c r="T120" s="282"/>
      <c r="U120" s="242"/>
    </row>
    <row r="121" spans="1:21" s="134" customFormat="1" ht="18" customHeight="1" x14ac:dyDescent="0.25">
      <c r="A121" s="129"/>
      <c r="B121" s="130"/>
      <c r="C121" s="130"/>
      <c r="D121" s="131"/>
      <c r="E121" s="131"/>
      <c r="F121" s="132"/>
      <c r="G121" s="133"/>
      <c r="H121" s="133"/>
      <c r="I121" s="133"/>
      <c r="J121" s="133"/>
      <c r="K121" s="133"/>
      <c r="L121" s="133"/>
      <c r="M121" s="133"/>
      <c r="N121" s="132"/>
      <c r="P121" s="197"/>
      <c r="S121" s="286"/>
      <c r="T121" s="286"/>
      <c r="U121" s="247"/>
    </row>
    <row r="122" spans="1:21" s="137" customFormat="1" ht="18" customHeight="1" x14ac:dyDescent="0.25">
      <c r="A122" s="109"/>
      <c r="B122" s="110" t="s">
        <v>405</v>
      </c>
      <c r="C122" s="110"/>
      <c r="D122" s="110"/>
      <c r="E122" s="110" t="s">
        <v>406</v>
      </c>
      <c r="F122" s="135">
        <f t="shared" ref="F122:G124" si="50">+F123</f>
        <v>654671250</v>
      </c>
      <c r="G122" s="136">
        <f t="shared" si="50"/>
        <v>0</v>
      </c>
      <c r="H122" s="136">
        <f>+H123</f>
        <v>0</v>
      </c>
      <c r="I122" s="136">
        <f t="shared" ref="I122:I136" si="51">+G122+H122</f>
        <v>0</v>
      </c>
      <c r="J122" s="136">
        <f>+J124</f>
        <v>0</v>
      </c>
      <c r="K122" s="136">
        <f>+K123</f>
        <v>150000</v>
      </c>
      <c r="L122" s="136">
        <f>+J122+K122</f>
        <v>150000</v>
      </c>
      <c r="M122" s="136">
        <f t="shared" ref="M122" si="52">+I122+L122</f>
        <v>150000</v>
      </c>
      <c r="N122" s="135">
        <f t="shared" ref="N122:N130" si="53">+F122-M122</f>
        <v>654521250</v>
      </c>
      <c r="P122" s="198"/>
      <c r="R122" s="138"/>
      <c r="S122" s="287"/>
      <c r="T122" s="287"/>
      <c r="U122" s="248"/>
    </row>
    <row r="123" spans="1:21" s="121" customFormat="1" ht="18" customHeight="1" x14ac:dyDescent="0.25">
      <c r="A123" s="232">
        <v>5</v>
      </c>
      <c r="B123" s="117"/>
      <c r="C123" s="117" t="s">
        <v>86</v>
      </c>
      <c r="D123" s="118"/>
      <c r="E123" s="128" t="s">
        <v>87</v>
      </c>
      <c r="F123" s="119">
        <f t="shared" si="50"/>
        <v>654671250</v>
      </c>
      <c r="G123" s="120">
        <f t="shared" si="50"/>
        <v>0</v>
      </c>
      <c r="H123" s="120">
        <f>+H124</f>
        <v>0</v>
      </c>
      <c r="I123" s="120">
        <f t="shared" si="51"/>
        <v>0</v>
      </c>
      <c r="J123" s="120">
        <f>+J124</f>
        <v>0</v>
      </c>
      <c r="K123" s="120">
        <f>+K124</f>
        <v>150000</v>
      </c>
      <c r="L123" s="120">
        <f>+J123+K123</f>
        <v>150000</v>
      </c>
      <c r="M123" s="120">
        <f>+I123+L123</f>
        <v>150000</v>
      </c>
      <c r="N123" s="119">
        <f t="shared" si="53"/>
        <v>654521250</v>
      </c>
      <c r="P123" s="190"/>
      <c r="R123" s="122"/>
      <c r="S123" s="283"/>
      <c r="T123" s="283"/>
      <c r="U123" s="246"/>
    </row>
    <row r="124" spans="1:21" s="107" customFormat="1" ht="18" customHeight="1" x14ac:dyDescent="0.25">
      <c r="A124" s="101"/>
      <c r="B124" s="102"/>
      <c r="C124" s="102"/>
      <c r="D124" s="103" t="s">
        <v>207</v>
      </c>
      <c r="E124" s="104" t="s">
        <v>262</v>
      </c>
      <c r="F124" s="105">
        <f t="shared" si="50"/>
        <v>654671250</v>
      </c>
      <c r="G124" s="106">
        <f t="shared" si="50"/>
        <v>0</v>
      </c>
      <c r="H124" s="106">
        <f>+H125</f>
        <v>0</v>
      </c>
      <c r="I124" s="106">
        <f t="shared" si="51"/>
        <v>0</v>
      </c>
      <c r="J124" s="106">
        <f>+J125</f>
        <v>0</v>
      </c>
      <c r="K124" s="106">
        <f>+K125</f>
        <v>150000</v>
      </c>
      <c r="L124" s="106">
        <f t="shared" ref="L124:L136" si="54">+J124+K124</f>
        <v>150000</v>
      </c>
      <c r="M124" s="106">
        <f t="shared" ref="M124:M127" si="55">+I124+L124</f>
        <v>150000</v>
      </c>
      <c r="N124" s="105">
        <f t="shared" si="53"/>
        <v>654521250</v>
      </c>
      <c r="P124" s="191"/>
      <c r="R124" s="108"/>
      <c r="S124" s="284"/>
      <c r="T124" s="284"/>
      <c r="U124" s="241"/>
    </row>
    <row r="125" spans="1:21" s="49" customFormat="1" ht="18" customHeight="1" x14ac:dyDescent="0.25">
      <c r="A125" s="44"/>
      <c r="B125" s="45"/>
      <c r="C125" s="45"/>
      <c r="D125" s="69" t="s">
        <v>63</v>
      </c>
      <c r="E125" s="45" t="s">
        <v>30</v>
      </c>
      <c r="F125" s="47">
        <f>F131+F126</f>
        <v>654671250</v>
      </c>
      <c r="G125" s="70">
        <f>+G126+G131</f>
        <v>0</v>
      </c>
      <c r="H125" s="70">
        <f>+H126+H131</f>
        <v>0</v>
      </c>
      <c r="I125" s="70">
        <f t="shared" si="51"/>
        <v>0</v>
      </c>
      <c r="J125" s="70">
        <f>+J126+J131</f>
        <v>0</v>
      </c>
      <c r="K125" s="70">
        <f>+K131+K126</f>
        <v>150000</v>
      </c>
      <c r="L125" s="70">
        <f t="shared" si="54"/>
        <v>150000</v>
      </c>
      <c r="M125" s="70">
        <f t="shared" si="55"/>
        <v>150000</v>
      </c>
      <c r="N125" s="47">
        <f t="shared" si="53"/>
        <v>654521250</v>
      </c>
      <c r="P125" s="192"/>
      <c r="S125" s="282"/>
      <c r="T125" s="282"/>
      <c r="U125" s="242"/>
    </row>
    <row r="126" spans="1:21" s="55" customFormat="1" ht="18" customHeight="1" x14ac:dyDescent="0.25">
      <c r="A126" s="50"/>
      <c r="B126" s="51"/>
      <c r="C126" s="51"/>
      <c r="D126" s="71" t="s">
        <v>263</v>
      </c>
      <c r="E126" s="52" t="s">
        <v>264</v>
      </c>
      <c r="F126" s="53">
        <f>+F127</f>
        <v>137486250</v>
      </c>
      <c r="G126" s="72">
        <f>+G127</f>
        <v>0</v>
      </c>
      <c r="H126" s="72">
        <f>+H127</f>
        <v>0</v>
      </c>
      <c r="I126" s="72">
        <f t="shared" si="51"/>
        <v>0</v>
      </c>
      <c r="J126" s="72">
        <f>+J127</f>
        <v>0</v>
      </c>
      <c r="K126" s="72">
        <f>+K127</f>
        <v>150000</v>
      </c>
      <c r="L126" s="72">
        <f t="shared" si="54"/>
        <v>150000</v>
      </c>
      <c r="M126" s="72">
        <f t="shared" si="55"/>
        <v>150000</v>
      </c>
      <c r="N126" s="53">
        <f t="shared" si="53"/>
        <v>137336250</v>
      </c>
      <c r="P126" s="195"/>
      <c r="S126" s="282"/>
      <c r="T126" s="282"/>
      <c r="U126" s="243"/>
    </row>
    <row r="127" spans="1:21" s="49" customFormat="1" ht="18" customHeight="1" x14ac:dyDescent="0.25">
      <c r="A127" s="56"/>
      <c r="B127" s="57"/>
      <c r="C127" s="57"/>
      <c r="D127" s="73" t="s">
        <v>64</v>
      </c>
      <c r="E127" s="57" t="s">
        <v>65</v>
      </c>
      <c r="F127" s="58">
        <f>+F128+F129+F130</f>
        <v>137486250</v>
      </c>
      <c r="G127" s="59">
        <f>SUM(G128:G129)</f>
        <v>0</v>
      </c>
      <c r="H127" s="59">
        <f>SUM(H128:H129)</f>
        <v>0</v>
      </c>
      <c r="I127" s="59">
        <f t="shared" si="51"/>
        <v>0</v>
      </c>
      <c r="J127" s="59">
        <f>SUM(J128:J130)</f>
        <v>0</v>
      </c>
      <c r="K127" s="59">
        <f>SUM(K128:K130)</f>
        <v>150000</v>
      </c>
      <c r="L127" s="59">
        <f t="shared" si="54"/>
        <v>150000</v>
      </c>
      <c r="M127" s="59">
        <f t="shared" si="55"/>
        <v>150000</v>
      </c>
      <c r="N127" s="58">
        <f t="shared" si="53"/>
        <v>137336250</v>
      </c>
      <c r="P127" s="192"/>
      <c r="S127" s="282"/>
      <c r="T127" s="282"/>
      <c r="U127" s="242"/>
    </row>
    <row r="128" spans="1:21" s="49" customFormat="1" ht="18" customHeight="1" x14ac:dyDescent="0.25">
      <c r="A128" s="61"/>
      <c r="B128" s="62"/>
      <c r="C128" s="62"/>
      <c r="D128" s="74" t="s">
        <v>66</v>
      </c>
      <c r="E128" s="62" t="s">
        <v>67</v>
      </c>
      <c r="F128" s="63">
        <v>2756250</v>
      </c>
      <c r="G128" s="75"/>
      <c r="H128" s="75"/>
      <c r="I128" s="75">
        <f t="shared" si="51"/>
        <v>0</v>
      </c>
      <c r="J128" s="75"/>
      <c r="K128" s="75">
        <v>150000</v>
      </c>
      <c r="L128" s="75">
        <f t="shared" si="54"/>
        <v>150000</v>
      </c>
      <c r="M128" s="75">
        <f>+I128+L128</f>
        <v>150000</v>
      </c>
      <c r="N128" s="63">
        <f t="shared" si="53"/>
        <v>2606250</v>
      </c>
      <c r="P128" s="192"/>
      <c r="S128" s="281">
        <v>150000</v>
      </c>
      <c r="T128" s="282"/>
      <c r="U128" s="242"/>
    </row>
    <row r="129" spans="1:21" s="49" customFormat="1" ht="18" customHeight="1" x14ac:dyDescent="0.25">
      <c r="A129" s="61"/>
      <c r="B129" s="62"/>
      <c r="C129" s="62"/>
      <c r="D129" s="74" t="s">
        <v>369</v>
      </c>
      <c r="E129" s="62" t="s">
        <v>370</v>
      </c>
      <c r="F129" s="63">
        <v>7230000</v>
      </c>
      <c r="G129" s="75"/>
      <c r="H129" s="75"/>
      <c r="I129" s="75">
        <f t="shared" si="51"/>
        <v>0</v>
      </c>
      <c r="J129" s="75"/>
      <c r="K129" s="75"/>
      <c r="L129" s="75">
        <f t="shared" si="54"/>
        <v>0</v>
      </c>
      <c r="M129" s="75">
        <f>+I129+L129</f>
        <v>0</v>
      </c>
      <c r="N129" s="63">
        <f t="shared" si="53"/>
        <v>7230000</v>
      </c>
      <c r="P129" s="192"/>
      <c r="S129" s="282"/>
      <c r="T129" s="282"/>
      <c r="U129" s="242"/>
    </row>
    <row r="130" spans="1:21" s="49" customFormat="1" ht="18" customHeight="1" x14ac:dyDescent="0.25">
      <c r="A130" s="61"/>
      <c r="B130" s="62"/>
      <c r="C130" s="62"/>
      <c r="D130" s="74" t="s">
        <v>447</v>
      </c>
      <c r="E130" s="62" t="s">
        <v>448</v>
      </c>
      <c r="F130" s="63">
        <v>127500000</v>
      </c>
      <c r="G130" s="75"/>
      <c r="H130" s="75"/>
      <c r="I130" s="75">
        <f t="shared" si="51"/>
        <v>0</v>
      </c>
      <c r="J130" s="75"/>
      <c r="K130" s="75"/>
      <c r="L130" s="75">
        <f t="shared" si="54"/>
        <v>0</v>
      </c>
      <c r="M130" s="75">
        <f>+I130+L130</f>
        <v>0</v>
      </c>
      <c r="N130" s="63">
        <f t="shared" si="53"/>
        <v>127500000</v>
      </c>
      <c r="P130" s="192"/>
      <c r="S130" s="282"/>
      <c r="T130" s="282"/>
      <c r="U130" s="242"/>
    </row>
    <row r="131" spans="1:21" s="55" customFormat="1" ht="18" customHeight="1" x14ac:dyDescent="0.25">
      <c r="A131" s="50"/>
      <c r="B131" s="51"/>
      <c r="C131" s="51"/>
      <c r="D131" s="71" t="s">
        <v>265</v>
      </c>
      <c r="E131" s="51" t="s">
        <v>266</v>
      </c>
      <c r="F131" s="53">
        <f>+F132</f>
        <v>517185000</v>
      </c>
      <c r="G131" s="72">
        <f>+G132</f>
        <v>0</v>
      </c>
      <c r="H131" s="72">
        <f>+H132</f>
        <v>0</v>
      </c>
      <c r="I131" s="72">
        <f t="shared" si="51"/>
        <v>0</v>
      </c>
      <c r="J131" s="72">
        <f>+J132</f>
        <v>0</v>
      </c>
      <c r="K131" s="72">
        <f>+K132</f>
        <v>0</v>
      </c>
      <c r="L131" s="72">
        <f t="shared" si="54"/>
        <v>0</v>
      </c>
      <c r="M131" s="72">
        <f t="shared" ref="M131:M132" si="56">+I131+L131</f>
        <v>0</v>
      </c>
      <c r="N131" s="53">
        <f>+F131-M131</f>
        <v>517185000</v>
      </c>
      <c r="P131" s="195"/>
      <c r="S131" s="282"/>
      <c r="T131" s="282"/>
      <c r="U131" s="243"/>
    </row>
    <row r="132" spans="1:21" s="49" customFormat="1" ht="18" customHeight="1" x14ac:dyDescent="0.25">
      <c r="A132" s="56"/>
      <c r="B132" s="57"/>
      <c r="C132" s="57"/>
      <c r="D132" s="73" t="s">
        <v>71</v>
      </c>
      <c r="E132" s="57" t="s">
        <v>72</v>
      </c>
      <c r="F132" s="58">
        <f>SUM(F133:F136)</f>
        <v>517185000</v>
      </c>
      <c r="G132" s="59">
        <f>SUM(G133:G134)</f>
        <v>0</v>
      </c>
      <c r="H132" s="59">
        <f>SUM(H133:H134)</f>
        <v>0</v>
      </c>
      <c r="I132" s="59">
        <f t="shared" si="51"/>
        <v>0</v>
      </c>
      <c r="J132" s="59">
        <f>SUM(J133:J136)</f>
        <v>0</v>
      </c>
      <c r="K132" s="59">
        <f>SUM(K133:K136)</f>
        <v>0</v>
      </c>
      <c r="L132" s="59">
        <f>+J132+K132</f>
        <v>0</v>
      </c>
      <c r="M132" s="59">
        <f t="shared" si="56"/>
        <v>0</v>
      </c>
      <c r="N132" s="58">
        <f>+F132-M132</f>
        <v>517185000</v>
      </c>
      <c r="P132" s="192"/>
      <c r="S132" s="282"/>
      <c r="T132" s="282"/>
      <c r="U132" s="242"/>
    </row>
    <row r="133" spans="1:21" s="49" customFormat="1" ht="18" customHeight="1" x14ac:dyDescent="0.25">
      <c r="A133" s="61"/>
      <c r="B133" s="62"/>
      <c r="C133" s="62"/>
      <c r="D133" s="74" t="s">
        <v>73</v>
      </c>
      <c r="E133" s="62" t="s">
        <v>74</v>
      </c>
      <c r="F133" s="63">
        <v>128100000</v>
      </c>
      <c r="G133" s="75"/>
      <c r="H133" s="75"/>
      <c r="I133" s="75">
        <f t="shared" si="51"/>
        <v>0</v>
      </c>
      <c r="J133" s="75"/>
      <c r="K133" s="75"/>
      <c r="L133" s="75">
        <f t="shared" si="54"/>
        <v>0</v>
      </c>
      <c r="M133" s="75">
        <f>+I133+L133</f>
        <v>0</v>
      </c>
      <c r="N133" s="63">
        <f t="shared" ref="N133:N136" si="57">+F133-M133</f>
        <v>128100000</v>
      </c>
      <c r="P133" s="192"/>
      <c r="S133" s="281"/>
      <c r="T133" s="282"/>
      <c r="U133" s="242"/>
    </row>
    <row r="134" spans="1:21" s="49" customFormat="1" ht="18" customHeight="1" x14ac:dyDescent="0.25">
      <c r="A134" s="61"/>
      <c r="B134" s="62"/>
      <c r="C134" s="62"/>
      <c r="D134" s="74" t="s">
        <v>88</v>
      </c>
      <c r="E134" s="62" t="s">
        <v>89</v>
      </c>
      <c r="F134" s="63">
        <v>79635000</v>
      </c>
      <c r="G134" s="75"/>
      <c r="H134" s="75"/>
      <c r="I134" s="75">
        <f t="shared" si="51"/>
        <v>0</v>
      </c>
      <c r="J134" s="75"/>
      <c r="K134" s="75"/>
      <c r="L134" s="75">
        <f t="shared" si="54"/>
        <v>0</v>
      </c>
      <c r="M134" s="75">
        <f t="shared" ref="M134" si="58">+I134+L134</f>
        <v>0</v>
      </c>
      <c r="N134" s="63">
        <f t="shared" si="57"/>
        <v>79635000</v>
      </c>
      <c r="P134" s="192"/>
      <c r="S134" s="281"/>
      <c r="T134" s="282"/>
      <c r="U134" s="242"/>
    </row>
    <row r="135" spans="1:21" s="49" customFormat="1" ht="18" customHeight="1" x14ac:dyDescent="0.25">
      <c r="A135" s="61"/>
      <c r="B135" s="62"/>
      <c r="C135" s="62"/>
      <c r="D135" s="74" t="s">
        <v>445</v>
      </c>
      <c r="E135" s="62" t="s">
        <v>446</v>
      </c>
      <c r="F135" s="63">
        <v>241950000</v>
      </c>
      <c r="G135" s="75"/>
      <c r="H135" s="75"/>
      <c r="I135" s="75">
        <f t="shared" si="51"/>
        <v>0</v>
      </c>
      <c r="J135" s="75"/>
      <c r="K135" s="75"/>
      <c r="L135" s="75">
        <f t="shared" si="54"/>
        <v>0</v>
      </c>
      <c r="M135" s="75">
        <f>+I135+L135</f>
        <v>0</v>
      </c>
      <c r="N135" s="63">
        <f t="shared" si="57"/>
        <v>241950000</v>
      </c>
      <c r="P135" s="192"/>
      <c r="S135" s="282"/>
      <c r="T135" s="282"/>
      <c r="U135" s="242"/>
    </row>
    <row r="136" spans="1:21" s="49" customFormat="1" ht="18" customHeight="1" x14ac:dyDescent="0.25">
      <c r="A136" s="61"/>
      <c r="B136" s="62"/>
      <c r="C136" s="62"/>
      <c r="D136" s="74" t="s">
        <v>107</v>
      </c>
      <c r="E136" s="62" t="s">
        <v>108</v>
      </c>
      <c r="F136" s="63">
        <v>67500000</v>
      </c>
      <c r="G136" s="75"/>
      <c r="H136" s="75"/>
      <c r="I136" s="75">
        <f t="shared" si="51"/>
        <v>0</v>
      </c>
      <c r="J136" s="75"/>
      <c r="K136" s="75"/>
      <c r="L136" s="75">
        <f t="shared" si="54"/>
        <v>0</v>
      </c>
      <c r="M136" s="75">
        <f>+I136+L136</f>
        <v>0</v>
      </c>
      <c r="N136" s="63">
        <f t="shared" si="57"/>
        <v>67500000</v>
      </c>
      <c r="P136" s="192"/>
      <c r="S136" s="282"/>
      <c r="T136" s="282"/>
      <c r="U136" s="242"/>
    </row>
    <row r="137" spans="1:21" s="134" customFormat="1" ht="18" customHeight="1" x14ac:dyDescent="0.25">
      <c r="A137" s="129"/>
      <c r="B137" s="131"/>
      <c r="C137" s="131"/>
      <c r="D137" s="131"/>
      <c r="E137" s="131"/>
      <c r="F137" s="132"/>
      <c r="G137" s="133"/>
      <c r="H137" s="133"/>
      <c r="I137" s="133"/>
      <c r="J137" s="133"/>
      <c r="K137" s="133"/>
      <c r="L137" s="133"/>
      <c r="M137" s="133"/>
      <c r="N137" s="132"/>
      <c r="P137" s="197"/>
      <c r="S137" s="286"/>
      <c r="T137" s="286"/>
      <c r="U137" s="247"/>
    </row>
    <row r="138" spans="1:21" s="137" customFormat="1" ht="18" customHeight="1" x14ac:dyDescent="0.25">
      <c r="A138" s="109"/>
      <c r="B138" s="110" t="s">
        <v>380</v>
      </c>
      <c r="C138" s="110"/>
      <c r="D138" s="110"/>
      <c r="E138" s="110" t="s">
        <v>381</v>
      </c>
      <c r="F138" s="135">
        <f>+F139+F165+F173+F184+F206</f>
        <v>4317651500</v>
      </c>
      <c r="G138" s="136">
        <f>+G139+G165+G173+G184+G206</f>
        <v>0</v>
      </c>
      <c r="H138" s="136">
        <f>+H139+H165+H173+H184+H206</f>
        <v>142125000</v>
      </c>
      <c r="I138" s="136">
        <f t="shared" ref="I138:I164" si="59">+G138+H138</f>
        <v>142125000</v>
      </c>
      <c r="J138" s="136">
        <f>+J139+J165+J173+J184+J206</f>
        <v>7840000</v>
      </c>
      <c r="K138" s="136">
        <f>+K139+K165+K173+K184+K206</f>
        <v>109890600</v>
      </c>
      <c r="L138" s="136">
        <f t="shared" ref="L138:L146" si="60">+J138+K138</f>
        <v>117730600</v>
      </c>
      <c r="M138" s="136">
        <f t="shared" ref="M138" si="61">+I138+L138</f>
        <v>259855600</v>
      </c>
      <c r="N138" s="135">
        <f t="shared" ref="N138:N146" si="62">+F138-M138</f>
        <v>4057795900</v>
      </c>
      <c r="P138" s="198"/>
      <c r="R138" s="138"/>
      <c r="S138" s="287"/>
      <c r="T138" s="287"/>
      <c r="U138" s="248"/>
    </row>
    <row r="139" spans="1:21" s="121" customFormat="1" ht="18" customHeight="1" x14ac:dyDescent="0.25">
      <c r="A139" s="116">
        <v>6</v>
      </c>
      <c r="B139" s="117"/>
      <c r="C139" s="117" t="s">
        <v>90</v>
      </c>
      <c r="D139" s="118"/>
      <c r="E139" s="128" t="s">
        <v>91</v>
      </c>
      <c r="F139" s="119">
        <f>+F140+F147</f>
        <v>1165936000</v>
      </c>
      <c r="G139" s="120">
        <f>+G140+G147</f>
        <v>0</v>
      </c>
      <c r="H139" s="120">
        <f>+H140+H147</f>
        <v>0</v>
      </c>
      <c r="I139" s="120">
        <f t="shared" si="59"/>
        <v>0</v>
      </c>
      <c r="J139" s="120">
        <f>+J140+J147</f>
        <v>0</v>
      </c>
      <c r="K139" s="120">
        <f>+K140+K147</f>
        <v>0</v>
      </c>
      <c r="L139" s="120">
        <f t="shared" si="60"/>
        <v>0</v>
      </c>
      <c r="M139" s="120">
        <f>+I139+L139</f>
        <v>0</v>
      </c>
      <c r="N139" s="119">
        <f t="shared" si="62"/>
        <v>1165936000</v>
      </c>
      <c r="P139" s="190"/>
      <c r="R139" s="122"/>
      <c r="S139" s="283"/>
      <c r="T139" s="283"/>
      <c r="U139" s="246"/>
    </row>
    <row r="140" spans="1:21" s="107" customFormat="1" ht="18" customHeight="1" x14ac:dyDescent="0.25">
      <c r="A140" s="101"/>
      <c r="B140" s="102"/>
      <c r="C140" s="141"/>
      <c r="D140" s="103" t="s">
        <v>207</v>
      </c>
      <c r="E140" s="104" t="s">
        <v>262</v>
      </c>
      <c r="F140" s="105">
        <f>+F141</f>
        <v>39736000</v>
      </c>
      <c r="G140" s="106">
        <f>+G141</f>
        <v>0</v>
      </c>
      <c r="H140" s="106">
        <f>+H141</f>
        <v>0</v>
      </c>
      <c r="I140" s="106">
        <f t="shared" si="59"/>
        <v>0</v>
      </c>
      <c r="J140" s="106">
        <f t="shared" ref="J140:K142" si="63">+J141</f>
        <v>0</v>
      </c>
      <c r="K140" s="106">
        <f t="shared" si="63"/>
        <v>0</v>
      </c>
      <c r="L140" s="106">
        <f t="shared" si="60"/>
        <v>0</v>
      </c>
      <c r="M140" s="106">
        <f t="shared" ref="M140:M164" si="64">+I140+L140</f>
        <v>0</v>
      </c>
      <c r="N140" s="105">
        <f t="shared" si="62"/>
        <v>39736000</v>
      </c>
      <c r="P140" s="191"/>
      <c r="R140" s="108"/>
      <c r="S140" s="284"/>
      <c r="T140" s="284"/>
      <c r="U140" s="241"/>
    </row>
    <row r="141" spans="1:21" s="67" customFormat="1" ht="18" customHeight="1" x14ac:dyDescent="0.25">
      <c r="A141" s="81"/>
      <c r="B141" s="82"/>
      <c r="C141" s="44"/>
      <c r="D141" s="45" t="s">
        <v>63</v>
      </c>
      <c r="E141" s="45" t="s">
        <v>30</v>
      </c>
      <c r="F141" s="47">
        <f>+F142</f>
        <v>39736000</v>
      </c>
      <c r="G141" s="70">
        <f t="shared" ref="G141:H142" si="65">+G142</f>
        <v>0</v>
      </c>
      <c r="H141" s="70">
        <f t="shared" si="65"/>
        <v>0</v>
      </c>
      <c r="I141" s="70">
        <f t="shared" si="59"/>
        <v>0</v>
      </c>
      <c r="J141" s="70">
        <f t="shared" si="63"/>
        <v>0</v>
      </c>
      <c r="K141" s="70">
        <f t="shared" si="63"/>
        <v>0</v>
      </c>
      <c r="L141" s="70">
        <f t="shared" si="60"/>
        <v>0</v>
      </c>
      <c r="M141" s="70">
        <f t="shared" si="64"/>
        <v>0</v>
      </c>
      <c r="N141" s="47">
        <f t="shared" si="62"/>
        <v>39736000</v>
      </c>
      <c r="P141" s="192"/>
      <c r="S141" s="282"/>
      <c r="T141" s="282"/>
      <c r="U141" s="249"/>
    </row>
    <row r="142" spans="1:21" s="55" customFormat="1" ht="18" customHeight="1" x14ac:dyDescent="0.25">
      <c r="A142" s="50"/>
      <c r="B142" s="51"/>
      <c r="C142" s="50"/>
      <c r="D142" s="71" t="s">
        <v>263</v>
      </c>
      <c r="E142" s="51" t="s">
        <v>264</v>
      </c>
      <c r="F142" s="53">
        <f>+F143</f>
        <v>39736000</v>
      </c>
      <c r="G142" s="72">
        <f t="shared" si="65"/>
        <v>0</v>
      </c>
      <c r="H142" s="72">
        <f t="shared" si="65"/>
        <v>0</v>
      </c>
      <c r="I142" s="72">
        <f t="shared" si="59"/>
        <v>0</v>
      </c>
      <c r="J142" s="72">
        <f t="shared" si="63"/>
        <v>0</v>
      </c>
      <c r="K142" s="72">
        <f t="shared" si="63"/>
        <v>0</v>
      </c>
      <c r="L142" s="72">
        <f t="shared" si="60"/>
        <v>0</v>
      </c>
      <c r="M142" s="72">
        <f t="shared" si="64"/>
        <v>0</v>
      </c>
      <c r="N142" s="53">
        <f t="shared" si="62"/>
        <v>39736000</v>
      </c>
      <c r="P142" s="195"/>
      <c r="S142" s="282"/>
      <c r="T142" s="282"/>
      <c r="U142" s="243"/>
    </row>
    <row r="143" spans="1:21" s="67" customFormat="1" ht="18" customHeight="1" x14ac:dyDescent="0.25">
      <c r="A143" s="83"/>
      <c r="B143" s="84"/>
      <c r="C143" s="56"/>
      <c r="D143" s="57" t="s">
        <v>64</v>
      </c>
      <c r="E143" s="57" t="s">
        <v>65</v>
      </c>
      <c r="F143" s="58">
        <f>F145+F144+F146</f>
        <v>39736000</v>
      </c>
      <c r="G143" s="59">
        <f>+G145</f>
        <v>0</v>
      </c>
      <c r="H143" s="59">
        <f>+H145</f>
        <v>0</v>
      </c>
      <c r="I143" s="59">
        <f t="shared" si="59"/>
        <v>0</v>
      </c>
      <c r="J143" s="59">
        <f>+J145</f>
        <v>0</v>
      </c>
      <c r="K143" s="59">
        <f>+K145</f>
        <v>0</v>
      </c>
      <c r="L143" s="59">
        <f t="shared" si="60"/>
        <v>0</v>
      </c>
      <c r="M143" s="59">
        <f t="shared" si="64"/>
        <v>0</v>
      </c>
      <c r="N143" s="58">
        <f t="shared" si="62"/>
        <v>39736000</v>
      </c>
      <c r="P143" s="192"/>
      <c r="S143" s="282"/>
      <c r="T143" s="282"/>
      <c r="U143" s="249"/>
    </row>
    <row r="144" spans="1:21" s="86" customFormat="1" ht="18" customHeight="1" x14ac:dyDescent="0.25">
      <c r="A144" s="85"/>
      <c r="B144" s="66"/>
      <c r="C144" s="61"/>
      <c r="D144" s="62" t="s">
        <v>66</v>
      </c>
      <c r="E144" s="62" t="s">
        <v>67</v>
      </c>
      <c r="F144" s="63">
        <v>13500</v>
      </c>
      <c r="G144" s="75"/>
      <c r="H144" s="75"/>
      <c r="I144" s="75">
        <f t="shared" si="59"/>
        <v>0</v>
      </c>
      <c r="J144" s="75"/>
      <c r="K144" s="75"/>
      <c r="L144" s="75">
        <f t="shared" si="60"/>
        <v>0</v>
      </c>
      <c r="M144" s="75">
        <f t="shared" si="64"/>
        <v>0</v>
      </c>
      <c r="N144" s="63">
        <f t="shared" si="62"/>
        <v>13500</v>
      </c>
      <c r="P144" s="194"/>
      <c r="S144" s="282"/>
      <c r="T144" s="282"/>
      <c r="U144" s="250"/>
    </row>
    <row r="145" spans="1:21" s="86" customFormat="1" ht="18" customHeight="1" x14ac:dyDescent="0.25">
      <c r="A145" s="85"/>
      <c r="B145" s="66"/>
      <c r="C145" s="61"/>
      <c r="D145" s="62" t="s">
        <v>339</v>
      </c>
      <c r="E145" s="62" t="s">
        <v>340</v>
      </c>
      <c r="F145" s="63">
        <v>29175000</v>
      </c>
      <c r="G145" s="75"/>
      <c r="H145" s="75"/>
      <c r="I145" s="75">
        <f t="shared" si="59"/>
        <v>0</v>
      </c>
      <c r="J145" s="75"/>
      <c r="K145" s="75"/>
      <c r="L145" s="75">
        <f t="shared" si="60"/>
        <v>0</v>
      </c>
      <c r="M145" s="75">
        <f t="shared" si="64"/>
        <v>0</v>
      </c>
      <c r="N145" s="63">
        <f t="shared" si="62"/>
        <v>29175000</v>
      </c>
      <c r="P145" s="194"/>
      <c r="S145" s="282"/>
      <c r="T145" s="282"/>
      <c r="U145" s="250"/>
    </row>
    <row r="146" spans="1:21" s="86" customFormat="1" ht="18" customHeight="1" x14ac:dyDescent="0.25">
      <c r="A146" s="85"/>
      <c r="B146" s="66"/>
      <c r="C146" s="61"/>
      <c r="D146" s="62" t="s">
        <v>371</v>
      </c>
      <c r="E146" s="62" t="s">
        <v>372</v>
      </c>
      <c r="F146" s="63">
        <v>10547500</v>
      </c>
      <c r="G146" s="75"/>
      <c r="H146" s="75"/>
      <c r="I146" s="75">
        <f t="shared" si="59"/>
        <v>0</v>
      </c>
      <c r="J146" s="75"/>
      <c r="K146" s="75"/>
      <c r="L146" s="75">
        <f t="shared" si="60"/>
        <v>0</v>
      </c>
      <c r="M146" s="75">
        <f t="shared" si="64"/>
        <v>0</v>
      </c>
      <c r="N146" s="63">
        <f t="shared" si="62"/>
        <v>10547500</v>
      </c>
      <c r="P146" s="194"/>
      <c r="S146" s="282"/>
      <c r="T146" s="282"/>
      <c r="U146" s="250"/>
    </row>
    <row r="147" spans="1:21" s="42" customFormat="1" ht="18" customHeight="1" x14ac:dyDescent="0.25">
      <c r="A147" s="36"/>
      <c r="B147" s="37"/>
      <c r="C147" s="80"/>
      <c r="D147" s="38" t="s">
        <v>267</v>
      </c>
      <c r="E147" s="39" t="s">
        <v>268</v>
      </c>
      <c r="F147" s="40">
        <f>+F148</f>
        <v>1126200000</v>
      </c>
      <c r="G147" s="41">
        <f>+G148</f>
        <v>0</v>
      </c>
      <c r="H147" s="41">
        <f>+H148</f>
        <v>0</v>
      </c>
      <c r="I147" s="41">
        <f>+G147+H147</f>
        <v>0</v>
      </c>
      <c r="J147" s="41">
        <f>+J148</f>
        <v>0</v>
      </c>
      <c r="K147" s="41">
        <f>+K148</f>
        <v>0</v>
      </c>
      <c r="L147" s="41">
        <f>+J147+K147</f>
        <v>0</v>
      </c>
      <c r="M147" s="41">
        <f t="shared" si="64"/>
        <v>0</v>
      </c>
      <c r="N147" s="40">
        <f>+F147-M147</f>
        <v>1126200000</v>
      </c>
      <c r="P147" s="199"/>
      <c r="R147" s="43"/>
      <c r="S147" s="282"/>
      <c r="T147" s="282"/>
      <c r="U147" s="251"/>
    </row>
    <row r="148" spans="1:21" s="67" customFormat="1" ht="18" customHeight="1" x14ac:dyDescent="0.25">
      <c r="A148" s="81"/>
      <c r="B148" s="82"/>
      <c r="C148" s="44"/>
      <c r="D148" s="45" t="s">
        <v>78</v>
      </c>
      <c r="E148" s="45" t="s">
        <v>75</v>
      </c>
      <c r="F148" s="47">
        <f>+F149+F159+F156</f>
        <v>1126200000</v>
      </c>
      <c r="G148" s="70">
        <f>+G149+G159</f>
        <v>0</v>
      </c>
      <c r="H148" s="70">
        <f>+H149+H159</f>
        <v>0</v>
      </c>
      <c r="I148" s="70">
        <f>+G148+H148</f>
        <v>0</v>
      </c>
      <c r="J148" s="70">
        <f>+J149+J159</f>
        <v>0</v>
      </c>
      <c r="K148" s="70">
        <f>+K149+K159</f>
        <v>0</v>
      </c>
      <c r="L148" s="70">
        <f>+J148+K148</f>
        <v>0</v>
      </c>
      <c r="M148" s="70">
        <f t="shared" si="64"/>
        <v>0</v>
      </c>
      <c r="N148" s="47">
        <f>+F148-M148</f>
        <v>1126200000</v>
      </c>
      <c r="P148" s="192"/>
      <c r="S148" s="282"/>
      <c r="T148" s="282"/>
      <c r="U148" s="249"/>
    </row>
    <row r="149" spans="1:21" s="55" customFormat="1" ht="18" customHeight="1" x14ac:dyDescent="0.25">
      <c r="A149" s="50"/>
      <c r="B149" s="51"/>
      <c r="C149" s="50"/>
      <c r="D149" s="71" t="s">
        <v>269</v>
      </c>
      <c r="E149" s="51" t="s">
        <v>270</v>
      </c>
      <c r="F149" s="53">
        <f>+F153+F150</f>
        <v>385400000</v>
      </c>
      <c r="G149" s="72">
        <f>+G153</f>
        <v>0</v>
      </c>
      <c r="H149" s="72">
        <f>+H153</f>
        <v>0</v>
      </c>
      <c r="I149" s="72">
        <f>+G149+H149</f>
        <v>0</v>
      </c>
      <c r="J149" s="72">
        <f>+J153</f>
        <v>0</v>
      </c>
      <c r="K149" s="72">
        <f>+K153+K150</f>
        <v>0</v>
      </c>
      <c r="L149" s="72">
        <f>+J149+K149</f>
        <v>0</v>
      </c>
      <c r="M149" s="72">
        <f t="shared" si="64"/>
        <v>0</v>
      </c>
      <c r="N149" s="53">
        <f>+F149-M149</f>
        <v>385400000</v>
      </c>
      <c r="P149" s="195"/>
      <c r="S149" s="282"/>
      <c r="T149" s="282"/>
      <c r="U149" s="243"/>
    </row>
    <row r="150" spans="1:21" s="67" customFormat="1" ht="18" customHeight="1" x14ac:dyDescent="0.25">
      <c r="A150" s="83"/>
      <c r="B150" s="84"/>
      <c r="C150" s="56"/>
      <c r="D150" s="57" t="s">
        <v>76</v>
      </c>
      <c r="E150" s="57" t="s">
        <v>484</v>
      </c>
      <c r="F150" s="58">
        <f>F151+F152</f>
        <v>180100000</v>
      </c>
      <c r="G150" s="59">
        <f>G151</f>
        <v>0</v>
      </c>
      <c r="H150" s="59">
        <f>+H151</f>
        <v>0</v>
      </c>
      <c r="I150" s="59">
        <f>+G150+H150</f>
        <v>0</v>
      </c>
      <c r="J150" s="59">
        <f>J151</f>
        <v>0</v>
      </c>
      <c r="K150" s="59">
        <f>+K151</f>
        <v>0</v>
      </c>
      <c r="L150" s="59">
        <f>+J150+K150</f>
        <v>0</v>
      </c>
      <c r="M150" s="59">
        <f t="shared" si="64"/>
        <v>0</v>
      </c>
      <c r="N150" s="58">
        <f>+F150-M150</f>
        <v>180100000</v>
      </c>
      <c r="P150" s="192"/>
      <c r="S150" s="282"/>
      <c r="T150" s="282"/>
      <c r="U150" s="249"/>
    </row>
    <row r="151" spans="1:21" s="86" customFormat="1" ht="18" customHeight="1" x14ac:dyDescent="0.25">
      <c r="A151" s="85"/>
      <c r="B151" s="66"/>
      <c r="C151" s="61"/>
      <c r="D151" s="62" t="s">
        <v>393</v>
      </c>
      <c r="E151" s="62" t="s">
        <v>394</v>
      </c>
      <c r="F151" s="63">
        <v>99600000</v>
      </c>
      <c r="G151" s="75"/>
      <c r="H151" s="75"/>
      <c r="I151" s="75">
        <f t="shared" ref="I151:I152" si="66">+G151+H151</f>
        <v>0</v>
      </c>
      <c r="J151" s="75"/>
      <c r="K151" s="75"/>
      <c r="L151" s="75">
        <f t="shared" ref="L151:L152" si="67">+J151+K151</f>
        <v>0</v>
      </c>
      <c r="M151" s="75">
        <f t="shared" si="64"/>
        <v>0</v>
      </c>
      <c r="N151" s="63">
        <f t="shared" ref="N151:N152" si="68">+F151-M151</f>
        <v>99600000</v>
      </c>
      <c r="P151" s="194"/>
      <c r="S151" s="281"/>
      <c r="T151" s="282"/>
      <c r="U151" s="250"/>
    </row>
    <row r="152" spans="1:21" s="86" customFormat="1" ht="18" customHeight="1" x14ac:dyDescent="0.25">
      <c r="A152" s="85"/>
      <c r="B152" s="66"/>
      <c r="C152" s="61"/>
      <c r="D152" s="62" t="s">
        <v>117</v>
      </c>
      <c r="E152" s="62" t="s">
        <v>118</v>
      </c>
      <c r="F152" s="63">
        <v>80500000</v>
      </c>
      <c r="G152" s="75"/>
      <c r="H152" s="75"/>
      <c r="I152" s="75">
        <f t="shared" si="66"/>
        <v>0</v>
      </c>
      <c r="J152" s="75"/>
      <c r="K152" s="75"/>
      <c r="L152" s="75">
        <f t="shared" si="67"/>
        <v>0</v>
      </c>
      <c r="M152" s="75">
        <f t="shared" si="64"/>
        <v>0</v>
      </c>
      <c r="N152" s="63">
        <f t="shared" si="68"/>
        <v>80500000</v>
      </c>
      <c r="P152" s="194"/>
      <c r="S152" s="281"/>
      <c r="T152" s="282"/>
      <c r="U152" s="250"/>
    </row>
    <row r="153" spans="1:21" s="67" customFormat="1" ht="18" customHeight="1" x14ac:dyDescent="0.25">
      <c r="A153" s="83"/>
      <c r="B153" s="84"/>
      <c r="C153" s="56"/>
      <c r="D153" s="57" t="s">
        <v>92</v>
      </c>
      <c r="E153" s="57" t="s">
        <v>94</v>
      </c>
      <c r="F153" s="58">
        <f>F154+F155</f>
        <v>205300000</v>
      </c>
      <c r="G153" s="59">
        <f>+G154+G155</f>
        <v>0</v>
      </c>
      <c r="H153" s="59">
        <f>+H154+H155</f>
        <v>0</v>
      </c>
      <c r="I153" s="59">
        <f>+G153+H153</f>
        <v>0</v>
      </c>
      <c r="J153" s="59">
        <f>J154+J155</f>
        <v>0</v>
      </c>
      <c r="K153" s="59">
        <f>+K154+K155</f>
        <v>0</v>
      </c>
      <c r="L153" s="59">
        <f>+J153+K153</f>
        <v>0</v>
      </c>
      <c r="M153" s="59">
        <f t="shared" si="64"/>
        <v>0</v>
      </c>
      <c r="N153" s="58">
        <f>+F153-M153</f>
        <v>205300000</v>
      </c>
      <c r="P153" s="192"/>
      <c r="S153" s="282"/>
      <c r="T153" s="282"/>
      <c r="U153" s="249"/>
    </row>
    <row r="154" spans="1:21" s="86" customFormat="1" ht="18" customHeight="1" x14ac:dyDescent="0.25">
      <c r="A154" s="85"/>
      <c r="B154" s="66"/>
      <c r="C154" s="61"/>
      <c r="D154" s="62" t="s">
        <v>93</v>
      </c>
      <c r="E154" s="62" t="s">
        <v>95</v>
      </c>
      <c r="F154" s="63">
        <v>180000000</v>
      </c>
      <c r="G154" s="75"/>
      <c r="H154" s="75"/>
      <c r="I154" s="75">
        <f t="shared" ref="I154:I155" si="69">+G154+H154</f>
        <v>0</v>
      </c>
      <c r="J154" s="75"/>
      <c r="K154" s="75"/>
      <c r="L154" s="75">
        <f t="shared" ref="L154:L164" si="70">+J154+K154</f>
        <v>0</v>
      </c>
      <c r="M154" s="75">
        <f t="shared" si="64"/>
        <v>0</v>
      </c>
      <c r="N154" s="63">
        <f t="shared" ref="N154:N155" si="71">+F154-M154</f>
        <v>180000000</v>
      </c>
      <c r="P154" s="194"/>
      <c r="S154" s="282"/>
      <c r="T154" s="282"/>
      <c r="U154" s="250"/>
    </row>
    <row r="155" spans="1:21" s="86" customFormat="1" ht="18" customHeight="1" x14ac:dyDescent="0.25">
      <c r="A155" s="85"/>
      <c r="B155" s="66"/>
      <c r="C155" s="61"/>
      <c r="D155" s="62" t="s">
        <v>397</v>
      </c>
      <c r="E155" s="62" t="s">
        <v>398</v>
      </c>
      <c r="F155" s="63">
        <v>25300000</v>
      </c>
      <c r="G155" s="75"/>
      <c r="H155" s="75"/>
      <c r="I155" s="75">
        <f t="shared" si="69"/>
        <v>0</v>
      </c>
      <c r="J155" s="75"/>
      <c r="K155" s="75"/>
      <c r="L155" s="75">
        <f t="shared" si="70"/>
        <v>0</v>
      </c>
      <c r="M155" s="75">
        <f t="shared" si="64"/>
        <v>0</v>
      </c>
      <c r="N155" s="63">
        <f t="shared" si="71"/>
        <v>25300000</v>
      </c>
      <c r="P155" s="194"/>
      <c r="S155" s="282"/>
      <c r="T155" s="282"/>
      <c r="U155" s="250"/>
    </row>
    <row r="156" spans="1:21" s="55" customFormat="1" ht="18" customHeight="1" x14ac:dyDescent="0.25">
      <c r="A156" s="50"/>
      <c r="B156" s="51"/>
      <c r="C156" s="50"/>
      <c r="D156" s="71" t="s">
        <v>399</v>
      </c>
      <c r="E156" s="51" t="s">
        <v>400</v>
      </c>
      <c r="F156" s="53">
        <f>+F157</f>
        <v>200000000</v>
      </c>
      <c r="G156" s="72">
        <f>+G160</f>
        <v>0</v>
      </c>
      <c r="H156" s="72">
        <f>+H160</f>
        <v>0</v>
      </c>
      <c r="I156" s="72">
        <f>+G156+H156</f>
        <v>0</v>
      </c>
      <c r="J156" s="72">
        <f>+J160</f>
        <v>0</v>
      </c>
      <c r="K156" s="72">
        <f>+K160+K157</f>
        <v>0</v>
      </c>
      <c r="L156" s="72">
        <f>+J156+K156</f>
        <v>0</v>
      </c>
      <c r="M156" s="72">
        <f t="shared" si="64"/>
        <v>0</v>
      </c>
      <c r="N156" s="53">
        <f>+F156-M156</f>
        <v>200000000</v>
      </c>
      <c r="P156" s="195"/>
      <c r="S156" s="282"/>
      <c r="T156" s="282"/>
      <c r="U156" s="243"/>
    </row>
    <row r="157" spans="1:21" s="67" customFormat="1" ht="18" customHeight="1" x14ac:dyDescent="0.25">
      <c r="A157" s="83"/>
      <c r="B157" s="84"/>
      <c r="C157" s="56"/>
      <c r="D157" s="57" t="s">
        <v>401</v>
      </c>
      <c r="E157" s="57" t="s">
        <v>402</v>
      </c>
      <c r="F157" s="58">
        <f>+F158</f>
        <v>200000000</v>
      </c>
      <c r="G157" s="59">
        <f>G158</f>
        <v>0</v>
      </c>
      <c r="H157" s="59">
        <f>+H158</f>
        <v>0</v>
      </c>
      <c r="I157" s="59">
        <f>+G157+H157</f>
        <v>0</v>
      </c>
      <c r="J157" s="59">
        <f>J158</f>
        <v>0</v>
      </c>
      <c r="K157" s="59">
        <f>+K158</f>
        <v>0</v>
      </c>
      <c r="L157" s="59">
        <f>+J157+K157</f>
        <v>0</v>
      </c>
      <c r="M157" s="59">
        <f t="shared" si="64"/>
        <v>0</v>
      </c>
      <c r="N157" s="58">
        <f>+F157-M157</f>
        <v>200000000</v>
      </c>
      <c r="P157" s="192"/>
      <c r="S157" s="282"/>
      <c r="T157" s="282"/>
      <c r="U157" s="249"/>
    </row>
    <row r="158" spans="1:21" s="86" customFormat="1" ht="18" customHeight="1" x14ac:dyDescent="0.25">
      <c r="A158" s="85"/>
      <c r="B158" s="66"/>
      <c r="C158" s="61"/>
      <c r="D158" s="62" t="s">
        <v>459</v>
      </c>
      <c r="E158" s="62" t="s">
        <v>460</v>
      </c>
      <c r="F158" s="63">
        <v>200000000</v>
      </c>
      <c r="G158" s="75"/>
      <c r="H158" s="75"/>
      <c r="I158" s="75">
        <f t="shared" ref="I158" si="72">+G158+H158</f>
        <v>0</v>
      </c>
      <c r="J158" s="75"/>
      <c r="K158" s="75"/>
      <c r="L158" s="75">
        <f t="shared" ref="L158" si="73">+J158+K158</f>
        <v>0</v>
      </c>
      <c r="M158" s="75">
        <f t="shared" si="64"/>
        <v>0</v>
      </c>
      <c r="N158" s="63">
        <f t="shared" ref="N158" si="74">+F158-M158</f>
        <v>200000000</v>
      </c>
      <c r="P158" s="194"/>
      <c r="S158" s="281"/>
      <c r="T158" s="282"/>
      <c r="U158" s="250"/>
    </row>
    <row r="159" spans="1:21" s="55" customFormat="1" ht="18" customHeight="1" x14ac:dyDescent="0.25">
      <c r="A159" s="50"/>
      <c r="B159" s="51"/>
      <c r="C159" s="50"/>
      <c r="D159" s="71" t="s">
        <v>273</v>
      </c>
      <c r="E159" s="51" t="s">
        <v>274</v>
      </c>
      <c r="F159" s="53">
        <f>+F160+F162</f>
        <v>540800000</v>
      </c>
      <c r="G159" s="72">
        <f>+G160+G162</f>
        <v>0</v>
      </c>
      <c r="H159" s="72">
        <f>+H160+H162</f>
        <v>0</v>
      </c>
      <c r="I159" s="72">
        <f>+G159+H159</f>
        <v>0</v>
      </c>
      <c r="J159" s="72">
        <f t="shared" ref="J159:K160" si="75">+J160</f>
        <v>0</v>
      </c>
      <c r="K159" s="72">
        <f t="shared" si="75"/>
        <v>0</v>
      </c>
      <c r="L159" s="72">
        <f t="shared" si="70"/>
        <v>0</v>
      </c>
      <c r="M159" s="72">
        <f t="shared" si="64"/>
        <v>0</v>
      </c>
      <c r="N159" s="53">
        <f>+F159-M159</f>
        <v>540800000</v>
      </c>
      <c r="P159" s="195"/>
      <c r="S159" s="282"/>
      <c r="T159" s="282"/>
      <c r="U159" s="243"/>
    </row>
    <row r="160" spans="1:21" s="67" customFormat="1" ht="18" customHeight="1" x14ac:dyDescent="0.25">
      <c r="A160" s="83"/>
      <c r="B160" s="84"/>
      <c r="C160" s="56"/>
      <c r="D160" s="57" t="s">
        <v>96</v>
      </c>
      <c r="E160" s="57" t="s">
        <v>98</v>
      </c>
      <c r="F160" s="58">
        <f>F161</f>
        <v>335000000</v>
      </c>
      <c r="G160" s="59">
        <f>+G161</f>
        <v>0</v>
      </c>
      <c r="H160" s="59">
        <f>+H161</f>
        <v>0</v>
      </c>
      <c r="I160" s="59">
        <f>+G160+H160</f>
        <v>0</v>
      </c>
      <c r="J160" s="59">
        <f>+J161</f>
        <v>0</v>
      </c>
      <c r="K160" s="59">
        <f t="shared" si="75"/>
        <v>0</v>
      </c>
      <c r="L160" s="59">
        <f t="shared" si="70"/>
        <v>0</v>
      </c>
      <c r="M160" s="59">
        <f t="shared" si="64"/>
        <v>0</v>
      </c>
      <c r="N160" s="58">
        <f>+F160-M160</f>
        <v>335000000</v>
      </c>
      <c r="P160" s="192"/>
      <c r="S160" s="282"/>
      <c r="T160" s="282"/>
      <c r="U160" s="249"/>
    </row>
    <row r="161" spans="1:21" s="86" customFormat="1" ht="18" customHeight="1" x14ac:dyDescent="0.25">
      <c r="A161" s="85"/>
      <c r="B161" s="66"/>
      <c r="C161" s="61"/>
      <c r="D161" s="62" t="s">
        <v>97</v>
      </c>
      <c r="E161" s="62" t="s">
        <v>99</v>
      </c>
      <c r="F161" s="63">
        <v>335000000</v>
      </c>
      <c r="G161" s="75"/>
      <c r="H161" s="75"/>
      <c r="I161" s="75">
        <f t="shared" si="59"/>
        <v>0</v>
      </c>
      <c r="J161" s="75"/>
      <c r="K161" s="75"/>
      <c r="L161" s="75">
        <f t="shared" si="70"/>
        <v>0</v>
      </c>
      <c r="M161" s="75">
        <f t="shared" si="64"/>
        <v>0</v>
      </c>
      <c r="N161" s="63">
        <f t="shared" ref="N161" si="76">+F161-M161</f>
        <v>335000000</v>
      </c>
      <c r="P161" s="194"/>
      <c r="S161" s="282"/>
      <c r="T161" s="282"/>
      <c r="U161" s="250"/>
    </row>
    <row r="162" spans="1:21" s="67" customFormat="1" ht="18" customHeight="1" x14ac:dyDescent="0.25">
      <c r="A162" s="83"/>
      <c r="B162" s="84"/>
      <c r="C162" s="56"/>
      <c r="D162" s="57" t="s">
        <v>382</v>
      </c>
      <c r="E162" s="57" t="s">
        <v>383</v>
      </c>
      <c r="F162" s="58">
        <f>SUM(F163:F164)</f>
        <v>205800000</v>
      </c>
      <c r="G162" s="59">
        <f>SUM(G163:G164)</f>
        <v>0</v>
      </c>
      <c r="H162" s="59">
        <f>SUM(H163:H164)</f>
        <v>0</v>
      </c>
      <c r="I162" s="59">
        <f>+G162+H162</f>
        <v>0</v>
      </c>
      <c r="J162" s="59">
        <f>SUM(J163:J164)</f>
        <v>0</v>
      </c>
      <c r="K162" s="59">
        <f>SUM(K163:K164)</f>
        <v>0</v>
      </c>
      <c r="L162" s="59">
        <f>+J162+K162</f>
        <v>0</v>
      </c>
      <c r="M162" s="59">
        <f t="shared" si="64"/>
        <v>0</v>
      </c>
      <c r="N162" s="58">
        <f>+F162-M162</f>
        <v>205800000</v>
      </c>
      <c r="P162" s="192"/>
      <c r="S162" s="282"/>
      <c r="T162" s="282"/>
      <c r="U162" s="249"/>
    </row>
    <row r="163" spans="1:21" s="86" customFormat="1" ht="18" customHeight="1" x14ac:dyDescent="0.25">
      <c r="A163" s="85"/>
      <c r="B163" s="66"/>
      <c r="C163" s="61"/>
      <c r="D163" s="62" t="s">
        <v>384</v>
      </c>
      <c r="E163" s="62" t="s">
        <v>385</v>
      </c>
      <c r="F163" s="63">
        <v>170400000</v>
      </c>
      <c r="G163" s="75"/>
      <c r="H163" s="75"/>
      <c r="I163" s="75">
        <f t="shared" si="59"/>
        <v>0</v>
      </c>
      <c r="J163" s="75"/>
      <c r="K163" s="75"/>
      <c r="L163" s="75">
        <f t="shared" si="70"/>
        <v>0</v>
      </c>
      <c r="M163" s="75">
        <f t="shared" si="64"/>
        <v>0</v>
      </c>
      <c r="N163" s="63">
        <f t="shared" ref="N163:N164" si="77">+F163-M163</f>
        <v>170400000</v>
      </c>
      <c r="P163" s="194"/>
      <c r="S163" s="282"/>
      <c r="T163" s="282"/>
      <c r="U163" s="250"/>
    </row>
    <row r="164" spans="1:21" s="144" customFormat="1" ht="18" customHeight="1" x14ac:dyDescent="0.25">
      <c r="A164" s="142"/>
      <c r="B164" s="143"/>
      <c r="C164" s="123"/>
      <c r="D164" s="124" t="s">
        <v>386</v>
      </c>
      <c r="E164" s="124" t="s">
        <v>387</v>
      </c>
      <c r="F164" s="125">
        <v>35400000</v>
      </c>
      <c r="G164" s="140"/>
      <c r="H164" s="140"/>
      <c r="I164" s="140">
        <f t="shared" si="59"/>
        <v>0</v>
      </c>
      <c r="J164" s="140"/>
      <c r="K164" s="140"/>
      <c r="L164" s="140">
        <f t="shared" si="70"/>
        <v>0</v>
      </c>
      <c r="M164" s="140">
        <f t="shared" si="64"/>
        <v>0</v>
      </c>
      <c r="N164" s="125">
        <f t="shared" si="77"/>
        <v>35400000</v>
      </c>
      <c r="P164" s="196"/>
      <c r="S164" s="286"/>
      <c r="T164" s="286"/>
      <c r="U164" s="252"/>
    </row>
    <row r="165" spans="1:21" s="121" customFormat="1" ht="18" customHeight="1" x14ac:dyDescent="0.25">
      <c r="A165" s="116">
        <v>7</v>
      </c>
      <c r="B165" s="117"/>
      <c r="C165" s="145" t="s">
        <v>102</v>
      </c>
      <c r="D165" s="118"/>
      <c r="E165" s="128" t="s">
        <v>103</v>
      </c>
      <c r="F165" s="119">
        <f t="shared" ref="F165:H168" si="78">+F166</f>
        <v>540210000</v>
      </c>
      <c r="G165" s="120">
        <f t="shared" si="78"/>
        <v>0</v>
      </c>
      <c r="H165" s="120">
        <f t="shared" si="78"/>
        <v>0</v>
      </c>
      <c r="I165" s="120">
        <f>+G165+H165</f>
        <v>0</v>
      </c>
      <c r="J165" s="120">
        <f>+J166</f>
        <v>0</v>
      </c>
      <c r="K165" s="120">
        <f t="shared" ref="J165:K168" si="79">+K166</f>
        <v>45950000</v>
      </c>
      <c r="L165" s="120">
        <f>+J165+K165</f>
        <v>45950000</v>
      </c>
      <c r="M165" s="120">
        <f>+I165+L165</f>
        <v>45950000</v>
      </c>
      <c r="N165" s="119">
        <f>+F165-M165</f>
        <v>494260000</v>
      </c>
      <c r="P165" s="190"/>
      <c r="R165" s="122"/>
      <c r="S165" s="283"/>
      <c r="T165" s="283"/>
      <c r="U165" s="246"/>
    </row>
    <row r="166" spans="1:21" s="107" customFormat="1" ht="18" customHeight="1" x14ac:dyDescent="0.25">
      <c r="A166" s="101"/>
      <c r="B166" s="102"/>
      <c r="C166" s="141"/>
      <c r="D166" s="103" t="s">
        <v>207</v>
      </c>
      <c r="E166" s="104" t="s">
        <v>262</v>
      </c>
      <c r="F166" s="105">
        <f t="shared" si="78"/>
        <v>540210000</v>
      </c>
      <c r="G166" s="106">
        <f t="shared" si="78"/>
        <v>0</v>
      </c>
      <c r="H166" s="106">
        <f t="shared" si="78"/>
        <v>0</v>
      </c>
      <c r="I166" s="106">
        <f>+G166+H166</f>
        <v>0</v>
      </c>
      <c r="J166" s="106">
        <f t="shared" si="79"/>
        <v>0</v>
      </c>
      <c r="K166" s="106">
        <f t="shared" si="79"/>
        <v>45950000</v>
      </c>
      <c r="L166" s="106">
        <f>+J166+K166</f>
        <v>45950000</v>
      </c>
      <c r="M166" s="106">
        <f t="shared" ref="M166:M169" si="80">+I166+L166</f>
        <v>45950000</v>
      </c>
      <c r="N166" s="105">
        <f>+F166-M166</f>
        <v>494260000</v>
      </c>
      <c r="P166" s="191"/>
      <c r="R166" s="108"/>
      <c r="S166" s="284"/>
      <c r="T166" s="284"/>
      <c r="U166" s="241"/>
    </row>
    <row r="167" spans="1:21" s="67" customFormat="1" ht="18" customHeight="1" x14ac:dyDescent="0.25">
      <c r="A167" s="81"/>
      <c r="B167" s="82"/>
      <c r="C167" s="44"/>
      <c r="D167" s="45" t="s">
        <v>63</v>
      </c>
      <c r="E167" s="45" t="s">
        <v>30</v>
      </c>
      <c r="F167" s="47">
        <f t="shared" si="78"/>
        <v>540210000</v>
      </c>
      <c r="G167" s="70">
        <f t="shared" si="78"/>
        <v>0</v>
      </c>
      <c r="H167" s="70">
        <f t="shared" si="78"/>
        <v>0</v>
      </c>
      <c r="I167" s="70">
        <f>+G167+H167</f>
        <v>0</v>
      </c>
      <c r="J167" s="70">
        <f t="shared" si="79"/>
        <v>0</v>
      </c>
      <c r="K167" s="70">
        <f t="shared" si="79"/>
        <v>45950000</v>
      </c>
      <c r="L167" s="70">
        <f>+J167+K167</f>
        <v>45950000</v>
      </c>
      <c r="M167" s="70">
        <f t="shared" si="80"/>
        <v>45950000</v>
      </c>
      <c r="N167" s="47">
        <f>+F167-M167</f>
        <v>494260000</v>
      </c>
      <c r="P167" s="192"/>
      <c r="S167" s="282"/>
      <c r="T167" s="282"/>
      <c r="U167" s="249"/>
    </row>
    <row r="168" spans="1:21" s="55" customFormat="1" ht="18" customHeight="1" x14ac:dyDescent="0.25">
      <c r="A168" s="50"/>
      <c r="B168" s="51"/>
      <c r="C168" s="50"/>
      <c r="D168" s="71" t="s">
        <v>263</v>
      </c>
      <c r="E168" s="51" t="s">
        <v>264</v>
      </c>
      <c r="F168" s="53">
        <f t="shared" si="78"/>
        <v>540210000</v>
      </c>
      <c r="G168" s="72">
        <f>+G169</f>
        <v>0</v>
      </c>
      <c r="H168" s="72">
        <f>+H169</f>
        <v>0</v>
      </c>
      <c r="I168" s="72">
        <f>+G168+H168</f>
        <v>0</v>
      </c>
      <c r="J168" s="72">
        <f t="shared" si="79"/>
        <v>0</v>
      </c>
      <c r="K168" s="72">
        <f t="shared" si="79"/>
        <v>45950000</v>
      </c>
      <c r="L168" s="72">
        <f>+J168+K168</f>
        <v>45950000</v>
      </c>
      <c r="M168" s="72">
        <f t="shared" si="80"/>
        <v>45950000</v>
      </c>
      <c r="N168" s="53">
        <f>+F168-M168</f>
        <v>494260000</v>
      </c>
      <c r="P168" s="195"/>
      <c r="S168" s="282"/>
      <c r="T168" s="282"/>
      <c r="U168" s="243"/>
    </row>
    <row r="169" spans="1:21" s="67" customFormat="1" ht="18" customHeight="1" x14ac:dyDescent="0.25">
      <c r="A169" s="83"/>
      <c r="B169" s="84"/>
      <c r="C169" s="56"/>
      <c r="D169" s="57" t="s">
        <v>64</v>
      </c>
      <c r="E169" s="57" t="s">
        <v>65</v>
      </c>
      <c r="F169" s="58">
        <f>SUM(F170:F172)</f>
        <v>540210000</v>
      </c>
      <c r="G169" s="59">
        <f>SUM(G170:G172)</f>
        <v>0</v>
      </c>
      <c r="H169" s="59">
        <f>SUM(H170:H172)</f>
        <v>0</v>
      </c>
      <c r="I169" s="59">
        <f>+G169+H169</f>
        <v>0</v>
      </c>
      <c r="J169" s="59">
        <f>SUM(J170:J172)</f>
        <v>0</v>
      </c>
      <c r="K169" s="59">
        <f>SUM(K170:K172)</f>
        <v>45950000</v>
      </c>
      <c r="L169" s="59">
        <f>+J169+K169</f>
        <v>45950000</v>
      </c>
      <c r="M169" s="59">
        <f t="shared" si="80"/>
        <v>45950000</v>
      </c>
      <c r="N169" s="58">
        <f>+F169-M169</f>
        <v>494260000</v>
      </c>
      <c r="P169" s="192"/>
      <c r="S169" s="282"/>
      <c r="T169" s="282"/>
      <c r="U169" s="249"/>
    </row>
    <row r="170" spans="1:21" s="86" customFormat="1" ht="18" customHeight="1" x14ac:dyDescent="0.25">
      <c r="A170" s="85"/>
      <c r="B170" s="66"/>
      <c r="C170" s="61"/>
      <c r="D170" s="62" t="s">
        <v>388</v>
      </c>
      <c r="E170" s="62" t="s">
        <v>389</v>
      </c>
      <c r="F170" s="63">
        <v>57760000</v>
      </c>
      <c r="G170" s="75"/>
      <c r="H170" s="75"/>
      <c r="I170" s="75">
        <f t="shared" ref="I170" si="81">+G170+H170</f>
        <v>0</v>
      </c>
      <c r="J170" s="75"/>
      <c r="K170" s="75">
        <v>4000000</v>
      </c>
      <c r="L170" s="75">
        <f t="shared" ref="L170:L172" si="82">+J170+K170</f>
        <v>4000000</v>
      </c>
      <c r="M170" s="75">
        <f>+I170+L170</f>
        <v>4000000</v>
      </c>
      <c r="N170" s="63">
        <f t="shared" ref="N170:N172" si="83">+F170-M170</f>
        <v>53760000</v>
      </c>
      <c r="P170" s="194"/>
      <c r="S170" s="281">
        <v>4000000</v>
      </c>
      <c r="T170" s="282"/>
      <c r="U170" s="250"/>
    </row>
    <row r="171" spans="1:21" s="86" customFormat="1" ht="18" customHeight="1" x14ac:dyDescent="0.25">
      <c r="A171" s="85"/>
      <c r="B171" s="66"/>
      <c r="C171" s="61"/>
      <c r="D171" s="62" t="s">
        <v>70</v>
      </c>
      <c r="E171" s="62" t="s">
        <v>33</v>
      </c>
      <c r="F171" s="63">
        <v>382450000</v>
      </c>
      <c r="G171" s="75"/>
      <c r="H171" s="75"/>
      <c r="I171" s="75">
        <f>+G171+H171</f>
        <v>0</v>
      </c>
      <c r="J171" s="75"/>
      <c r="K171" s="75">
        <f>12500000+15600000+2500000+2000000+2500000+3350000+2000000+1500000</f>
        <v>41950000</v>
      </c>
      <c r="L171" s="75">
        <f t="shared" si="82"/>
        <v>41950000</v>
      </c>
      <c r="M171" s="75">
        <f t="shared" ref="M171:M172" si="84">+I171+L171</f>
        <v>41950000</v>
      </c>
      <c r="N171" s="63">
        <f t="shared" si="83"/>
        <v>340500000</v>
      </c>
      <c r="P171" s="194"/>
      <c r="S171" s="281">
        <f>1000000+1000000+12500000+15600000+2500000+2500000+3350000+3500000</f>
        <v>41950000</v>
      </c>
      <c r="T171" s="282"/>
      <c r="U171" s="250"/>
    </row>
    <row r="172" spans="1:21" s="144" customFormat="1" ht="18" customHeight="1" x14ac:dyDescent="0.25">
      <c r="A172" s="142"/>
      <c r="B172" s="143"/>
      <c r="C172" s="123"/>
      <c r="D172" s="124" t="s">
        <v>104</v>
      </c>
      <c r="E172" s="124" t="s">
        <v>390</v>
      </c>
      <c r="F172" s="125">
        <v>100000000</v>
      </c>
      <c r="G172" s="140"/>
      <c r="H172" s="140"/>
      <c r="I172" s="140"/>
      <c r="J172" s="140">
        <v>0</v>
      </c>
      <c r="K172" s="140"/>
      <c r="L172" s="140">
        <f t="shared" si="82"/>
        <v>0</v>
      </c>
      <c r="M172" s="140">
        <f t="shared" si="84"/>
        <v>0</v>
      </c>
      <c r="N172" s="125">
        <f t="shared" si="83"/>
        <v>100000000</v>
      </c>
      <c r="P172" s="196"/>
      <c r="S172" s="286"/>
      <c r="T172" s="286"/>
      <c r="U172" s="252"/>
    </row>
    <row r="173" spans="1:21" s="121" customFormat="1" ht="18" customHeight="1" x14ac:dyDescent="0.25">
      <c r="A173" s="116">
        <v>8</v>
      </c>
      <c r="B173" s="117"/>
      <c r="C173" s="145" t="s">
        <v>105</v>
      </c>
      <c r="D173" s="118"/>
      <c r="E173" s="128" t="s">
        <v>106</v>
      </c>
      <c r="F173" s="119">
        <f t="shared" ref="F173:H180" si="85">+F174</f>
        <v>1600450000</v>
      </c>
      <c r="G173" s="120">
        <f t="shared" si="85"/>
        <v>0</v>
      </c>
      <c r="H173" s="120">
        <f>+H174</f>
        <v>142125000</v>
      </c>
      <c r="I173" s="120">
        <f>+G173+H173</f>
        <v>142125000</v>
      </c>
      <c r="J173" s="120">
        <f t="shared" ref="J173:K180" si="86">+J174</f>
        <v>0</v>
      </c>
      <c r="K173" s="120">
        <f t="shared" si="86"/>
        <v>56100600</v>
      </c>
      <c r="L173" s="120">
        <f>+J173+K173</f>
        <v>56100600</v>
      </c>
      <c r="M173" s="120">
        <f>+I173+L173</f>
        <v>198225600</v>
      </c>
      <c r="N173" s="119">
        <f>+F173-M173</f>
        <v>1402224400</v>
      </c>
      <c r="P173" s="190"/>
      <c r="R173" s="122"/>
      <c r="S173" s="283"/>
      <c r="T173" s="283"/>
      <c r="U173" s="246"/>
    </row>
    <row r="174" spans="1:21" s="107" customFormat="1" ht="18" customHeight="1" x14ac:dyDescent="0.25">
      <c r="A174" s="101"/>
      <c r="B174" s="102"/>
      <c r="C174" s="141"/>
      <c r="D174" s="103" t="s">
        <v>207</v>
      </c>
      <c r="E174" s="104" t="s">
        <v>262</v>
      </c>
      <c r="F174" s="105">
        <f>+F175</f>
        <v>1600450000</v>
      </c>
      <c r="G174" s="106">
        <f t="shared" si="85"/>
        <v>0</v>
      </c>
      <c r="H174" s="106">
        <f t="shared" si="85"/>
        <v>142125000</v>
      </c>
      <c r="I174" s="106">
        <f>+G174+H174</f>
        <v>142125000</v>
      </c>
      <c r="J174" s="106">
        <f t="shared" si="86"/>
        <v>0</v>
      </c>
      <c r="K174" s="106">
        <f t="shared" si="86"/>
        <v>56100600</v>
      </c>
      <c r="L174" s="106">
        <f>+J174+K174</f>
        <v>56100600</v>
      </c>
      <c r="M174" s="106">
        <f t="shared" ref="M174:M182" si="87">+I174+L174</f>
        <v>198225600</v>
      </c>
      <c r="N174" s="105">
        <f>+F174-M174</f>
        <v>1402224400</v>
      </c>
      <c r="P174" s="191"/>
      <c r="R174" s="108"/>
      <c r="S174" s="284"/>
      <c r="T174" s="284"/>
      <c r="U174" s="241"/>
    </row>
    <row r="175" spans="1:21" s="67" customFormat="1" ht="18" customHeight="1" x14ac:dyDescent="0.25">
      <c r="A175" s="81"/>
      <c r="B175" s="82"/>
      <c r="C175" s="44"/>
      <c r="D175" s="45" t="s">
        <v>63</v>
      </c>
      <c r="E175" s="45" t="s">
        <v>30</v>
      </c>
      <c r="F175" s="47">
        <f>+F180+F176</f>
        <v>1600450000</v>
      </c>
      <c r="G175" s="70">
        <f>+G180</f>
        <v>0</v>
      </c>
      <c r="H175" s="70">
        <f>+H180+H176</f>
        <v>142125000</v>
      </c>
      <c r="I175" s="70">
        <f>+G175+H175</f>
        <v>142125000</v>
      </c>
      <c r="J175" s="70">
        <f>+J180+J176</f>
        <v>0</v>
      </c>
      <c r="K175" s="70">
        <f>+K180+K176</f>
        <v>56100600</v>
      </c>
      <c r="L175" s="70">
        <f>+J175+K175</f>
        <v>56100600</v>
      </c>
      <c r="M175" s="70">
        <f t="shared" si="87"/>
        <v>198225600</v>
      </c>
      <c r="N175" s="47">
        <f>+F175-M175</f>
        <v>1402224400</v>
      </c>
      <c r="P175" s="192"/>
      <c r="S175" s="282"/>
      <c r="T175" s="282"/>
      <c r="U175" s="249"/>
    </row>
    <row r="176" spans="1:21" s="55" customFormat="1" ht="18" customHeight="1" x14ac:dyDescent="0.25">
      <c r="A176" s="50"/>
      <c r="B176" s="51"/>
      <c r="C176" s="50"/>
      <c r="D176" s="71" t="s">
        <v>263</v>
      </c>
      <c r="E176" s="51" t="s">
        <v>264</v>
      </c>
      <c r="F176" s="53">
        <f>+F177</f>
        <v>32500000</v>
      </c>
      <c r="G176" s="72">
        <f>+G177</f>
        <v>0</v>
      </c>
      <c r="H176" s="72">
        <f>+H177</f>
        <v>0</v>
      </c>
      <c r="I176" s="72">
        <f>+G176+H176</f>
        <v>0</v>
      </c>
      <c r="J176" s="72">
        <f t="shared" si="86"/>
        <v>0</v>
      </c>
      <c r="K176" s="72">
        <f t="shared" si="86"/>
        <v>0</v>
      </c>
      <c r="L176" s="72">
        <f>+J176+K176</f>
        <v>0</v>
      </c>
      <c r="M176" s="72">
        <f t="shared" si="87"/>
        <v>0</v>
      </c>
      <c r="N176" s="53">
        <f>+F176-M176</f>
        <v>32500000</v>
      </c>
      <c r="P176" s="195"/>
      <c r="S176" s="282"/>
      <c r="T176" s="282"/>
      <c r="U176" s="243"/>
    </row>
    <row r="177" spans="1:21" s="67" customFormat="1" ht="18" customHeight="1" x14ac:dyDescent="0.25">
      <c r="A177" s="83"/>
      <c r="B177" s="84"/>
      <c r="C177" s="56"/>
      <c r="D177" s="57" t="s">
        <v>64</v>
      </c>
      <c r="E177" s="57" t="s">
        <v>65</v>
      </c>
      <c r="F177" s="58">
        <f>+F179+F178</f>
        <v>32500000</v>
      </c>
      <c r="G177" s="59">
        <f>+G179</f>
        <v>0</v>
      </c>
      <c r="H177" s="59">
        <f>SUM(H179)</f>
        <v>0</v>
      </c>
      <c r="I177" s="59">
        <f>+G177+H177</f>
        <v>0</v>
      </c>
      <c r="J177" s="59">
        <f>+J179</f>
        <v>0</v>
      </c>
      <c r="K177" s="59">
        <f>+K179</f>
        <v>0</v>
      </c>
      <c r="L177" s="59">
        <f>+J177+K177</f>
        <v>0</v>
      </c>
      <c r="M177" s="59">
        <f t="shared" si="87"/>
        <v>0</v>
      </c>
      <c r="N177" s="58">
        <f>+F177-M177</f>
        <v>32500000</v>
      </c>
      <c r="P177" s="192"/>
      <c r="S177" s="282"/>
      <c r="T177" s="282"/>
      <c r="U177" s="249"/>
    </row>
    <row r="178" spans="1:21" s="86" customFormat="1" ht="18" customHeight="1" x14ac:dyDescent="0.25">
      <c r="A178" s="85"/>
      <c r="B178" s="66"/>
      <c r="C178" s="61"/>
      <c r="D178" s="62" t="s">
        <v>443</v>
      </c>
      <c r="E178" s="62" t="s">
        <v>444</v>
      </c>
      <c r="F178" s="63">
        <v>17500000</v>
      </c>
      <c r="G178" s="75"/>
      <c r="H178" s="75"/>
      <c r="I178" s="75">
        <f t="shared" ref="I178:I179" si="88">+G178+H178</f>
        <v>0</v>
      </c>
      <c r="J178" s="75"/>
      <c r="K178" s="75"/>
      <c r="L178" s="75">
        <f t="shared" ref="L178:L179" si="89">+J178+K178</f>
        <v>0</v>
      </c>
      <c r="M178" s="75">
        <f t="shared" si="87"/>
        <v>0</v>
      </c>
      <c r="N178" s="63">
        <f t="shared" ref="N178:N179" si="90">+F178-M178</f>
        <v>17500000</v>
      </c>
      <c r="P178" s="194"/>
      <c r="S178" s="282"/>
      <c r="T178" s="282"/>
      <c r="U178" s="250"/>
    </row>
    <row r="179" spans="1:21" s="86" customFormat="1" ht="18" customHeight="1" x14ac:dyDescent="0.25">
      <c r="A179" s="85"/>
      <c r="B179" s="66"/>
      <c r="C179" s="61"/>
      <c r="D179" s="62" t="s">
        <v>447</v>
      </c>
      <c r="E179" s="62" t="s">
        <v>448</v>
      </c>
      <c r="F179" s="63">
        <v>15000000</v>
      </c>
      <c r="G179" s="75"/>
      <c r="H179" s="75"/>
      <c r="I179" s="75">
        <f t="shared" si="88"/>
        <v>0</v>
      </c>
      <c r="J179" s="75"/>
      <c r="K179" s="75"/>
      <c r="L179" s="75">
        <f t="shared" si="89"/>
        <v>0</v>
      </c>
      <c r="M179" s="75">
        <f t="shared" si="87"/>
        <v>0</v>
      </c>
      <c r="N179" s="63">
        <f t="shared" si="90"/>
        <v>15000000</v>
      </c>
      <c r="P179" s="194"/>
      <c r="S179" s="282"/>
      <c r="T179" s="282"/>
      <c r="U179" s="250"/>
    </row>
    <row r="180" spans="1:21" s="55" customFormat="1" ht="18" customHeight="1" x14ac:dyDescent="0.25">
      <c r="A180" s="50"/>
      <c r="B180" s="51"/>
      <c r="C180" s="50"/>
      <c r="D180" s="71" t="s">
        <v>265</v>
      </c>
      <c r="E180" s="51" t="s">
        <v>266</v>
      </c>
      <c r="F180" s="53">
        <f t="shared" si="85"/>
        <v>1567950000</v>
      </c>
      <c r="G180" s="72">
        <f>+G181</f>
        <v>0</v>
      </c>
      <c r="H180" s="72">
        <f>+H181</f>
        <v>142125000</v>
      </c>
      <c r="I180" s="72">
        <f>+G180+H180</f>
        <v>142125000</v>
      </c>
      <c r="J180" s="72">
        <f t="shared" si="86"/>
        <v>0</v>
      </c>
      <c r="K180" s="72">
        <f t="shared" si="86"/>
        <v>56100600</v>
      </c>
      <c r="L180" s="72">
        <f>+J180+K180</f>
        <v>56100600</v>
      </c>
      <c r="M180" s="72">
        <f t="shared" si="87"/>
        <v>198225600</v>
      </c>
      <c r="N180" s="53">
        <f>+F180-M180</f>
        <v>1369724400</v>
      </c>
      <c r="P180" s="195"/>
      <c r="S180" s="282"/>
      <c r="T180" s="282"/>
      <c r="U180" s="243"/>
    </row>
    <row r="181" spans="1:21" s="67" customFormat="1" ht="18" customHeight="1" x14ac:dyDescent="0.25">
      <c r="A181" s="83"/>
      <c r="B181" s="84"/>
      <c r="C181" s="56"/>
      <c r="D181" s="57" t="s">
        <v>71</v>
      </c>
      <c r="E181" s="57" t="s">
        <v>72</v>
      </c>
      <c r="F181" s="58">
        <f>SUM(F182:F183)</f>
        <v>1567950000</v>
      </c>
      <c r="G181" s="59">
        <f>SUM(G182:G183)</f>
        <v>0</v>
      </c>
      <c r="H181" s="59">
        <f>SUM(H182:H183)</f>
        <v>142125000</v>
      </c>
      <c r="I181" s="59">
        <f>+G181+H181</f>
        <v>142125000</v>
      </c>
      <c r="J181" s="59">
        <f>SUM(J182:J183)</f>
        <v>0</v>
      </c>
      <c r="K181" s="59">
        <f>SUM(K182:K183)</f>
        <v>56100600</v>
      </c>
      <c r="L181" s="59">
        <f>+J181+K181</f>
        <v>56100600</v>
      </c>
      <c r="M181" s="59">
        <f t="shared" si="87"/>
        <v>198225600</v>
      </c>
      <c r="N181" s="58">
        <f>+F181-M181</f>
        <v>1369724400</v>
      </c>
      <c r="P181" s="192"/>
      <c r="S181" s="282"/>
      <c r="T181" s="282"/>
      <c r="U181" s="249"/>
    </row>
    <row r="182" spans="1:21" s="86" customFormat="1" ht="18" customHeight="1" x14ac:dyDescent="0.25">
      <c r="A182" s="85"/>
      <c r="B182" s="66"/>
      <c r="C182" s="61"/>
      <c r="D182" s="62" t="s">
        <v>73</v>
      </c>
      <c r="E182" s="62" t="s">
        <v>74</v>
      </c>
      <c r="F182" s="63">
        <v>1501270000</v>
      </c>
      <c r="G182" s="75"/>
      <c r="H182" s="75">
        <v>142125000</v>
      </c>
      <c r="I182" s="75">
        <f t="shared" ref="I182" si="91">+G182+H182</f>
        <v>142125000</v>
      </c>
      <c r="J182" s="75"/>
      <c r="K182" s="75">
        <f>16020000+954000+256000+655000+505000+256000+1105000+676000+970000+970000+23964000+1889000+695000</f>
        <v>48915000</v>
      </c>
      <c r="L182" s="75">
        <f t="shared" ref="L182:L193" si="92">+J182+K182</f>
        <v>48915000</v>
      </c>
      <c r="M182" s="75">
        <f t="shared" si="87"/>
        <v>191040000</v>
      </c>
      <c r="N182" s="63">
        <f t="shared" ref="N182:N183" si="93">+F182-M182</f>
        <v>1310230000</v>
      </c>
      <c r="P182" s="194"/>
      <c r="S182" s="281">
        <f>23964000+1889000+695000+16020000+954000+256000+655000+505000+256000+1105000+676000+970000+970000</f>
        <v>48915000</v>
      </c>
      <c r="T182" s="281">
        <v>142125000</v>
      </c>
      <c r="U182" s="250"/>
    </row>
    <row r="183" spans="1:21" s="144" customFormat="1" ht="18" customHeight="1" x14ac:dyDescent="0.25">
      <c r="A183" s="142"/>
      <c r="B183" s="143"/>
      <c r="C183" s="123"/>
      <c r="D183" s="124" t="s">
        <v>88</v>
      </c>
      <c r="E183" s="124" t="s">
        <v>89</v>
      </c>
      <c r="F183" s="125">
        <v>66680000</v>
      </c>
      <c r="G183" s="140"/>
      <c r="H183" s="140"/>
      <c r="I183" s="140"/>
      <c r="J183" s="140"/>
      <c r="K183" s="140">
        <f>340000+340000+340000+340000+340000+340000+340000+340000+880000+2068100+969500+338000+210000</f>
        <v>7185600</v>
      </c>
      <c r="L183" s="140">
        <f t="shared" si="92"/>
        <v>7185600</v>
      </c>
      <c r="M183" s="140">
        <f>+I183+L183</f>
        <v>7185600</v>
      </c>
      <c r="N183" s="125">
        <f t="shared" si="93"/>
        <v>59494400</v>
      </c>
      <c r="P183" s="196"/>
      <c r="S183" s="285">
        <f>2068100+969500+338000+210000+340000+340000+340000+1700000+880000</f>
        <v>7185600</v>
      </c>
      <c r="T183" s="286"/>
      <c r="U183" s="252"/>
    </row>
    <row r="184" spans="1:21" s="121" customFormat="1" ht="18" customHeight="1" x14ac:dyDescent="0.25">
      <c r="A184" s="116">
        <v>9</v>
      </c>
      <c r="B184" s="117"/>
      <c r="C184" s="145" t="s">
        <v>109</v>
      </c>
      <c r="D184" s="118"/>
      <c r="E184" s="128" t="s">
        <v>110</v>
      </c>
      <c r="F184" s="119">
        <f>+F185+F201</f>
        <v>200844000</v>
      </c>
      <c r="G184" s="120">
        <f>+G185+G201</f>
        <v>0</v>
      </c>
      <c r="H184" s="120">
        <f>+H185+H201</f>
        <v>0</v>
      </c>
      <c r="I184" s="120">
        <f>+G184+H184</f>
        <v>0</v>
      </c>
      <c r="J184" s="120">
        <f>+J185+J201</f>
        <v>6240000</v>
      </c>
      <c r="K184" s="120">
        <f>+K185+K201</f>
        <v>6240000</v>
      </c>
      <c r="L184" s="120">
        <f t="shared" si="92"/>
        <v>12480000</v>
      </c>
      <c r="M184" s="120">
        <f>+I184+L184</f>
        <v>12480000</v>
      </c>
      <c r="N184" s="119">
        <f>+F184-M184</f>
        <v>188364000</v>
      </c>
      <c r="P184" s="190"/>
      <c r="R184" s="122"/>
      <c r="S184" s="283"/>
      <c r="T184" s="283"/>
      <c r="U184" s="246"/>
    </row>
    <row r="185" spans="1:21" s="107" customFormat="1" ht="18" customHeight="1" x14ac:dyDescent="0.25">
      <c r="A185" s="101"/>
      <c r="B185" s="102"/>
      <c r="C185" s="141"/>
      <c r="D185" s="103" t="s">
        <v>207</v>
      </c>
      <c r="E185" s="104" t="s">
        <v>262</v>
      </c>
      <c r="F185" s="105">
        <f>+F186</f>
        <v>174844000</v>
      </c>
      <c r="G185" s="106">
        <f>+G186</f>
        <v>0</v>
      </c>
      <c r="H185" s="106">
        <f>+H186</f>
        <v>0</v>
      </c>
      <c r="I185" s="106">
        <f>+G185+H185</f>
        <v>0</v>
      </c>
      <c r="J185" s="106">
        <f>+J186</f>
        <v>6240000</v>
      </c>
      <c r="K185" s="106">
        <f>+K186</f>
        <v>6240000</v>
      </c>
      <c r="L185" s="106">
        <f t="shared" si="92"/>
        <v>12480000</v>
      </c>
      <c r="M185" s="106">
        <f>+I185+L185</f>
        <v>12480000</v>
      </c>
      <c r="N185" s="105">
        <f>+F185-M185</f>
        <v>162364000</v>
      </c>
      <c r="P185" s="191"/>
      <c r="R185" s="108"/>
      <c r="S185" s="284"/>
      <c r="T185" s="284"/>
      <c r="U185" s="241"/>
    </row>
    <row r="186" spans="1:21" s="67" customFormat="1" ht="18" customHeight="1" x14ac:dyDescent="0.25">
      <c r="A186" s="81"/>
      <c r="B186" s="82"/>
      <c r="C186" s="44"/>
      <c r="D186" s="45" t="s">
        <v>63</v>
      </c>
      <c r="E186" s="45" t="s">
        <v>30</v>
      </c>
      <c r="F186" s="47">
        <f>+F187+F194+F198</f>
        <v>174844000</v>
      </c>
      <c r="G186" s="70">
        <f>+G187+G194</f>
        <v>0</v>
      </c>
      <c r="H186" s="70">
        <f>+H187+H194</f>
        <v>0</v>
      </c>
      <c r="I186" s="70">
        <f>+G186+H186</f>
        <v>0</v>
      </c>
      <c r="J186" s="70">
        <f>+J187+J194</f>
        <v>6240000</v>
      </c>
      <c r="K186" s="70">
        <f>+K187+K194</f>
        <v>6240000</v>
      </c>
      <c r="L186" s="70">
        <f t="shared" si="92"/>
        <v>12480000</v>
      </c>
      <c r="M186" s="70">
        <f t="shared" ref="M186:M196" si="94">+I186+L186</f>
        <v>12480000</v>
      </c>
      <c r="N186" s="47">
        <f>+F186-M186</f>
        <v>162364000</v>
      </c>
      <c r="P186" s="192"/>
      <c r="S186" s="282"/>
      <c r="T186" s="282"/>
      <c r="U186" s="249"/>
    </row>
    <row r="187" spans="1:21" s="55" customFormat="1" ht="18" customHeight="1" x14ac:dyDescent="0.25">
      <c r="A187" s="50"/>
      <c r="B187" s="51"/>
      <c r="C187" s="50"/>
      <c r="D187" s="71" t="s">
        <v>263</v>
      </c>
      <c r="E187" s="51" t="s">
        <v>264</v>
      </c>
      <c r="F187" s="53">
        <f t="shared" ref="F187" si="95">+F188</f>
        <v>44044000</v>
      </c>
      <c r="G187" s="72">
        <f>+G188</f>
        <v>0</v>
      </c>
      <c r="H187" s="72">
        <f>+H188</f>
        <v>0</v>
      </c>
      <c r="I187" s="72">
        <f>+G187+H187</f>
        <v>0</v>
      </c>
      <c r="J187" s="72">
        <f>+J188</f>
        <v>0</v>
      </c>
      <c r="K187" s="72">
        <f>+K188</f>
        <v>0</v>
      </c>
      <c r="L187" s="72">
        <f t="shared" si="92"/>
        <v>0</v>
      </c>
      <c r="M187" s="72">
        <f t="shared" si="94"/>
        <v>0</v>
      </c>
      <c r="N187" s="53">
        <f>+F187-M187</f>
        <v>44044000</v>
      </c>
      <c r="P187" s="195"/>
      <c r="S187" s="282"/>
      <c r="T187" s="282"/>
      <c r="U187" s="243"/>
    </row>
    <row r="188" spans="1:21" s="67" customFormat="1" ht="18" customHeight="1" x14ac:dyDescent="0.25">
      <c r="A188" s="83"/>
      <c r="B188" s="84"/>
      <c r="C188" s="56"/>
      <c r="D188" s="57" t="s">
        <v>64</v>
      </c>
      <c r="E188" s="57" t="s">
        <v>65</v>
      </c>
      <c r="F188" s="58">
        <f>SUM(F189:F193)</f>
        <v>44044000</v>
      </c>
      <c r="G188" s="59">
        <f>SUM(G189:G193)</f>
        <v>0</v>
      </c>
      <c r="H188" s="59">
        <f>SUM(H189:H193)</f>
        <v>0</v>
      </c>
      <c r="I188" s="59">
        <f>+G188+H188</f>
        <v>0</v>
      </c>
      <c r="J188" s="59">
        <f>SUM(J189:J193)</f>
        <v>0</v>
      </c>
      <c r="K188" s="59">
        <f>SUM(K189:K193)</f>
        <v>0</v>
      </c>
      <c r="L188" s="59">
        <f t="shared" si="92"/>
        <v>0</v>
      </c>
      <c r="M188" s="59">
        <f t="shared" si="94"/>
        <v>0</v>
      </c>
      <c r="N188" s="58">
        <f>+F188-M188</f>
        <v>44044000</v>
      </c>
      <c r="P188" s="192"/>
      <c r="S188" s="282"/>
      <c r="T188" s="282"/>
      <c r="U188" s="249"/>
    </row>
    <row r="189" spans="1:21" s="86" customFormat="1" ht="18" customHeight="1" x14ac:dyDescent="0.25">
      <c r="A189" s="85"/>
      <c r="B189" s="66"/>
      <c r="C189" s="61"/>
      <c r="D189" s="62" t="s">
        <v>66</v>
      </c>
      <c r="E189" s="62" t="s">
        <v>67</v>
      </c>
      <c r="F189" s="63">
        <v>24037500</v>
      </c>
      <c r="G189" s="75"/>
      <c r="H189" s="75"/>
      <c r="I189" s="75">
        <f t="shared" ref="I189" si="96">+G189+H189</f>
        <v>0</v>
      </c>
      <c r="J189" s="75"/>
      <c r="K189" s="75"/>
      <c r="L189" s="75">
        <f t="shared" si="92"/>
        <v>0</v>
      </c>
      <c r="M189" s="140">
        <f t="shared" si="94"/>
        <v>0</v>
      </c>
      <c r="N189" s="63">
        <f t="shared" ref="N189:N193" si="97">+F189-M189</f>
        <v>24037500</v>
      </c>
      <c r="P189" s="194"/>
      <c r="S189" s="282"/>
      <c r="T189" s="282"/>
      <c r="U189" s="250"/>
    </row>
    <row r="190" spans="1:21" s="86" customFormat="1" ht="18" customHeight="1" x14ac:dyDescent="0.25">
      <c r="A190" s="85"/>
      <c r="B190" s="66"/>
      <c r="C190" s="61"/>
      <c r="D190" s="62" t="s">
        <v>337</v>
      </c>
      <c r="E190" s="62" t="s">
        <v>338</v>
      </c>
      <c r="F190" s="63">
        <v>12104000</v>
      </c>
      <c r="G190" s="75"/>
      <c r="H190" s="75"/>
      <c r="I190" s="75"/>
      <c r="J190" s="75"/>
      <c r="K190" s="75"/>
      <c r="L190" s="75">
        <f t="shared" si="92"/>
        <v>0</v>
      </c>
      <c r="M190" s="140">
        <f t="shared" si="94"/>
        <v>0</v>
      </c>
      <c r="N190" s="63">
        <f t="shared" si="97"/>
        <v>12104000</v>
      </c>
      <c r="P190" s="194"/>
      <c r="S190" s="282"/>
      <c r="T190" s="282"/>
      <c r="U190" s="250"/>
    </row>
    <row r="191" spans="1:21" s="86" customFormat="1" ht="18" customHeight="1" x14ac:dyDescent="0.25">
      <c r="A191" s="85"/>
      <c r="B191" s="66"/>
      <c r="C191" s="61"/>
      <c r="D191" s="62" t="s">
        <v>367</v>
      </c>
      <c r="E191" s="62" t="s">
        <v>368</v>
      </c>
      <c r="F191" s="63">
        <v>3142500</v>
      </c>
      <c r="G191" s="75"/>
      <c r="H191" s="75"/>
      <c r="I191" s="75"/>
      <c r="J191" s="75"/>
      <c r="K191" s="75"/>
      <c r="L191" s="75">
        <f t="shared" si="92"/>
        <v>0</v>
      </c>
      <c r="M191" s="140">
        <f t="shared" si="94"/>
        <v>0</v>
      </c>
      <c r="N191" s="63">
        <f t="shared" si="97"/>
        <v>3142500</v>
      </c>
      <c r="P191" s="194"/>
      <c r="S191" s="282"/>
      <c r="T191" s="282"/>
      <c r="U191" s="250"/>
    </row>
    <row r="192" spans="1:21" s="86" customFormat="1" ht="18" customHeight="1" x14ac:dyDescent="0.25">
      <c r="A192" s="85"/>
      <c r="B192" s="66"/>
      <c r="C192" s="61"/>
      <c r="D192" s="62" t="s">
        <v>373</v>
      </c>
      <c r="E192" s="62" t="s">
        <v>392</v>
      </c>
      <c r="F192" s="63">
        <v>560000</v>
      </c>
      <c r="G192" s="75"/>
      <c r="H192" s="75"/>
      <c r="I192" s="75"/>
      <c r="J192" s="75"/>
      <c r="K192" s="75"/>
      <c r="L192" s="75">
        <f t="shared" si="92"/>
        <v>0</v>
      </c>
      <c r="M192" s="140">
        <f t="shared" si="94"/>
        <v>0</v>
      </c>
      <c r="N192" s="63">
        <f t="shared" si="97"/>
        <v>560000</v>
      </c>
      <c r="P192" s="194"/>
      <c r="S192" s="282"/>
      <c r="T192" s="282"/>
      <c r="U192" s="250"/>
    </row>
    <row r="193" spans="1:21" s="86" customFormat="1" ht="18" customHeight="1" x14ac:dyDescent="0.25">
      <c r="A193" s="85"/>
      <c r="B193" s="66"/>
      <c r="C193" s="61"/>
      <c r="D193" s="62" t="s">
        <v>70</v>
      </c>
      <c r="E193" s="62" t="s">
        <v>33</v>
      </c>
      <c r="F193" s="63">
        <v>4200000</v>
      </c>
      <c r="G193" s="75"/>
      <c r="H193" s="75"/>
      <c r="I193" s="75"/>
      <c r="J193" s="75"/>
      <c r="K193" s="75"/>
      <c r="L193" s="75">
        <f t="shared" si="92"/>
        <v>0</v>
      </c>
      <c r="M193" s="140">
        <f t="shared" si="94"/>
        <v>0</v>
      </c>
      <c r="N193" s="63">
        <f t="shared" si="97"/>
        <v>4200000</v>
      </c>
      <c r="P193" s="194"/>
      <c r="S193" s="282"/>
      <c r="T193" s="282"/>
      <c r="U193" s="250"/>
    </row>
    <row r="194" spans="1:21" s="55" customFormat="1" ht="18" customHeight="1" x14ac:dyDescent="0.25">
      <c r="A194" s="50"/>
      <c r="B194" s="51"/>
      <c r="C194" s="50"/>
      <c r="D194" s="71" t="s">
        <v>271</v>
      </c>
      <c r="E194" s="51" t="s">
        <v>272</v>
      </c>
      <c r="F194" s="53">
        <f t="shared" ref="F194" si="98">+F195</f>
        <v>78300000</v>
      </c>
      <c r="G194" s="72">
        <f>+G195</f>
        <v>0</v>
      </c>
      <c r="H194" s="72">
        <f>+H195</f>
        <v>0</v>
      </c>
      <c r="I194" s="72">
        <f>+G194+H194</f>
        <v>0</v>
      </c>
      <c r="J194" s="72">
        <f>+J195</f>
        <v>6240000</v>
      </c>
      <c r="K194" s="72">
        <f>+K195</f>
        <v>6240000</v>
      </c>
      <c r="L194" s="72">
        <f>+J194+K194</f>
        <v>12480000</v>
      </c>
      <c r="M194" s="72">
        <f t="shared" si="94"/>
        <v>12480000</v>
      </c>
      <c r="N194" s="53">
        <f>+F194-M194</f>
        <v>65820000</v>
      </c>
      <c r="P194" s="195"/>
      <c r="S194" s="282"/>
      <c r="T194" s="282"/>
      <c r="U194" s="243"/>
    </row>
    <row r="195" spans="1:21" s="67" customFormat="1" ht="18" customHeight="1" x14ac:dyDescent="0.25">
      <c r="A195" s="83"/>
      <c r="B195" s="84"/>
      <c r="C195" s="56"/>
      <c r="D195" s="57" t="s">
        <v>81</v>
      </c>
      <c r="E195" s="57" t="s">
        <v>31</v>
      </c>
      <c r="F195" s="58">
        <f>SUM(F196:F197)</f>
        <v>78300000</v>
      </c>
      <c r="G195" s="59">
        <f>SUM(G197:G197)</f>
        <v>0</v>
      </c>
      <c r="H195" s="59">
        <f>+H197</f>
        <v>0</v>
      </c>
      <c r="I195" s="59">
        <f>+G195+H195</f>
        <v>0</v>
      </c>
      <c r="J195" s="59">
        <f>SUM(J197:J197)</f>
        <v>6240000</v>
      </c>
      <c r="K195" s="59">
        <f>+K197</f>
        <v>6240000</v>
      </c>
      <c r="L195" s="59">
        <f>+J195+K195</f>
        <v>12480000</v>
      </c>
      <c r="M195" s="59">
        <f t="shared" si="94"/>
        <v>12480000</v>
      </c>
      <c r="N195" s="58">
        <f>+F195-M195</f>
        <v>65820000</v>
      </c>
      <c r="P195" s="192"/>
      <c r="S195" s="282"/>
      <c r="T195" s="282"/>
      <c r="U195" s="249"/>
    </row>
    <row r="196" spans="1:21" s="86" customFormat="1" ht="18" customHeight="1" x14ac:dyDescent="0.25">
      <c r="A196" s="85"/>
      <c r="B196" s="66"/>
      <c r="C196" s="61"/>
      <c r="D196" s="62" t="s">
        <v>451</v>
      </c>
      <c r="E196" s="62" t="s">
        <v>452</v>
      </c>
      <c r="F196" s="63">
        <v>1500000</v>
      </c>
      <c r="G196" s="75"/>
      <c r="H196" s="75"/>
      <c r="I196" s="75">
        <f t="shared" ref="I196" si="99">+G196+H196</f>
        <v>0</v>
      </c>
      <c r="J196" s="75"/>
      <c r="K196" s="75"/>
      <c r="L196" s="75">
        <f t="shared" ref="L196" si="100">+J196+K196</f>
        <v>0</v>
      </c>
      <c r="M196" s="75">
        <f t="shared" si="94"/>
        <v>0</v>
      </c>
      <c r="N196" s="63">
        <f t="shared" ref="N196:N197" si="101">+F196-M196</f>
        <v>1500000</v>
      </c>
      <c r="P196" s="194"/>
      <c r="S196" s="282"/>
      <c r="T196" s="282"/>
      <c r="U196" s="250"/>
    </row>
    <row r="197" spans="1:21" s="86" customFormat="1" ht="18" customHeight="1" x14ac:dyDescent="0.25">
      <c r="A197" s="85"/>
      <c r="B197" s="66"/>
      <c r="C197" s="61"/>
      <c r="D197" s="62" t="s">
        <v>82</v>
      </c>
      <c r="E197" s="62" t="s">
        <v>83</v>
      </c>
      <c r="F197" s="63">
        <v>76800000</v>
      </c>
      <c r="G197" s="75"/>
      <c r="H197" s="75"/>
      <c r="I197" s="75">
        <f>+G197+H197</f>
        <v>0</v>
      </c>
      <c r="J197" s="75">
        <v>6240000</v>
      </c>
      <c r="K197" s="75">
        <v>6240000</v>
      </c>
      <c r="L197" s="75">
        <f>+J197+K197</f>
        <v>12480000</v>
      </c>
      <c r="M197" s="75">
        <f>+I197+L197</f>
        <v>12480000</v>
      </c>
      <c r="N197" s="63">
        <f t="shared" si="101"/>
        <v>64320000</v>
      </c>
      <c r="P197" s="194"/>
      <c r="S197" s="281">
        <v>6240000</v>
      </c>
      <c r="T197" s="282"/>
      <c r="U197" s="250"/>
    </row>
    <row r="198" spans="1:21" s="55" customFormat="1" ht="18" customHeight="1" x14ac:dyDescent="0.25">
      <c r="A198" s="50"/>
      <c r="B198" s="51"/>
      <c r="C198" s="50"/>
      <c r="D198" s="71" t="s">
        <v>275</v>
      </c>
      <c r="E198" s="51" t="s">
        <v>276</v>
      </c>
      <c r="F198" s="53">
        <f>+F199</f>
        <v>52500000</v>
      </c>
      <c r="G198" s="72">
        <f>+G199</f>
        <v>0</v>
      </c>
      <c r="H198" s="72">
        <f>+H199</f>
        <v>0</v>
      </c>
      <c r="I198" s="72">
        <f>+G198+H198</f>
        <v>0</v>
      </c>
      <c r="J198" s="72">
        <f>+J199</f>
        <v>0</v>
      </c>
      <c r="K198" s="72">
        <f>+K199</f>
        <v>0</v>
      </c>
      <c r="L198" s="72">
        <f>+J198+K198</f>
        <v>0</v>
      </c>
      <c r="M198" s="72">
        <f t="shared" ref="M198:M205" si="102">+I198+L198</f>
        <v>0</v>
      </c>
      <c r="N198" s="53">
        <f>+F198-M198</f>
        <v>52500000</v>
      </c>
      <c r="P198" s="195"/>
      <c r="S198" s="282"/>
      <c r="T198" s="282"/>
      <c r="U198" s="243"/>
    </row>
    <row r="199" spans="1:21" s="67" customFormat="1" ht="18" customHeight="1" x14ac:dyDescent="0.25">
      <c r="A199" s="83"/>
      <c r="B199" s="84"/>
      <c r="C199" s="56"/>
      <c r="D199" s="57" t="s">
        <v>150</v>
      </c>
      <c r="E199" s="57" t="s">
        <v>32</v>
      </c>
      <c r="F199" s="58">
        <f>+F200</f>
        <v>52500000</v>
      </c>
      <c r="G199" s="59">
        <f>SUM(G201:G201)</f>
        <v>0</v>
      </c>
      <c r="H199" s="59">
        <f>+H201</f>
        <v>0</v>
      </c>
      <c r="I199" s="59">
        <f>+G199+H199</f>
        <v>0</v>
      </c>
      <c r="J199" s="59">
        <f>SUM(J201:J201)</f>
        <v>0</v>
      </c>
      <c r="K199" s="59">
        <f>+K201</f>
        <v>0</v>
      </c>
      <c r="L199" s="59">
        <f>+J199+K199</f>
        <v>0</v>
      </c>
      <c r="M199" s="59">
        <f t="shared" si="102"/>
        <v>0</v>
      </c>
      <c r="N199" s="58">
        <f>+F199-M199</f>
        <v>52500000</v>
      </c>
      <c r="P199" s="192"/>
      <c r="S199" s="282"/>
      <c r="T199" s="282"/>
      <c r="U199" s="249"/>
    </row>
    <row r="200" spans="1:21" s="86" customFormat="1" ht="36" customHeight="1" x14ac:dyDescent="0.25">
      <c r="A200" s="85"/>
      <c r="B200" s="66"/>
      <c r="C200" s="61"/>
      <c r="D200" s="62" t="s">
        <v>462</v>
      </c>
      <c r="E200" s="76" t="s">
        <v>463</v>
      </c>
      <c r="F200" s="63">
        <v>52500000</v>
      </c>
      <c r="G200" s="75"/>
      <c r="H200" s="75"/>
      <c r="I200" s="75">
        <f t="shared" ref="I200" si="103">+G200+H200</f>
        <v>0</v>
      </c>
      <c r="J200" s="75"/>
      <c r="K200" s="75"/>
      <c r="L200" s="75">
        <f t="shared" ref="L200" si="104">+J200+K200</f>
        <v>0</v>
      </c>
      <c r="M200" s="75">
        <f t="shared" si="102"/>
        <v>0</v>
      </c>
      <c r="N200" s="63">
        <f t="shared" ref="N200" si="105">+F200-M200</f>
        <v>52500000</v>
      </c>
      <c r="P200" s="194"/>
      <c r="S200" s="282"/>
      <c r="T200" s="282"/>
      <c r="U200" s="250"/>
    </row>
    <row r="201" spans="1:21" s="42" customFormat="1" ht="18" customHeight="1" x14ac:dyDescent="0.25">
      <c r="A201" s="36"/>
      <c r="B201" s="37"/>
      <c r="C201" s="80"/>
      <c r="D201" s="38" t="s">
        <v>267</v>
      </c>
      <c r="E201" s="39" t="s">
        <v>268</v>
      </c>
      <c r="F201" s="40">
        <f t="shared" ref="F201:H203" si="106">+F202</f>
        <v>26000000</v>
      </c>
      <c r="G201" s="41">
        <f t="shared" si="106"/>
        <v>0</v>
      </c>
      <c r="H201" s="41">
        <f t="shared" si="106"/>
        <v>0</v>
      </c>
      <c r="I201" s="41">
        <f>+G201+H201</f>
        <v>0</v>
      </c>
      <c r="J201" s="41">
        <f t="shared" ref="J201:K204" si="107">+J202</f>
        <v>0</v>
      </c>
      <c r="K201" s="41">
        <f t="shared" si="107"/>
        <v>0</v>
      </c>
      <c r="L201" s="41">
        <f>+J201+K201</f>
        <v>0</v>
      </c>
      <c r="M201" s="41">
        <f t="shared" si="102"/>
        <v>0</v>
      </c>
      <c r="N201" s="40">
        <f>+F201-M201</f>
        <v>26000000</v>
      </c>
      <c r="P201" s="199"/>
      <c r="R201" s="43"/>
      <c r="S201" s="282"/>
      <c r="T201" s="282"/>
      <c r="U201" s="251"/>
    </row>
    <row r="202" spans="1:21" s="67" customFormat="1" ht="18" customHeight="1" x14ac:dyDescent="0.25">
      <c r="A202" s="81"/>
      <c r="B202" s="82"/>
      <c r="C202" s="44"/>
      <c r="D202" s="45" t="s">
        <v>78</v>
      </c>
      <c r="E202" s="45" t="s">
        <v>75</v>
      </c>
      <c r="F202" s="47">
        <f t="shared" si="106"/>
        <v>26000000</v>
      </c>
      <c r="G202" s="70">
        <f t="shared" si="106"/>
        <v>0</v>
      </c>
      <c r="H202" s="70">
        <f t="shared" si="106"/>
        <v>0</v>
      </c>
      <c r="I202" s="70">
        <f t="shared" ref="I202:I205" si="108">+G202+H202</f>
        <v>0</v>
      </c>
      <c r="J202" s="70">
        <f t="shared" si="107"/>
        <v>0</v>
      </c>
      <c r="K202" s="70">
        <f t="shared" si="107"/>
        <v>0</v>
      </c>
      <c r="L202" s="70">
        <f t="shared" ref="L202:L203" si="109">+J202+K202</f>
        <v>0</v>
      </c>
      <c r="M202" s="70">
        <f t="shared" si="102"/>
        <v>0</v>
      </c>
      <c r="N202" s="47">
        <f>+F202-M202</f>
        <v>26000000</v>
      </c>
      <c r="P202" s="192"/>
      <c r="S202" s="282"/>
      <c r="T202" s="282"/>
      <c r="U202" s="249"/>
    </row>
    <row r="203" spans="1:21" s="55" customFormat="1" ht="18" customHeight="1" x14ac:dyDescent="0.25">
      <c r="A203" s="50"/>
      <c r="B203" s="51"/>
      <c r="C203" s="50"/>
      <c r="D203" s="71" t="s">
        <v>269</v>
      </c>
      <c r="E203" s="51" t="s">
        <v>270</v>
      </c>
      <c r="F203" s="53">
        <f t="shared" si="106"/>
        <v>26000000</v>
      </c>
      <c r="G203" s="72">
        <f>+G204</f>
        <v>0</v>
      </c>
      <c r="H203" s="72">
        <f>+H204</f>
        <v>0</v>
      </c>
      <c r="I203" s="72">
        <f t="shared" si="108"/>
        <v>0</v>
      </c>
      <c r="J203" s="72">
        <f t="shared" si="107"/>
        <v>0</v>
      </c>
      <c r="K203" s="72">
        <f t="shared" si="107"/>
        <v>0</v>
      </c>
      <c r="L203" s="72">
        <f t="shared" si="109"/>
        <v>0</v>
      </c>
      <c r="M203" s="72">
        <f t="shared" si="102"/>
        <v>0</v>
      </c>
      <c r="N203" s="53">
        <f>+F203-M203</f>
        <v>26000000</v>
      </c>
      <c r="P203" s="195"/>
      <c r="S203" s="282"/>
      <c r="T203" s="282"/>
      <c r="U203" s="243"/>
    </row>
    <row r="204" spans="1:21" s="67" customFormat="1" ht="18" customHeight="1" x14ac:dyDescent="0.25">
      <c r="A204" s="83"/>
      <c r="B204" s="84"/>
      <c r="C204" s="56"/>
      <c r="D204" s="57" t="s">
        <v>76</v>
      </c>
      <c r="E204" s="57" t="s">
        <v>77</v>
      </c>
      <c r="F204" s="58">
        <f>SUM(F205)</f>
        <v>26000000</v>
      </c>
      <c r="G204" s="59">
        <f>+G205</f>
        <v>0</v>
      </c>
      <c r="H204" s="59">
        <f>+H205</f>
        <v>0</v>
      </c>
      <c r="I204" s="59">
        <f>+G204+H204</f>
        <v>0</v>
      </c>
      <c r="J204" s="59">
        <f t="shared" si="107"/>
        <v>0</v>
      </c>
      <c r="K204" s="59">
        <f t="shared" si="107"/>
        <v>0</v>
      </c>
      <c r="L204" s="59">
        <f>+J204+K204</f>
        <v>0</v>
      </c>
      <c r="M204" s="59">
        <f t="shared" si="102"/>
        <v>0</v>
      </c>
      <c r="N204" s="58">
        <f>+F204-M204</f>
        <v>26000000</v>
      </c>
      <c r="P204" s="192"/>
      <c r="S204" s="282"/>
      <c r="T204" s="282"/>
      <c r="U204" s="249"/>
    </row>
    <row r="205" spans="1:21" s="144" customFormat="1" ht="18" customHeight="1" x14ac:dyDescent="0.25">
      <c r="A205" s="142"/>
      <c r="B205" s="143"/>
      <c r="C205" s="123"/>
      <c r="D205" s="124" t="s">
        <v>393</v>
      </c>
      <c r="E205" s="124" t="s">
        <v>394</v>
      </c>
      <c r="F205" s="125">
        <v>26000000</v>
      </c>
      <c r="G205" s="140"/>
      <c r="H205" s="140"/>
      <c r="I205" s="140">
        <f t="shared" si="108"/>
        <v>0</v>
      </c>
      <c r="J205" s="140"/>
      <c r="K205" s="140"/>
      <c r="L205" s="140">
        <f t="shared" ref="L205" si="110">+J205+K205</f>
        <v>0</v>
      </c>
      <c r="M205" s="140">
        <f t="shared" si="102"/>
        <v>0</v>
      </c>
      <c r="N205" s="125">
        <f t="shared" ref="N205" si="111">+F205-M205</f>
        <v>26000000</v>
      </c>
      <c r="P205" s="196"/>
      <c r="S205" s="286"/>
      <c r="T205" s="286"/>
      <c r="U205" s="252"/>
    </row>
    <row r="206" spans="1:21" s="121" customFormat="1" ht="18" customHeight="1" x14ac:dyDescent="0.25">
      <c r="A206" s="116">
        <v>10</v>
      </c>
      <c r="B206" s="117"/>
      <c r="C206" s="145" t="s">
        <v>112</v>
      </c>
      <c r="D206" s="118"/>
      <c r="E206" s="128" t="s">
        <v>113</v>
      </c>
      <c r="F206" s="119">
        <f>+F207+F221</f>
        <v>810211500</v>
      </c>
      <c r="G206" s="120">
        <f>G207+G221</f>
        <v>0</v>
      </c>
      <c r="H206" s="120">
        <f>H207+H221</f>
        <v>0</v>
      </c>
      <c r="I206" s="120">
        <f>+G206+H206</f>
        <v>0</v>
      </c>
      <c r="J206" s="120">
        <f>J207+J221</f>
        <v>1600000</v>
      </c>
      <c r="K206" s="120">
        <f>K207+K221</f>
        <v>1600000</v>
      </c>
      <c r="L206" s="120">
        <f>+J206+K206</f>
        <v>3200000</v>
      </c>
      <c r="M206" s="120">
        <f>+I206+L206</f>
        <v>3200000</v>
      </c>
      <c r="N206" s="119">
        <f>+F206-M206</f>
        <v>807011500</v>
      </c>
      <c r="P206" s="190"/>
      <c r="R206" s="122"/>
      <c r="S206" s="283"/>
      <c r="T206" s="283"/>
      <c r="U206" s="246"/>
    </row>
    <row r="207" spans="1:21" s="107" customFormat="1" ht="18" customHeight="1" x14ac:dyDescent="0.25">
      <c r="A207" s="101"/>
      <c r="B207" s="102"/>
      <c r="C207" s="141"/>
      <c r="D207" s="103" t="s">
        <v>207</v>
      </c>
      <c r="E207" s="104" t="s">
        <v>262</v>
      </c>
      <c r="F207" s="105">
        <f>+F208</f>
        <v>441471500</v>
      </c>
      <c r="G207" s="106">
        <f>+G208</f>
        <v>0</v>
      </c>
      <c r="H207" s="106">
        <f>+H208</f>
        <v>0</v>
      </c>
      <c r="I207" s="106">
        <f>+G207+H207</f>
        <v>0</v>
      </c>
      <c r="J207" s="106">
        <f>+J208</f>
        <v>1600000</v>
      </c>
      <c r="K207" s="106">
        <f>+K208</f>
        <v>1600000</v>
      </c>
      <c r="L207" s="106">
        <f>+J207+K207</f>
        <v>3200000</v>
      </c>
      <c r="M207" s="106">
        <f t="shared" ref="M207:M220" si="112">+I207+L207</f>
        <v>3200000</v>
      </c>
      <c r="N207" s="105">
        <f>+F207-M207</f>
        <v>438271500</v>
      </c>
      <c r="P207" s="191"/>
      <c r="R207" s="108"/>
      <c r="S207" s="284"/>
      <c r="T207" s="284"/>
      <c r="U207" s="241"/>
    </row>
    <row r="208" spans="1:21" s="67" customFormat="1" ht="18" customHeight="1" x14ac:dyDescent="0.25">
      <c r="A208" s="81"/>
      <c r="B208" s="82"/>
      <c r="C208" s="44"/>
      <c r="D208" s="45" t="s">
        <v>63</v>
      </c>
      <c r="E208" s="45" t="s">
        <v>30</v>
      </c>
      <c r="F208" s="47">
        <f>+F209+F212+F216</f>
        <v>441471500</v>
      </c>
      <c r="G208" s="70">
        <f>+G209+G212+G216</f>
        <v>0</v>
      </c>
      <c r="H208" s="70">
        <f>+H209+H212+H216</f>
        <v>0</v>
      </c>
      <c r="I208" s="70">
        <f t="shared" ref="I208:I218" si="113">+G208+H208</f>
        <v>0</v>
      </c>
      <c r="J208" s="70">
        <f>+J209+J212+J216</f>
        <v>1600000</v>
      </c>
      <c r="K208" s="70">
        <f>+K209+K212+K216</f>
        <v>1600000</v>
      </c>
      <c r="L208" s="70">
        <f t="shared" ref="L208:L209" si="114">+J208+K208</f>
        <v>3200000</v>
      </c>
      <c r="M208" s="70">
        <f t="shared" si="112"/>
        <v>3200000</v>
      </c>
      <c r="N208" s="47">
        <f>+F208-M208</f>
        <v>438271500</v>
      </c>
      <c r="P208" s="192"/>
      <c r="S208" s="282"/>
      <c r="T208" s="282"/>
      <c r="U208" s="249"/>
    </row>
    <row r="209" spans="1:21" s="55" customFormat="1" ht="18" customHeight="1" x14ac:dyDescent="0.25">
      <c r="A209" s="50"/>
      <c r="B209" s="51"/>
      <c r="C209" s="50"/>
      <c r="D209" s="71" t="s">
        <v>263</v>
      </c>
      <c r="E209" s="51" t="s">
        <v>264</v>
      </c>
      <c r="F209" s="53">
        <f t="shared" ref="F209:H209" si="115">+F210</f>
        <v>4031500</v>
      </c>
      <c r="G209" s="72">
        <f>+G210</f>
        <v>0</v>
      </c>
      <c r="H209" s="72">
        <f t="shared" si="115"/>
        <v>0</v>
      </c>
      <c r="I209" s="72">
        <f t="shared" si="113"/>
        <v>0</v>
      </c>
      <c r="J209" s="72">
        <f>+J210</f>
        <v>0</v>
      </c>
      <c r="K209" s="72">
        <f t="shared" ref="K209" si="116">+K210</f>
        <v>0</v>
      </c>
      <c r="L209" s="72">
        <f t="shared" si="114"/>
        <v>0</v>
      </c>
      <c r="M209" s="72">
        <f t="shared" si="112"/>
        <v>0</v>
      </c>
      <c r="N209" s="53">
        <f>+F209-M209</f>
        <v>4031500</v>
      </c>
      <c r="P209" s="195"/>
      <c r="S209" s="282"/>
      <c r="T209" s="282"/>
      <c r="U209" s="243"/>
    </row>
    <row r="210" spans="1:21" s="67" customFormat="1" ht="18" customHeight="1" x14ac:dyDescent="0.25">
      <c r="A210" s="83"/>
      <c r="B210" s="84"/>
      <c r="C210" s="56"/>
      <c r="D210" s="57" t="s">
        <v>64</v>
      </c>
      <c r="E210" s="57" t="s">
        <v>65</v>
      </c>
      <c r="F210" s="58">
        <f>F211</f>
        <v>4031500</v>
      </c>
      <c r="G210" s="59">
        <f>SUM(G211:G211)</f>
        <v>0</v>
      </c>
      <c r="H210" s="59">
        <f>SUM(H211:H211)</f>
        <v>0</v>
      </c>
      <c r="I210" s="59">
        <f>+G210+H210</f>
        <v>0</v>
      </c>
      <c r="J210" s="59">
        <f>SUM(J211:J211)</f>
        <v>0</v>
      </c>
      <c r="K210" s="59">
        <f>SUM(K211:K211)</f>
        <v>0</v>
      </c>
      <c r="L210" s="59">
        <f>+J210+K210</f>
        <v>0</v>
      </c>
      <c r="M210" s="59">
        <f t="shared" si="112"/>
        <v>0</v>
      </c>
      <c r="N210" s="58">
        <f>+F210-M210</f>
        <v>4031500</v>
      </c>
      <c r="P210" s="192"/>
      <c r="S210" s="282"/>
      <c r="T210" s="282"/>
      <c r="U210" s="249"/>
    </row>
    <row r="211" spans="1:21" s="86" customFormat="1" ht="18" customHeight="1" x14ac:dyDescent="0.25">
      <c r="A211" s="85"/>
      <c r="B211" s="66"/>
      <c r="C211" s="61"/>
      <c r="D211" s="62" t="s">
        <v>339</v>
      </c>
      <c r="E211" s="62" t="s">
        <v>340</v>
      </c>
      <c r="F211" s="63">
        <v>4031500</v>
      </c>
      <c r="G211" s="75"/>
      <c r="H211" s="75"/>
      <c r="I211" s="75">
        <f t="shared" si="113"/>
        <v>0</v>
      </c>
      <c r="J211" s="75"/>
      <c r="K211" s="75"/>
      <c r="L211" s="75">
        <f t="shared" ref="L211" si="117">+J211+K211</f>
        <v>0</v>
      </c>
      <c r="M211" s="75">
        <f t="shared" si="112"/>
        <v>0</v>
      </c>
      <c r="N211" s="63">
        <f t="shared" ref="N211" si="118">+F211-M211</f>
        <v>4031500</v>
      </c>
      <c r="P211" s="194"/>
      <c r="S211" s="282"/>
      <c r="T211" s="282"/>
      <c r="U211" s="250"/>
    </row>
    <row r="212" spans="1:21" s="55" customFormat="1" ht="18" customHeight="1" x14ac:dyDescent="0.25">
      <c r="A212" s="50"/>
      <c r="B212" s="51"/>
      <c r="C212" s="50"/>
      <c r="D212" s="71" t="s">
        <v>271</v>
      </c>
      <c r="E212" s="51" t="s">
        <v>272</v>
      </c>
      <c r="F212" s="53">
        <f t="shared" ref="F212:H212" si="119">+F213</f>
        <v>98700000</v>
      </c>
      <c r="G212" s="72">
        <f>+G213</f>
        <v>0</v>
      </c>
      <c r="H212" s="72">
        <f t="shared" si="119"/>
        <v>0</v>
      </c>
      <c r="I212" s="72">
        <f t="shared" si="113"/>
        <v>0</v>
      </c>
      <c r="J212" s="72">
        <f>+J213</f>
        <v>1600000</v>
      </c>
      <c r="K212" s="72">
        <f t="shared" ref="K212" si="120">+K213</f>
        <v>1600000</v>
      </c>
      <c r="L212" s="72">
        <f>+J212+K212</f>
        <v>3200000</v>
      </c>
      <c r="M212" s="72">
        <f t="shared" si="112"/>
        <v>3200000</v>
      </c>
      <c r="N212" s="53">
        <f>+F212-M212</f>
        <v>95500000</v>
      </c>
      <c r="P212" s="195"/>
      <c r="S212" s="282"/>
      <c r="T212" s="282"/>
      <c r="U212" s="243"/>
    </row>
    <row r="213" spans="1:21" s="67" customFormat="1" ht="18" customHeight="1" x14ac:dyDescent="0.25">
      <c r="A213" s="83"/>
      <c r="B213" s="84"/>
      <c r="C213" s="56"/>
      <c r="D213" s="57" t="s">
        <v>81</v>
      </c>
      <c r="E213" s="57" t="s">
        <v>31</v>
      </c>
      <c r="F213" s="58">
        <f>SUM(F214:F215)</f>
        <v>98700000</v>
      </c>
      <c r="G213" s="59">
        <f>SUM(G214:G215)</f>
        <v>0</v>
      </c>
      <c r="H213" s="59">
        <f>SUM(H214:H215)</f>
        <v>0</v>
      </c>
      <c r="I213" s="59">
        <f t="shared" si="113"/>
        <v>0</v>
      </c>
      <c r="J213" s="59">
        <f>SUM(J214:J215)</f>
        <v>1600000</v>
      </c>
      <c r="K213" s="59">
        <f>SUM(K214:K215)</f>
        <v>1600000</v>
      </c>
      <c r="L213" s="59">
        <f>+J213+K213</f>
        <v>3200000</v>
      </c>
      <c r="M213" s="59">
        <f t="shared" si="112"/>
        <v>3200000</v>
      </c>
      <c r="N213" s="58">
        <f>+F213-M213</f>
        <v>95500000</v>
      </c>
      <c r="P213" s="192"/>
      <c r="S213" s="282"/>
      <c r="T213" s="282"/>
      <c r="U213" s="249"/>
    </row>
    <row r="214" spans="1:21" s="86" customFormat="1" ht="18" customHeight="1" x14ac:dyDescent="0.25">
      <c r="A214" s="175"/>
      <c r="B214" s="65"/>
      <c r="C214" s="171"/>
      <c r="D214" s="162" t="s">
        <v>82</v>
      </c>
      <c r="E214" s="162" t="s">
        <v>83</v>
      </c>
      <c r="F214" s="173">
        <v>38400000</v>
      </c>
      <c r="G214" s="163"/>
      <c r="H214" s="163"/>
      <c r="I214" s="163">
        <f t="shared" si="113"/>
        <v>0</v>
      </c>
      <c r="J214" s="163">
        <v>1600000</v>
      </c>
      <c r="K214" s="163">
        <v>1600000</v>
      </c>
      <c r="L214" s="163">
        <f>+J214+K214</f>
        <v>3200000</v>
      </c>
      <c r="M214" s="163">
        <f>+I214+L214</f>
        <v>3200000</v>
      </c>
      <c r="N214" s="173">
        <f>+F214-M214</f>
        <v>35200000</v>
      </c>
      <c r="P214" s="194"/>
      <c r="S214" s="281">
        <v>1600000</v>
      </c>
      <c r="T214" s="282"/>
      <c r="U214" s="250"/>
    </row>
    <row r="215" spans="1:21" s="86" customFormat="1" ht="18" customHeight="1" x14ac:dyDescent="0.25">
      <c r="A215" s="175"/>
      <c r="B215" s="65"/>
      <c r="C215" s="171"/>
      <c r="D215" s="162" t="s">
        <v>111</v>
      </c>
      <c r="E215" s="162" t="s">
        <v>44</v>
      </c>
      <c r="F215" s="173">
        <v>60300000</v>
      </c>
      <c r="G215" s="163"/>
      <c r="H215" s="163"/>
      <c r="I215" s="163">
        <f t="shared" si="113"/>
        <v>0</v>
      </c>
      <c r="J215" s="163"/>
      <c r="K215" s="163"/>
      <c r="L215" s="163">
        <f t="shared" ref="L215" si="121">+J215+K215</f>
        <v>0</v>
      </c>
      <c r="M215" s="163">
        <f t="shared" si="112"/>
        <v>0</v>
      </c>
      <c r="N215" s="173">
        <f t="shared" ref="N215" si="122">+F215-M215</f>
        <v>60300000</v>
      </c>
      <c r="P215" s="194"/>
      <c r="S215" s="282"/>
      <c r="T215" s="282"/>
      <c r="U215" s="250"/>
    </row>
    <row r="216" spans="1:21" s="55" customFormat="1" ht="18" customHeight="1" x14ac:dyDescent="0.25">
      <c r="A216" s="50"/>
      <c r="B216" s="51"/>
      <c r="C216" s="50"/>
      <c r="D216" s="71" t="s">
        <v>275</v>
      </c>
      <c r="E216" s="51" t="s">
        <v>276</v>
      </c>
      <c r="F216" s="53">
        <f t="shared" ref="F216:H216" si="123">+F217</f>
        <v>338740000</v>
      </c>
      <c r="G216" s="72">
        <f>+G217</f>
        <v>0</v>
      </c>
      <c r="H216" s="72">
        <f t="shared" si="123"/>
        <v>0</v>
      </c>
      <c r="I216" s="72">
        <f t="shared" si="113"/>
        <v>0</v>
      </c>
      <c r="J216" s="72">
        <f>+J217</f>
        <v>0</v>
      </c>
      <c r="K216" s="72">
        <f t="shared" ref="K216" si="124">+K217</f>
        <v>0</v>
      </c>
      <c r="L216" s="72">
        <f>+J216+K216</f>
        <v>0</v>
      </c>
      <c r="M216" s="72">
        <f t="shared" si="112"/>
        <v>0</v>
      </c>
      <c r="N216" s="53">
        <f>+F216-M216</f>
        <v>338740000</v>
      </c>
      <c r="P216" s="195"/>
      <c r="S216" s="282"/>
      <c r="T216" s="282"/>
      <c r="U216" s="243"/>
    </row>
    <row r="217" spans="1:21" s="67" customFormat="1" ht="18" customHeight="1" x14ac:dyDescent="0.25">
      <c r="A217" s="83"/>
      <c r="B217" s="84"/>
      <c r="C217" s="56"/>
      <c r="D217" s="57" t="s">
        <v>114</v>
      </c>
      <c r="E217" s="57" t="s">
        <v>43</v>
      </c>
      <c r="F217" s="58">
        <f>SUM(F218:F220)</f>
        <v>338740000</v>
      </c>
      <c r="G217" s="59">
        <f>SUM(G218:G220)</f>
        <v>0</v>
      </c>
      <c r="H217" s="59">
        <f>SUM(H218:H220)</f>
        <v>0</v>
      </c>
      <c r="I217" s="59">
        <f t="shared" si="113"/>
        <v>0</v>
      </c>
      <c r="J217" s="59">
        <f>SUM(J218:J220)</f>
        <v>0</v>
      </c>
      <c r="K217" s="59">
        <f>SUM(K218:K220)</f>
        <v>0</v>
      </c>
      <c r="L217" s="59">
        <f>+J217+K217</f>
        <v>0</v>
      </c>
      <c r="M217" s="59">
        <f t="shared" si="112"/>
        <v>0</v>
      </c>
      <c r="N217" s="58">
        <f>+F217-M217</f>
        <v>338740000</v>
      </c>
      <c r="P217" s="192"/>
      <c r="S217" s="282"/>
      <c r="T217" s="282"/>
      <c r="U217" s="249"/>
    </row>
    <row r="218" spans="1:21" s="86" customFormat="1" ht="21" customHeight="1" x14ac:dyDescent="0.25">
      <c r="A218" s="175"/>
      <c r="B218" s="65"/>
      <c r="C218" s="171"/>
      <c r="D218" s="162" t="s">
        <v>349</v>
      </c>
      <c r="E218" s="172" t="s">
        <v>350</v>
      </c>
      <c r="F218" s="173">
        <v>21240000</v>
      </c>
      <c r="G218" s="163"/>
      <c r="H218" s="163"/>
      <c r="I218" s="163">
        <f t="shared" si="113"/>
        <v>0</v>
      </c>
      <c r="J218" s="163"/>
      <c r="K218" s="163"/>
      <c r="L218" s="163">
        <f t="shared" ref="L218" si="125">+J218+K218</f>
        <v>0</v>
      </c>
      <c r="M218" s="163">
        <f t="shared" si="112"/>
        <v>0</v>
      </c>
      <c r="N218" s="173">
        <f>+F218-M218</f>
        <v>21240000</v>
      </c>
      <c r="P218" s="194"/>
      <c r="S218" s="282"/>
      <c r="T218" s="282"/>
      <c r="U218" s="250"/>
    </row>
    <row r="219" spans="1:21" s="86" customFormat="1" ht="30.75" customHeight="1" x14ac:dyDescent="0.25">
      <c r="A219" s="175"/>
      <c r="B219" s="65"/>
      <c r="C219" s="171"/>
      <c r="D219" s="162" t="s">
        <v>395</v>
      </c>
      <c r="E219" s="172" t="s">
        <v>396</v>
      </c>
      <c r="F219" s="173">
        <v>2500000</v>
      </c>
      <c r="G219" s="163"/>
      <c r="H219" s="163"/>
      <c r="I219" s="163"/>
      <c r="J219" s="163"/>
      <c r="K219" s="163"/>
      <c r="L219" s="163">
        <f>+J219+K219</f>
        <v>0</v>
      </c>
      <c r="M219" s="163">
        <f t="shared" si="112"/>
        <v>0</v>
      </c>
      <c r="N219" s="173">
        <f>+F219-M219</f>
        <v>2500000</v>
      </c>
      <c r="P219" s="194"/>
      <c r="S219" s="282"/>
      <c r="T219" s="282"/>
      <c r="U219" s="250"/>
    </row>
    <row r="220" spans="1:21" s="86" customFormat="1" ht="18" customHeight="1" x14ac:dyDescent="0.25">
      <c r="A220" s="175"/>
      <c r="B220" s="65"/>
      <c r="C220" s="171"/>
      <c r="D220" s="162" t="s">
        <v>354</v>
      </c>
      <c r="E220" s="172" t="s">
        <v>355</v>
      </c>
      <c r="F220" s="173">
        <v>315000000</v>
      </c>
      <c r="G220" s="163"/>
      <c r="H220" s="163"/>
      <c r="I220" s="163">
        <f>+G220+H220</f>
        <v>0</v>
      </c>
      <c r="J220" s="163"/>
      <c r="K220" s="163"/>
      <c r="L220" s="163"/>
      <c r="M220" s="163">
        <f t="shared" si="112"/>
        <v>0</v>
      </c>
      <c r="N220" s="173">
        <f t="shared" ref="N220" si="126">+F220-M220</f>
        <v>315000000</v>
      </c>
      <c r="P220" s="194"/>
      <c r="S220" s="282"/>
      <c r="T220" s="281"/>
      <c r="U220" s="250"/>
    </row>
    <row r="221" spans="1:21" s="42" customFormat="1" ht="18" customHeight="1" x14ac:dyDescent="0.25">
      <c r="A221" s="36"/>
      <c r="B221" s="37"/>
      <c r="C221" s="80"/>
      <c r="D221" s="38" t="s">
        <v>267</v>
      </c>
      <c r="E221" s="39" t="s">
        <v>268</v>
      </c>
      <c r="F221" s="40">
        <f>+F222+F234</f>
        <v>368740000</v>
      </c>
      <c r="G221" s="41">
        <f>+G222+G234</f>
        <v>0</v>
      </c>
      <c r="H221" s="41">
        <f>+H222+H234</f>
        <v>0</v>
      </c>
      <c r="I221" s="41">
        <f>+G221+H221</f>
        <v>0</v>
      </c>
      <c r="J221" s="41">
        <f>+J222</f>
        <v>0</v>
      </c>
      <c r="K221" s="41">
        <f>+K222</f>
        <v>0</v>
      </c>
      <c r="L221" s="41">
        <f>+J221+K221</f>
        <v>0</v>
      </c>
      <c r="M221" s="41">
        <f>+I221+L221</f>
        <v>0</v>
      </c>
      <c r="N221" s="40">
        <f>+F221-M221</f>
        <v>368740000</v>
      </c>
      <c r="P221" s="199"/>
      <c r="R221" s="43"/>
      <c r="S221" s="282"/>
      <c r="T221" s="282"/>
      <c r="U221" s="251"/>
    </row>
    <row r="222" spans="1:21" s="67" customFormat="1" ht="18" customHeight="1" x14ac:dyDescent="0.25">
      <c r="A222" s="81"/>
      <c r="B222" s="82"/>
      <c r="C222" s="44"/>
      <c r="D222" s="45" t="s">
        <v>78</v>
      </c>
      <c r="E222" s="45" t="s">
        <v>75</v>
      </c>
      <c r="F222" s="47">
        <f>+F223+F226+F231</f>
        <v>268740000</v>
      </c>
      <c r="G222" s="70">
        <f>+G223+G226</f>
        <v>0</v>
      </c>
      <c r="H222" s="70">
        <f>+H223+H226</f>
        <v>0</v>
      </c>
      <c r="I222" s="70">
        <f t="shared" ref="I222:I235" si="127">+G222+H222</f>
        <v>0</v>
      </c>
      <c r="J222" s="70">
        <f>+J223+J226</f>
        <v>0</v>
      </c>
      <c r="K222" s="70">
        <f t="shared" ref="K222:K223" si="128">+K223</f>
        <v>0</v>
      </c>
      <c r="L222" s="70">
        <f t="shared" ref="L222:L223" si="129">+J222+K222</f>
        <v>0</v>
      </c>
      <c r="M222" s="70">
        <f t="shared" ref="M222:M226" si="130">+I222+L222</f>
        <v>0</v>
      </c>
      <c r="N222" s="47">
        <f>+F222-M222</f>
        <v>268740000</v>
      </c>
      <c r="P222" s="192"/>
      <c r="S222" s="282"/>
      <c r="T222" s="282"/>
      <c r="U222" s="249"/>
    </row>
    <row r="223" spans="1:21" s="55" customFormat="1" ht="18" customHeight="1" x14ac:dyDescent="0.25">
      <c r="A223" s="50"/>
      <c r="B223" s="51"/>
      <c r="C223" s="50"/>
      <c r="D223" s="71" t="s">
        <v>269</v>
      </c>
      <c r="E223" s="51" t="s">
        <v>270</v>
      </c>
      <c r="F223" s="53">
        <f t="shared" ref="F223:H223" si="131">+F224</f>
        <v>32340000</v>
      </c>
      <c r="G223" s="72">
        <f>+G224</f>
        <v>0</v>
      </c>
      <c r="H223" s="72">
        <f t="shared" si="131"/>
        <v>0</v>
      </c>
      <c r="I223" s="72">
        <f t="shared" si="127"/>
        <v>0</v>
      </c>
      <c r="J223" s="72">
        <f>+J224</f>
        <v>0</v>
      </c>
      <c r="K223" s="72">
        <f t="shared" si="128"/>
        <v>0</v>
      </c>
      <c r="L223" s="72">
        <f t="shared" si="129"/>
        <v>0</v>
      </c>
      <c r="M223" s="72">
        <f t="shared" si="130"/>
        <v>0</v>
      </c>
      <c r="N223" s="53">
        <f>+F223-M223</f>
        <v>32340000</v>
      </c>
      <c r="P223" s="195"/>
      <c r="S223" s="282"/>
      <c r="T223" s="282"/>
      <c r="U223" s="243"/>
    </row>
    <row r="224" spans="1:21" s="67" customFormat="1" ht="18" customHeight="1" x14ac:dyDescent="0.25">
      <c r="A224" s="83"/>
      <c r="B224" s="84"/>
      <c r="C224" s="56"/>
      <c r="D224" s="57" t="s">
        <v>92</v>
      </c>
      <c r="E224" s="57" t="s">
        <v>94</v>
      </c>
      <c r="F224" s="58">
        <f>SUM(F225)</f>
        <v>32340000</v>
      </c>
      <c r="G224" s="59">
        <f>+G225</f>
        <v>0</v>
      </c>
      <c r="H224" s="59">
        <f>+H225</f>
        <v>0</v>
      </c>
      <c r="I224" s="59">
        <f>+G224+H224</f>
        <v>0</v>
      </c>
      <c r="J224" s="59">
        <f>+J225</f>
        <v>0</v>
      </c>
      <c r="K224" s="59">
        <f>+K225</f>
        <v>0</v>
      </c>
      <c r="L224" s="59">
        <f>+J224+K224</f>
        <v>0</v>
      </c>
      <c r="M224" s="59">
        <f t="shared" si="130"/>
        <v>0</v>
      </c>
      <c r="N224" s="58">
        <f>+F224-M224</f>
        <v>32340000</v>
      </c>
      <c r="P224" s="192"/>
      <c r="S224" s="282"/>
      <c r="T224" s="282"/>
      <c r="U224" s="249"/>
    </row>
    <row r="225" spans="1:21" s="86" customFormat="1" ht="18" customHeight="1" x14ac:dyDescent="0.25">
      <c r="A225" s="85"/>
      <c r="B225" s="66"/>
      <c r="C225" s="61"/>
      <c r="D225" s="62" t="s">
        <v>397</v>
      </c>
      <c r="E225" s="62" t="s">
        <v>398</v>
      </c>
      <c r="F225" s="63">
        <v>32340000</v>
      </c>
      <c r="G225" s="75"/>
      <c r="H225" s="75"/>
      <c r="I225" s="75">
        <f t="shared" si="127"/>
        <v>0</v>
      </c>
      <c r="J225" s="75"/>
      <c r="K225" s="75"/>
      <c r="L225" s="75">
        <f t="shared" ref="L225:L235" si="132">+J225+K225</f>
        <v>0</v>
      </c>
      <c r="M225" s="75">
        <f t="shared" si="130"/>
        <v>0</v>
      </c>
      <c r="N225" s="63">
        <f t="shared" ref="N225:N237" si="133">+F225-M225</f>
        <v>32340000</v>
      </c>
      <c r="P225" s="194"/>
      <c r="S225" s="282"/>
      <c r="T225" s="282"/>
      <c r="U225" s="250"/>
    </row>
    <row r="226" spans="1:21" s="55" customFormat="1" ht="18" customHeight="1" x14ac:dyDescent="0.25">
      <c r="A226" s="50"/>
      <c r="B226" s="51"/>
      <c r="C226" s="50"/>
      <c r="D226" s="71" t="s">
        <v>399</v>
      </c>
      <c r="E226" s="51" t="s">
        <v>400</v>
      </c>
      <c r="F226" s="53">
        <f t="shared" ref="F226:H226" si="134">+F227</f>
        <v>234600000</v>
      </c>
      <c r="G226" s="72">
        <f>+G227</f>
        <v>0</v>
      </c>
      <c r="H226" s="72">
        <f t="shared" si="134"/>
        <v>0</v>
      </c>
      <c r="I226" s="72">
        <f t="shared" si="127"/>
        <v>0</v>
      </c>
      <c r="J226" s="72">
        <f>+J227</f>
        <v>0</v>
      </c>
      <c r="K226" s="72">
        <f t="shared" ref="K226" si="135">+K227</f>
        <v>0</v>
      </c>
      <c r="L226" s="72">
        <f t="shared" si="132"/>
        <v>0</v>
      </c>
      <c r="M226" s="72">
        <f t="shared" si="130"/>
        <v>0</v>
      </c>
      <c r="N226" s="53">
        <f t="shared" si="133"/>
        <v>234600000</v>
      </c>
      <c r="P226" s="195"/>
      <c r="S226" s="282"/>
      <c r="T226" s="282"/>
      <c r="U226" s="243"/>
    </row>
    <row r="227" spans="1:21" s="67" customFormat="1" ht="18" customHeight="1" x14ac:dyDescent="0.25">
      <c r="A227" s="83"/>
      <c r="B227" s="84"/>
      <c r="C227" s="56"/>
      <c r="D227" s="57" t="s">
        <v>401</v>
      </c>
      <c r="E227" s="57" t="s">
        <v>402</v>
      </c>
      <c r="F227" s="58">
        <f>SUM(F228:F230)</f>
        <v>234600000</v>
      </c>
      <c r="G227" s="59">
        <f>SUM(G229:G229)</f>
        <v>0</v>
      </c>
      <c r="H227" s="59">
        <f>SUM(H229:H229)</f>
        <v>0</v>
      </c>
      <c r="I227" s="59">
        <f t="shared" si="127"/>
        <v>0</v>
      </c>
      <c r="J227" s="59">
        <f>SUM(J229:J229)</f>
        <v>0</v>
      </c>
      <c r="K227" s="59">
        <f>SUM(K229:K229)</f>
        <v>0</v>
      </c>
      <c r="L227" s="59">
        <f t="shared" si="132"/>
        <v>0</v>
      </c>
      <c r="M227" s="59">
        <f>+I227+L227</f>
        <v>0</v>
      </c>
      <c r="N227" s="58">
        <f t="shared" si="133"/>
        <v>234600000</v>
      </c>
      <c r="P227" s="192"/>
      <c r="S227" s="282"/>
      <c r="T227" s="282"/>
      <c r="U227" s="249"/>
    </row>
    <row r="228" spans="1:21" s="86" customFormat="1" ht="18" customHeight="1" x14ac:dyDescent="0.25">
      <c r="A228" s="85"/>
      <c r="B228" s="66"/>
      <c r="C228" s="61"/>
      <c r="D228" s="62" t="s">
        <v>464</v>
      </c>
      <c r="E228" s="62" t="s">
        <v>465</v>
      </c>
      <c r="F228" s="63">
        <v>3000000</v>
      </c>
      <c r="G228" s="75"/>
      <c r="H228" s="75"/>
      <c r="I228" s="75">
        <f t="shared" si="127"/>
        <v>0</v>
      </c>
      <c r="J228" s="75"/>
      <c r="K228" s="75"/>
      <c r="L228" s="75">
        <f t="shared" si="132"/>
        <v>0</v>
      </c>
      <c r="M228" s="75">
        <f>+I228+L228</f>
        <v>0</v>
      </c>
      <c r="N228" s="63">
        <f t="shared" si="133"/>
        <v>3000000</v>
      </c>
      <c r="O228" s="87"/>
      <c r="P228" s="194"/>
      <c r="S228" s="282"/>
      <c r="T228" s="282"/>
      <c r="U228" s="250"/>
    </row>
    <row r="229" spans="1:21" s="86" customFormat="1" ht="18" customHeight="1" x14ac:dyDescent="0.25">
      <c r="A229" s="85"/>
      <c r="B229" s="66"/>
      <c r="C229" s="61"/>
      <c r="D229" s="62" t="s">
        <v>403</v>
      </c>
      <c r="E229" s="62" t="s">
        <v>404</v>
      </c>
      <c r="F229" s="63">
        <v>36600000</v>
      </c>
      <c r="G229" s="75"/>
      <c r="H229" s="75"/>
      <c r="I229" s="75">
        <f t="shared" si="127"/>
        <v>0</v>
      </c>
      <c r="J229" s="75"/>
      <c r="K229" s="75"/>
      <c r="L229" s="75">
        <f t="shared" si="132"/>
        <v>0</v>
      </c>
      <c r="M229" s="75">
        <f>+I229+L229</f>
        <v>0</v>
      </c>
      <c r="N229" s="63">
        <f t="shared" si="133"/>
        <v>36600000</v>
      </c>
      <c r="O229" s="87"/>
      <c r="P229" s="194"/>
      <c r="S229" s="282"/>
      <c r="T229" s="282"/>
      <c r="U229" s="250"/>
    </row>
    <row r="230" spans="1:21" s="86" customFormat="1" ht="18" customHeight="1" x14ac:dyDescent="0.25">
      <c r="A230" s="85"/>
      <c r="B230" s="66"/>
      <c r="C230" s="61"/>
      <c r="D230" s="62" t="s">
        <v>459</v>
      </c>
      <c r="E230" s="62" t="s">
        <v>460</v>
      </c>
      <c r="F230" s="63">
        <v>195000000</v>
      </c>
      <c r="G230" s="75"/>
      <c r="H230" s="75"/>
      <c r="I230" s="75">
        <f t="shared" si="127"/>
        <v>0</v>
      </c>
      <c r="J230" s="75"/>
      <c r="K230" s="75"/>
      <c r="L230" s="75">
        <f t="shared" si="132"/>
        <v>0</v>
      </c>
      <c r="M230" s="75">
        <f>+I230+L230</f>
        <v>0</v>
      </c>
      <c r="N230" s="63">
        <f t="shared" si="133"/>
        <v>195000000</v>
      </c>
      <c r="O230" s="87"/>
      <c r="P230" s="194"/>
      <c r="S230" s="282"/>
      <c r="T230" s="282"/>
      <c r="U230" s="250"/>
    </row>
    <row r="231" spans="1:21" s="55" customFormat="1" ht="18" customHeight="1" x14ac:dyDescent="0.25">
      <c r="A231" s="50"/>
      <c r="B231" s="51"/>
      <c r="C231" s="50"/>
      <c r="D231" s="71" t="s">
        <v>273</v>
      </c>
      <c r="E231" s="51" t="s">
        <v>274</v>
      </c>
      <c r="F231" s="53">
        <f>+F232</f>
        <v>1800000</v>
      </c>
      <c r="G231" s="72">
        <f>+G232</f>
        <v>0</v>
      </c>
      <c r="H231" s="72">
        <f t="shared" ref="H231" si="136">+H232</f>
        <v>0</v>
      </c>
      <c r="I231" s="72">
        <f t="shared" si="127"/>
        <v>0</v>
      </c>
      <c r="J231" s="72">
        <f>+J232</f>
        <v>0</v>
      </c>
      <c r="K231" s="72">
        <f t="shared" ref="K231" si="137">+K232</f>
        <v>0</v>
      </c>
      <c r="L231" s="72">
        <f t="shared" si="132"/>
        <v>0</v>
      </c>
      <c r="M231" s="72">
        <f t="shared" ref="M231" si="138">+I231+L231</f>
        <v>0</v>
      </c>
      <c r="N231" s="53">
        <f t="shared" si="133"/>
        <v>1800000</v>
      </c>
      <c r="P231" s="195"/>
      <c r="S231" s="282"/>
      <c r="T231" s="282"/>
      <c r="U231" s="243"/>
    </row>
    <row r="232" spans="1:21" s="67" customFormat="1" ht="18" customHeight="1" x14ac:dyDescent="0.25">
      <c r="A232" s="83"/>
      <c r="B232" s="84"/>
      <c r="C232" s="56"/>
      <c r="D232" s="57" t="s">
        <v>382</v>
      </c>
      <c r="E232" s="57" t="s">
        <v>383</v>
      </c>
      <c r="F232" s="58">
        <f>+F233</f>
        <v>1800000</v>
      </c>
      <c r="G232" s="59">
        <f>SUM(G234:G234)</f>
        <v>0</v>
      </c>
      <c r="H232" s="59">
        <f>SUM(H234:H234)</f>
        <v>0</v>
      </c>
      <c r="I232" s="59">
        <f t="shared" si="127"/>
        <v>0</v>
      </c>
      <c r="J232" s="59">
        <f>SUM(J234:J234)</f>
        <v>0</v>
      </c>
      <c r="K232" s="59">
        <f>SUM(K234:K234)</f>
        <v>0</v>
      </c>
      <c r="L232" s="59">
        <f t="shared" si="132"/>
        <v>0</v>
      </c>
      <c r="M232" s="59">
        <f>+I232+L232</f>
        <v>0</v>
      </c>
      <c r="N232" s="58">
        <f t="shared" si="133"/>
        <v>1800000</v>
      </c>
      <c r="P232" s="192"/>
      <c r="S232" s="282"/>
      <c r="T232" s="282"/>
      <c r="U232" s="249"/>
    </row>
    <row r="233" spans="1:21" s="86" customFormat="1" ht="18" customHeight="1" x14ac:dyDescent="0.25">
      <c r="A233" s="85"/>
      <c r="B233" s="66"/>
      <c r="C233" s="61"/>
      <c r="D233" s="62" t="s">
        <v>386</v>
      </c>
      <c r="E233" s="62" t="s">
        <v>387</v>
      </c>
      <c r="F233" s="63">
        <v>1800000</v>
      </c>
      <c r="G233" s="75"/>
      <c r="H233" s="75"/>
      <c r="I233" s="75">
        <f t="shared" si="127"/>
        <v>0</v>
      </c>
      <c r="J233" s="75"/>
      <c r="K233" s="75"/>
      <c r="L233" s="75">
        <f t="shared" si="132"/>
        <v>0</v>
      </c>
      <c r="M233" s="75">
        <f>+I233+L233</f>
        <v>0</v>
      </c>
      <c r="N233" s="63">
        <f t="shared" si="133"/>
        <v>1800000</v>
      </c>
      <c r="O233" s="87"/>
      <c r="P233" s="194"/>
      <c r="S233" s="282"/>
      <c r="T233" s="282"/>
      <c r="U233" s="250"/>
    </row>
    <row r="234" spans="1:21" s="67" customFormat="1" ht="18" customHeight="1" x14ac:dyDescent="0.25">
      <c r="A234" s="81"/>
      <c r="B234" s="82"/>
      <c r="C234" s="44"/>
      <c r="D234" s="45" t="s">
        <v>466</v>
      </c>
      <c r="E234" s="45" t="s">
        <v>467</v>
      </c>
      <c r="F234" s="47">
        <f>+F235</f>
        <v>100000000</v>
      </c>
      <c r="G234" s="70">
        <f>+G235</f>
        <v>0</v>
      </c>
      <c r="H234" s="70">
        <f>+H235+H238</f>
        <v>0</v>
      </c>
      <c r="I234" s="70">
        <f t="shared" si="127"/>
        <v>0</v>
      </c>
      <c r="J234" s="70">
        <f>+J235</f>
        <v>0</v>
      </c>
      <c r="K234" s="70">
        <f t="shared" ref="K234:K235" si="139">+K235</f>
        <v>0</v>
      </c>
      <c r="L234" s="70">
        <f t="shared" si="132"/>
        <v>0</v>
      </c>
      <c r="M234" s="70">
        <f>+I234+L234</f>
        <v>0</v>
      </c>
      <c r="N234" s="47">
        <f t="shared" si="133"/>
        <v>100000000</v>
      </c>
      <c r="P234" s="192"/>
      <c r="S234" s="282"/>
      <c r="T234" s="282"/>
      <c r="U234" s="249"/>
    </row>
    <row r="235" spans="1:21" s="55" customFormat="1" ht="18" customHeight="1" x14ac:dyDescent="0.25">
      <c r="A235" s="50"/>
      <c r="B235" s="51"/>
      <c r="C235" s="50"/>
      <c r="D235" s="71" t="s">
        <v>468</v>
      </c>
      <c r="E235" s="51" t="s">
        <v>469</v>
      </c>
      <c r="F235" s="53">
        <f t="shared" ref="F235:H235" si="140">+F236</f>
        <v>100000000</v>
      </c>
      <c r="G235" s="72">
        <f>+G236</f>
        <v>0</v>
      </c>
      <c r="H235" s="72">
        <f t="shared" si="140"/>
        <v>0</v>
      </c>
      <c r="I235" s="72">
        <f t="shared" si="127"/>
        <v>0</v>
      </c>
      <c r="J235" s="72">
        <f>+J236</f>
        <v>0</v>
      </c>
      <c r="K235" s="72">
        <f t="shared" si="139"/>
        <v>0</v>
      </c>
      <c r="L235" s="72">
        <f t="shared" si="132"/>
        <v>0</v>
      </c>
      <c r="M235" s="72">
        <f t="shared" ref="M235:M236" si="141">+I235+L235</f>
        <v>0</v>
      </c>
      <c r="N235" s="53">
        <f t="shared" si="133"/>
        <v>100000000</v>
      </c>
      <c r="P235" s="195"/>
      <c r="S235" s="282"/>
      <c r="T235" s="282"/>
      <c r="U235" s="243"/>
    </row>
    <row r="236" spans="1:21" s="67" customFormat="1" ht="18" customHeight="1" x14ac:dyDescent="0.25">
      <c r="A236" s="83"/>
      <c r="B236" s="84"/>
      <c r="C236" s="56"/>
      <c r="D236" s="57" t="s">
        <v>470</v>
      </c>
      <c r="E236" s="57" t="s">
        <v>471</v>
      </c>
      <c r="F236" s="58">
        <f>SUM(F237)</f>
        <v>100000000</v>
      </c>
      <c r="G236" s="59">
        <f>+G237</f>
        <v>0</v>
      </c>
      <c r="H236" s="59">
        <f>+H237</f>
        <v>0</v>
      </c>
      <c r="I236" s="59">
        <f>+G236+H236</f>
        <v>0</v>
      </c>
      <c r="J236" s="59">
        <f>+J237</f>
        <v>0</v>
      </c>
      <c r="K236" s="59">
        <f>+K237</f>
        <v>0</v>
      </c>
      <c r="L236" s="59">
        <f>+J236+K236</f>
        <v>0</v>
      </c>
      <c r="M236" s="59">
        <f t="shared" si="141"/>
        <v>0</v>
      </c>
      <c r="N236" s="58">
        <f t="shared" si="133"/>
        <v>100000000</v>
      </c>
      <c r="P236" s="192"/>
      <c r="S236" s="282"/>
      <c r="T236" s="282"/>
      <c r="U236" s="249"/>
    </row>
    <row r="237" spans="1:21" s="86" customFormat="1" ht="18" customHeight="1" x14ac:dyDescent="0.25">
      <c r="A237" s="85"/>
      <c r="B237" s="66"/>
      <c r="C237" s="61"/>
      <c r="D237" s="62" t="s">
        <v>472</v>
      </c>
      <c r="E237" s="62" t="s">
        <v>473</v>
      </c>
      <c r="F237" s="63">
        <v>100000000</v>
      </c>
      <c r="G237" s="75"/>
      <c r="H237" s="75"/>
      <c r="I237" s="75">
        <f>+G237+H237</f>
        <v>0</v>
      </c>
      <c r="J237" s="75"/>
      <c r="K237" s="75"/>
      <c r="L237" s="75">
        <f t="shared" ref="L237" si="142">+J237+K237</f>
        <v>0</v>
      </c>
      <c r="M237" s="75">
        <f>+I237+L237</f>
        <v>0</v>
      </c>
      <c r="N237" s="63">
        <f t="shared" si="133"/>
        <v>100000000</v>
      </c>
      <c r="P237" s="194"/>
      <c r="S237" s="282"/>
      <c r="T237" s="282"/>
      <c r="U237" s="250"/>
    </row>
    <row r="238" spans="1:21" s="134" customFormat="1" ht="18" customHeight="1" x14ac:dyDescent="0.25">
      <c r="A238" s="129"/>
      <c r="B238" s="131"/>
      <c r="C238" s="131"/>
      <c r="D238" s="131"/>
      <c r="E238" s="131"/>
      <c r="F238" s="132"/>
      <c r="G238" s="133"/>
      <c r="H238" s="133"/>
      <c r="I238" s="133"/>
      <c r="J238" s="133"/>
      <c r="K238" s="133"/>
      <c r="L238" s="133"/>
      <c r="M238" s="133"/>
      <c r="N238" s="132"/>
      <c r="P238" s="197"/>
      <c r="S238" s="286"/>
      <c r="T238" s="286"/>
      <c r="U238" s="247"/>
    </row>
    <row r="239" spans="1:21" s="137" customFormat="1" ht="18" customHeight="1" x14ac:dyDescent="0.25">
      <c r="A239" s="109"/>
      <c r="B239" s="110" t="s">
        <v>357</v>
      </c>
      <c r="C239" s="110"/>
      <c r="D239" s="110"/>
      <c r="E239" s="110" t="s">
        <v>358</v>
      </c>
      <c r="F239" s="135">
        <f>+F241</f>
        <v>260000000</v>
      </c>
      <c r="G239" s="136">
        <f>+G240</f>
        <v>0</v>
      </c>
      <c r="H239" s="136">
        <f>+H240</f>
        <v>0</v>
      </c>
      <c r="I239" s="136">
        <f>+G239+H239</f>
        <v>0</v>
      </c>
      <c r="J239" s="136">
        <f>+J240</f>
        <v>0</v>
      </c>
      <c r="K239" s="136">
        <f>+K240</f>
        <v>0</v>
      </c>
      <c r="L239" s="136">
        <f>+J239+K239</f>
        <v>0</v>
      </c>
      <c r="M239" s="136">
        <f t="shared" ref="M239" si="143">+I239+L239</f>
        <v>0</v>
      </c>
      <c r="N239" s="135">
        <f t="shared" ref="N239:N245" si="144">+F239-M239</f>
        <v>260000000</v>
      </c>
      <c r="P239" s="198"/>
      <c r="R239" s="138"/>
      <c r="S239" s="287"/>
      <c r="T239" s="287"/>
      <c r="U239" s="248"/>
    </row>
    <row r="240" spans="1:21" s="121" customFormat="1" ht="18" customHeight="1" x14ac:dyDescent="0.25">
      <c r="A240" s="116">
        <v>11</v>
      </c>
      <c r="B240" s="117"/>
      <c r="C240" s="117" t="s">
        <v>119</v>
      </c>
      <c r="D240" s="118"/>
      <c r="E240" s="128" t="s">
        <v>120</v>
      </c>
      <c r="F240" s="119">
        <f>+F241</f>
        <v>260000000</v>
      </c>
      <c r="G240" s="120">
        <f>+G241</f>
        <v>0</v>
      </c>
      <c r="H240" s="120">
        <f>+H241</f>
        <v>0</v>
      </c>
      <c r="I240" s="120">
        <f>+G240+H240</f>
        <v>0</v>
      </c>
      <c r="J240" s="120">
        <f>+J241</f>
        <v>0</v>
      </c>
      <c r="K240" s="120">
        <f>+K241</f>
        <v>0</v>
      </c>
      <c r="L240" s="120">
        <f>+J240+K240</f>
        <v>0</v>
      </c>
      <c r="M240" s="120">
        <f>+I240+L240</f>
        <v>0</v>
      </c>
      <c r="N240" s="119">
        <f t="shared" si="144"/>
        <v>260000000</v>
      </c>
      <c r="P240" s="190"/>
      <c r="R240" s="122"/>
      <c r="S240" s="283"/>
      <c r="T240" s="283"/>
      <c r="U240" s="246"/>
    </row>
    <row r="241" spans="1:21" s="107" customFormat="1" ht="18" customHeight="1" x14ac:dyDescent="0.25">
      <c r="A241" s="101"/>
      <c r="B241" s="102"/>
      <c r="C241" s="102"/>
      <c r="D241" s="103" t="s">
        <v>267</v>
      </c>
      <c r="E241" s="104" t="s">
        <v>268</v>
      </c>
      <c r="F241" s="105">
        <f t="shared" ref="F241:H243" si="145">+F242</f>
        <v>260000000</v>
      </c>
      <c r="G241" s="106">
        <f>+G242</f>
        <v>0</v>
      </c>
      <c r="H241" s="106">
        <f t="shared" si="145"/>
        <v>0</v>
      </c>
      <c r="I241" s="106">
        <f t="shared" ref="I241:I245" si="146">+G241+H241</f>
        <v>0</v>
      </c>
      <c r="J241" s="106">
        <f>+J242</f>
        <v>0</v>
      </c>
      <c r="K241" s="106">
        <f t="shared" ref="K241:K243" si="147">+K242</f>
        <v>0</v>
      </c>
      <c r="L241" s="106">
        <f t="shared" ref="L241:L244" si="148">+J241+K241</f>
        <v>0</v>
      </c>
      <c r="M241" s="106">
        <f t="shared" ref="M241:M244" si="149">+I241+L241</f>
        <v>0</v>
      </c>
      <c r="N241" s="105">
        <f t="shared" si="144"/>
        <v>260000000</v>
      </c>
      <c r="P241" s="191"/>
      <c r="R241" s="108"/>
      <c r="S241" s="284"/>
      <c r="T241" s="284"/>
      <c r="U241" s="241"/>
    </row>
    <row r="242" spans="1:21" s="49" customFormat="1" ht="18" customHeight="1" x14ac:dyDescent="0.25">
      <c r="A242" s="44"/>
      <c r="B242" s="82"/>
      <c r="C242" s="44"/>
      <c r="D242" s="45" t="s">
        <v>78</v>
      </c>
      <c r="E242" s="45" t="s">
        <v>75</v>
      </c>
      <c r="F242" s="47">
        <f t="shared" si="145"/>
        <v>260000000</v>
      </c>
      <c r="G242" s="70">
        <f>+G243</f>
        <v>0</v>
      </c>
      <c r="H242" s="70">
        <f t="shared" si="145"/>
        <v>0</v>
      </c>
      <c r="I242" s="70">
        <f t="shared" si="146"/>
        <v>0</v>
      </c>
      <c r="J242" s="70">
        <f>+J243</f>
        <v>0</v>
      </c>
      <c r="K242" s="70">
        <f t="shared" si="147"/>
        <v>0</v>
      </c>
      <c r="L242" s="70">
        <f t="shared" si="148"/>
        <v>0</v>
      </c>
      <c r="M242" s="70">
        <f t="shared" si="149"/>
        <v>0</v>
      </c>
      <c r="N242" s="47">
        <f t="shared" si="144"/>
        <v>260000000</v>
      </c>
      <c r="P242" s="192"/>
      <c r="S242" s="282"/>
      <c r="T242" s="282"/>
      <c r="U242" s="242"/>
    </row>
    <row r="243" spans="1:21" s="55" customFormat="1" ht="18" customHeight="1" x14ac:dyDescent="0.25">
      <c r="A243" s="50"/>
      <c r="B243" s="51"/>
      <c r="C243" s="50"/>
      <c r="D243" s="71" t="s">
        <v>277</v>
      </c>
      <c r="E243" s="51" t="s">
        <v>278</v>
      </c>
      <c r="F243" s="53">
        <f t="shared" si="145"/>
        <v>260000000</v>
      </c>
      <c r="G243" s="72">
        <f>+G244</f>
        <v>0</v>
      </c>
      <c r="H243" s="72">
        <f t="shared" si="145"/>
        <v>0</v>
      </c>
      <c r="I243" s="72">
        <f t="shared" si="146"/>
        <v>0</v>
      </c>
      <c r="J243" s="72">
        <f>+J244</f>
        <v>0</v>
      </c>
      <c r="K243" s="72">
        <f t="shared" si="147"/>
        <v>0</v>
      </c>
      <c r="L243" s="72">
        <f t="shared" si="148"/>
        <v>0</v>
      </c>
      <c r="M243" s="72">
        <f t="shared" si="149"/>
        <v>0</v>
      </c>
      <c r="N243" s="53">
        <f t="shared" si="144"/>
        <v>260000000</v>
      </c>
      <c r="P243" s="195"/>
      <c r="S243" s="282"/>
      <c r="T243" s="282"/>
      <c r="U243" s="243"/>
    </row>
    <row r="244" spans="1:21" s="49" customFormat="1" ht="18" customHeight="1" x14ac:dyDescent="0.25">
      <c r="A244" s="56"/>
      <c r="B244" s="84"/>
      <c r="C244" s="56"/>
      <c r="D244" s="57" t="s">
        <v>121</v>
      </c>
      <c r="E244" s="57" t="s">
        <v>123</v>
      </c>
      <c r="F244" s="58">
        <f>F245</f>
        <v>260000000</v>
      </c>
      <c r="G244" s="59">
        <f>+G245</f>
        <v>0</v>
      </c>
      <c r="H244" s="59">
        <f>+H245</f>
        <v>0</v>
      </c>
      <c r="I244" s="59">
        <f t="shared" si="146"/>
        <v>0</v>
      </c>
      <c r="J244" s="59">
        <f>+J245</f>
        <v>0</v>
      </c>
      <c r="K244" s="59">
        <f>+K245</f>
        <v>0</v>
      </c>
      <c r="L244" s="59">
        <f t="shared" si="148"/>
        <v>0</v>
      </c>
      <c r="M244" s="59">
        <f t="shared" si="149"/>
        <v>0</v>
      </c>
      <c r="N244" s="58">
        <f t="shared" si="144"/>
        <v>260000000</v>
      </c>
      <c r="P244" s="192"/>
      <c r="S244" s="282"/>
      <c r="T244" s="282"/>
      <c r="U244" s="242"/>
    </row>
    <row r="245" spans="1:21" s="49" customFormat="1" ht="18" customHeight="1" x14ac:dyDescent="0.25">
      <c r="A245" s="61"/>
      <c r="B245" s="66"/>
      <c r="C245" s="61"/>
      <c r="D245" s="62" t="s">
        <v>122</v>
      </c>
      <c r="E245" s="62" t="s">
        <v>124</v>
      </c>
      <c r="F245" s="63">
        <v>260000000</v>
      </c>
      <c r="G245" s="75"/>
      <c r="H245" s="75"/>
      <c r="I245" s="75">
        <f t="shared" si="146"/>
        <v>0</v>
      </c>
      <c r="J245" s="75"/>
      <c r="K245" s="75"/>
      <c r="L245" s="75"/>
      <c r="M245" s="75">
        <f>+I245+L245</f>
        <v>0</v>
      </c>
      <c r="N245" s="63">
        <f t="shared" si="144"/>
        <v>260000000</v>
      </c>
      <c r="P245" s="192"/>
      <c r="S245" s="282"/>
      <c r="T245" s="281"/>
      <c r="U245" s="242"/>
    </row>
    <row r="246" spans="1:21" s="134" customFormat="1" ht="18" customHeight="1" x14ac:dyDescent="0.25">
      <c r="A246" s="129"/>
      <c r="B246" s="131"/>
      <c r="C246" s="131"/>
      <c r="D246" s="131"/>
      <c r="E246" s="131"/>
      <c r="F246" s="132"/>
      <c r="G246" s="133"/>
      <c r="H246" s="133"/>
      <c r="I246" s="133"/>
      <c r="J246" s="133"/>
      <c r="K246" s="133"/>
      <c r="L246" s="133"/>
      <c r="M246" s="133"/>
      <c r="N246" s="132"/>
      <c r="P246" s="197"/>
      <c r="S246" s="286"/>
      <c r="T246" s="286"/>
      <c r="U246" s="247"/>
    </row>
    <row r="247" spans="1:21" s="137" customFormat="1" ht="16.5" customHeight="1" x14ac:dyDescent="0.25">
      <c r="A247" s="109"/>
      <c r="B247" s="110" t="s">
        <v>359</v>
      </c>
      <c r="C247" s="110"/>
      <c r="D247" s="110"/>
      <c r="E247" s="110" t="s">
        <v>360</v>
      </c>
      <c r="F247" s="135">
        <f>+F248+F256+F269+F278</f>
        <v>39780847375</v>
      </c>
      <c r="G247" s="136">
        <f>+G248+G256+G269+G278</f>
        <v>3058644020</v>
      </c>
      <c r="H247" s="136">
        <f>+H248+H256+H269+H278</f>
        <v>3059777388</v>
      </c>
      <c r="I247" s="136">
        <f>+G247+H247</f>
        <v>6118421408</v>
      </c>
      <c r="J247" s="136">
        <f>+J248+J256+J269+J278</f>
        <v>94954700</v>
      </c>
      <c r="K247" s="136">
        <f>+K248+K256+K269+K278</f>
        <v>112274189</v>
      </c>
      <c r="L247" s="136">
        <f>+J247+K247</f>
        <v>207228889</v>
      </c>
      <c r="M247" s="113">
        <f t="shared" ref="M247" si="150">+I247+L247</f>
        <v>6325650297</v>
      </c>
      <c r="N247" s="135">
        <f t="shared" ref="N247:N255" si="151">+F247-M247</f>
        <v>33455197078</v>
      </c>
      <c r="P247" s="198"/>
      <c r="R247" s="138"/>
      <c r="S247" s="287"/>
      <c r="T247" s="287"/>
      <c r="U247" s="248"/>
    </row>
    <row r="248" spans="1:21" s="121" customFormat="1" ht="18" customHeight="1" x14ac:dyDescent="0.25">
      <c r="A248" s="116">
        <v>12</v>
      </c>
      <c r="B248" s="117"/>
      <c r="C248" s="117" t="s">
        <v>125</v>
      </c>
      <c r="D248" s="118"/>
      <c r="E248" s="128" t="s">
        <v>34</v>
      </c>
      <c r="F248" s="119">
        <f>+F249</f>
        <v>219414700</v>
      </c>
      <c r="G248" s="120">
        <f>+G249</f>
        <v>0</v>
      </c>
      <c r="H248" s="120">
        <f>+H249</f>
        <v>0</v>
      </c>
      <c r="I248" s="120">
        <f>+G248+H248</f>
        <v>0</v>
      </c>
      <c r="J248" s="120">
        <f>+J249</f>
        <v>0</v>
      </c>
      <c r="K248" s="120">
        <f>+K249</f>
        <v>2400000</v>
      </c>
      <c r="L248" s="120">
        <f>+J248+K248</f>
        <v>2400000</v>
      </c>
      <c r="M248" s="120">
        <f>+I248+L248</f>
        <v>2400000</v>
      </c>
      <c r="N248" s="119">
        <f t="shared" si="151"/>
        <v>217014700</v>
      </c>
      <c r="P248" s="190"/>
      <c r="R248" s="122"/>
      <c r="S248" s="283"/>
      <c r="T248" s="283"/>
      <c r="U248" s="246"/>
    </row>
    <row r="249" spans="1:21" s="107" customFormat="1" ht="18" customHeight="1" x14ac:dyDescent="0.25">
      <c r="A249" s="101"/>
      <c r="B249" s="102"/>
      <c r="C249" s="141"/>
      <c r="D249" s="103" t="s">
        <v>207</v>
      </c>
      <c r="E249" s="104" t="s">
        <v>262</v>
      </c>
      <c r="F249" s="105">
        <f t="shared" ref="F249:H251" si="152">+F250</f>
        <v>219414700</v>
      </c>
      <c r="G249" s="106">
        <f>+G250</f>
        <v>0</v>
      </c>
      <c r="H249" s="106">
        <f t="shared" si="152"/>
        <v>0</v>
      </c>
      <c r="I249" s="106">
        <f t="shared" ref="I249:I253" si="153">+G249+H249</f>
        <v>0</v>
      </c>
      <c r="J249" s="106">
        <f t="shared" ref="J249:K251" si="154">+J250</f>
        <v>0</v>
      </c>
      <c r="K249" s="106">
        <f t="shared" si="154"/>
        <v>2400000</v>
      </c>
      <c r="L249" s="106">
        <f t="shared" ref="L249:L251" si="155">+J249+K249</f>
        <v>2400000</v>
      </c>
      <c r="M249" s="106">
        <f t="shared" ref="M249:M252" si="156">+I249+L249</f>
        <v>2400000</v>
      </c>
      <c r="N249" s="105">
        <f t="shared" si="151"/>
        <v>217014700</v>
      </c>
      <c r="P249" s="191"/>
      <c r="R249" s="108"/>
      <c r="S249" s="284"/>
      <c r="T249" s="284"/>
      <c r="U249" s="241"/>
    </row>
    <row r="250" spans="1:21" s="49" customFormat="1" ht="18" customHeight="1" x14ac:dyDescent="0.25">
      <c r="A250" s="44"/>
      <c r="B250" s="82"/>
      <c r="C250" s="44"/>
      <c r="D250" s="45" t="s">
        <v>63</v>
      </c>
      <c r="E250" s="45" t="s">
        <v>30</v>
      </c>
      <c r="F250" s="47">
        <f t="shared" si="152"/>
        <v>219414700</v>
      </c>
      <c r="G250" s="70">
        <f>+G251</f>
        <v>0</v>
      </c>
      <c r="H250" s="70">
        <f t="shared" si="152"/>
        <v>0</v>
      </c>
      <c r="I250" s="70">
        <f t="shared" si="153"/>
        <v>0</v>
      </c>
      <c r="J250" s="70">
        <f t="shared" si="154"/>
        <v>0</v>
      </c>
      <c r="K250" s="70">
        <f t="shared" si="154"/>
        <v>2400000</v>
      </c>
      <c r="L250" s="70">
        <f t="shared" si="155"/>
        <v>2400000</v>
      </c>
      <c r="M250" s="70">
        <f t="shared" si="156"/>
        <v>2400000</v>
      </c>
      <c r="N250" s="47">
        <f t="shared" si="151"/>
        <v>217014700</v>
      </c>
      <c r="P250" s="192"/>
      <c r="S250" s="282"/>
      <c r="T250" s="282"/>
      <c r="U250" s="242"/>
    </row>
    <row r="251" spans="1:21" s="55" customFormat="1" ht="18" customHeight="1" x14ac:dyDescent="0.25">
      <c r="A251" s="50"/>
      <c r="B251" s="51"/>
      <c r="C251" s="50"/>
      <c r="D251" s="71" t="s">
        <v>263</v>
      </c>
      <c r="E251" s="51" t="s">
        <v>264</v>
      </c>
      <c r="F251" s="53">
        <f t="shared" si="152"/>
        <v>219414700</v>
      </c>
      <c r="G251" s="72">
        <f>+G252</f>
        <v>0</v>
      </c>
      <c r="H251" s="72">
        <f t="shared" si="152"/>
        <v>0</v>
      </c>
      <c r="I251" s="72">
        <f t="shared" si="153"/>
        <v>0</v>
      </c>
      <c r="J251" s="72">
        <f t="shared" si="154"/>
        <v>0</v>
      </c>
      <c r="K251" s="72">
        <f t="shared" si="154"/>
        <v>2400000</v>
      </c>
      <c r="L251" s="72">
        <f t="shared" si="155"/>
        <v>2400000</v>
      </c>
      <c r="M251" s="72">
        <f t="shared" si="156"/>
        <v>2400000</v>
      </c>
      <c r="N251" s="53">
        <f t="shared" si="151"/>
        <v>217014700</v>
      </c>
      <c r="P251" s="195"/>
      <c r="S251" s="282"/>
      <c r="T251" s="282"/>
      <c r="U251" s="243"/>
    </row>
    <row r="252" spans="1:21" s="49" customFormat="1" ht="18" customHeight="1" x14ac:dyDescent="0.25">
      <c r="A252" s="56"/>
      <c r="B252" s="84"/>
      <c r="C252" s="56"/>
      <c r="D252" s="57" t="s">
        <v>64</v>
      </c>
      <c r="E252" s="57" t="s">
        <v>65</v>
      </c>
      <c r="F252" s="58">
        <f>SUM(F253:F255)</f>
        <v>219414700</v>
      </c>
      <c r="G252" s="59">
        <f>SUM(G253:G255)</f>
        <v>0</v>
      </c>
      <c r="H252" s="59">
        <f>SUM(H253:H255)</f>
        <v>0</v>
      </c>
      <c r="I252" s="59">
        <f t="shared" si="153"/>
        <v>0</v>
      </c>
      <c r="J252" s="59">
        <f>SUM(J253:J255)</f>
        <v>0</v>
      </c>
      <c r="K252" s="59">
        <f>SUM(K253:K255)</f>
        <v>2400000</v>
      </c>
      <c r="L252" s="59">
        <f>+J252+K252</f>
        <v>2400000</v>
      </c>
      <c r="M252" s="59">
        <f t="shared" si="156"/>
        <v>2400000</v>
      </c>
      <c r="N252" s="58">
        <f t="shared" si="151"/>
        <v>217014700</v>
      </c>
      <c r="P252" s="192"/>
      <c r="S252" s="282"/>
      <c r="T252" s="282"/>
      <c r="U252" s="242"/>
    </row>
    <row r="253" spans="1:21" s="65" customFormat="1" ht="18" customHeight="1" x14ac:dyDescent="0.25">
      <c r="A253" s="61"/>
      <c r="B253" s="66"/>
      <c r="C253" s="61"/>
      <c r="D253" s="62" t="s">
        <v>337</v>
      </c>
      <c r="E253" s="62" t="s">
        <v>338</v>
      </c>
      <c r="F253" s="63">
        <v>875000</v>
      </c>
      <c r="G253" s="75"/>
      <c r="H253" s="75"/>
      <c r="I253" s="75">
        <f t="shared" si="153"/>
        <v>0</v>
      </c>
      <c r="J253" s="75"/>
      <c r="K253" s="75"/>
      <c r="L253" s="75">
        <f>+J253+K253</f>
        <v>0</v>
      </c>
      <c r="M253" s="75">
        <f>+I253+L253</f>
        <v>0</v>
      </c>
      <c r="N253" s="63">
        <f t="shared" si="151"/>
        <v>875000</v>
      </c>
      <c r="P253" s="194"/>
      <c r="S253" s="282"/>
      <c r="T253" s="282"/>
      <c r="U253" s="244"/>
    </row>
    <row r="254" spans="1:21" s="65" customFormat="1" ht="18" customHeight="1" x14ac:dyDescent="0.25">
      <c r="A254" s="61"/>
      <c r="B254" s="66"/>
      <c r="C254" s="61"/>
      <c r="D254" s="62" t="s">
        <v>68</v>
      </c>
      <c r="E254" s="62" t="s">
        <v>69</v>
      </c>
      <c r="F254" s="63">
        <v>182539700</v>
      </c>
      <c r="G254" s="75"/>
      <c r="H254" s="75"/>
      <c r="I254" s="75">
        <f>+G254+H254</f>
        <v>0</v>
      </c>
      <c r="J254" s="75"/>
      <c r="K254" s="75"/>
      <c r="L254" s="75">
        <f>+J254+K254</f>
        <v>0</v>
      </c>
      <c r="M254" s="75">
        <f>+I254+L254</f>
        <v>0</v>
      </c>
      <c r="N254" s="63">
        <f t="shared" si="151"/>
        <v>182539700</v>
      </c>
      <c r="P254" s="194"/>
      <c r="S254" s="282"/>
      <c r="T254" s="282"/>
      <c r="U254" s="244"/>
    </row>
    <row r="255" spans="1:21" s="127" customFormat="1" ht="18" customHeight="1" x14ac:dyDescent="0.25">
      <c r="A255" s="123"/>
      <c r="B255" s="143"/>
      <c r="C255" s="123"/>
      <c r="D255" s="124" t="s">
        <v>126</v>
      </c>
      <c r="E255" s="124" t="s">
        <v>127</v>
      </c>
      <c r="F255" s="125">
        <v>36000000</v>
      </c>
      <c r="G255" s="140">
        <v>0</v>
      </c>
      <c r="H255" s="140"/>
      <c r="I255" s="140">
        <f>+G255+H255</f>
        <v>0</v>
      </c>
      <c r="J255" s="140"/>
      <c r="K255" s="140">
        <v>2400000</v>
      </c>
      <c r="L255" s="140">
        <f>+J255+K255</f>
        <v>2400000</v>
      </c>
      <c r="M255" s="140">
        <f>+I255+L255</f>
        <v>2400000</v>
      </c>
      <c r="N255" s="125">
        <f t="shared" si="151"/>
        <v>33600000</v>
      </c>
      <c r="P255" s="196"/>
      <c r="S255" s="285">
        <v>2400000</v>
      </c>
      <c r="T255" s="286"/>
      <c r="U255" s="245"/>
    </row>
    <row r="256" spans="1:21" s="121" customFormat="1" ht="18" customHeight="1" x14ac:dyDescent="0.25">
      <c r="A256" s="116">
        <v>13</v>
      </c>
      <c r="B256" s="117"/>
      <c r="C256" s="117" t="s">
        <v>128</v>
      </c>
      <c r="D256" s="118"/>
      <c r="E256" s="128" t="s">
        <v>46</v>
      </c>
      <c r="F256" s="119">
        <f>+F257</f>
        <v>38400620000</v>
      </c>
      <c r="G256" s="120">
        <f>+G257</f>
        <v>3058644020</v>
      </c>
      <c r="H256" s="120">
        <f>+H257</f>
        <v>3059777388</v>
      </c>
      <c r="I256" s="120">
        <f>+G256+H256</f>
        <v>6118421408</v>
      </c>
      <c r="J256" s="120">
        <f>+J257</f>
        <v>22194700</v>
      </c>
      <c r="K256" s="120">
        <f>+K257</f>
        <v>25914189</v>
      </c>
      <c r="L256" s="120">
        <f>+J256+K256</f>
        <v>48108889</v>
      </c>
      <c r="M256" s="120">
        <f>+I256+L256</f>
        <v>6166530297</v>
      </c>
      <c r="N256" s="119">
        <f>+F256-M256</f>
        <v>32234089703</v>
      </c>
      <c r="P256" s="190"/>
      <c r="R256" s="122"/>
      <c r="S256" s="283"/>
      <c r="T256" s="283"/>
      <c r="U256" s="246"/>
    </row>
    <row r="257" spans="1:21" s="107" customFormat="1" ht="18" customHeight="1" x14ac:dyDescent="0.25">
      <c r="A257" s="101"/>
      <c r="B257" s="102"/>
      <c r="C257" s="141"/>
      <c r="D257" s="103" t="s">
        <v>207</v>
      </c>
      <c r="E257" s="104" t="s">
        <v>262</v>
      </c>
      <c r="F257" s="105">
        <f>+F258</f>
        <v>38400620000</v>
      </c>
      <c r="G257" s="106">
        <f>+G258</f>
        <v>3058644020</v>
      </c>
      <c r="H257" s="106">
        <f t="shared" ref="F257:H259" si="157">+H258</f>
        <v>3059777388</v>
      </c>
      <c r="I257" s="106">
        <f t="shared" ref="I257:I262" si="158">+G257+H257</f>
        <v>6118421408</v>
      </c>
      <c r="J257" s="106">
        <f t="shared" ref="J257:K259" si="159">+J258</f>
        <v>22194700</v>
      </c>
      <c r="K257" s="106">
        <f t="shared" si="159"/>
        <v>25914189</v>
      </c>
      <c r="L257" s="106">
        <f t="shared" ref="L257:L260" si="160">+J257+K257</f>
        <v>48108889</v>
      </c>
      <c r="M257" s="106">
        <f t="shared" ref="M257:M260" si="161">+I257+L257</f>
        <v>6166530297</v>
      </c>
      <c r="N257" s="105">
        <f>+F257-M257</f>
        <v>32234089703</v>
      </c>
      <c r="P257" s="191"/>
      <c r="R257" s="108"/>
      <c r="S257" s="284"/>
      <c r="T257" s="284"/>
      <c r="U257" s="241"/>
    </row>
    <row r="258" spans="1:21" s="49" customFormat="1" ht="18" customHeight="1" x14ac:dyDescent="0.25">
      <c r="A258" s="44"/>
      <c r="B258" s="82"/>
      <c r="C258" s="44"/>
      <c r="D258" s="45" t="s">
        <v>63</v>
      </c>
      <c r="E258" s="45" t="s">
        <v>30</v>
      </c>
      <c r="F258" s="47">
        <f>+F259+F262</f>
        <v>38400620000</v>
      </c>
      <c r="G258" s="70">
        <f>+G259+G262</f>
        <v>3058644020</v>
      </c>
      <c r="H258" s="70">
        <f>+H259+H262</f>
        <v>3059777388</v>
      </c>
      <c r="I258" s="70">
        <f t="shared" si="158"/>
        <v>6118421408</v>
      </c>
      <c r="J258" s="70">
        <f>+J259+J262</f>
        <v>22194700</v>
      </c>
      <c r="K258" s="70">
        <f>+K259+K262</f>
        <v>25914189</v>
      </c>
      <c r="L258" s="70">
        <f t="shared" si="160"/>
        <v>48108889</v>
      </c>
      <c r="M258" s="70">
        <f t="shared" si="161"/>
        <v>6166530297</v>
      </c>
      <c r="N258" s="47">
        <f>+F258-M258</f>
        <v>32234089703</v>
      </c>
      <c r="P258" s="192"/>
      <c r="S258" s="282"/>
      <c r="T258" s="282"/>
      <c r="U258" s="242"/>
    </row>
    <row r="259" spans="1:21" s="55" customFormat="1" ht="18" customHeight="1" x14ac:dyDescent="0.25">
      <c r="A259" s="50"/>
      <c r="B259" s="51"/>
      <c r="C259" s="50"/>
      <c r="D259" s="71" t="s">
        <v>263</v>
      </c>
      <c r="E259" s="51" t="s">
        <v>264</v>
      </c>
      <c r="F259" s="53">
        <f t="shared" si="157"/>
        <v>35000000</v>
      </c>
      <c r="G259" s="72">
        <f>+G260</f>
        <v>0</v>
      </c>
      <c r="H259" s="72">
        <f t="shared" si="157"/>
        <v>0</v>
      </c>
      <c r="I259" s="72">
        <f t="shared" si="158"/>
        <v>0</v>
      </c>
      <c r="J259" s="72">
        <f t="shared" si="159"/>
        <v>0</v>
      </c>
      <c r="K259" s="72">
        <f t="shared" si="159"/>
        <v>3000000</v>
      </c>
      <c r="L259" s="72">
        <f t="shared" si="160"/>
        <v>3000000</v>
      </c>
      <c r="M259" s="72">
        <f t="shared" si="161"/>
        <v>3000000</v>
      </c>
      <c r="N259" s="53">
        <f>+F259-M259</f>
        <v>32000000</v>
      </c>
      <c r="P259" s="195"/>
      <c r="S259" s="282"/>
      <c r="T259" s="282"/>
      <c r="U259" s="243"/>
    </row>
    <row r="260" spans="1:21" s="49" customFormat="1" ht="18" customHeight="1" x14ac:dyDescent="0.25">
      <c r="A260" s="56"/>
      <c r="B260" s="84"/>
      <c r="C260" s="56"/>
      <c r="D260" s="57" t="s">
        <v>64</v>
      </c>
      <c r="E260" s="57" t="s">
        <v>65</v>
      </c>
      <c r="F260" s="58">
        <f>+F261</f>
        <v>35000000</v>
      </c>
      <c r="G260" s="59">
        <f>+G261</f>
        <v>0</v>
      </c>
      <c r="H260" s="59">
        <f>+H261+H265</f>
        <v>0</v>
      </c>
      <c r="I260" s="59">
        <f t="shared" si="158"/>
        <v>0</v>
      </c>
      <c r="J260" s="59">
        <f>J261</f>
        <v>0</v>
      </c>
      <c r="K260" s="59">
        <f>+K261</f>
        <v>3000000</v>
      </c>
      <c r="L260" s="59">
        <f t="shared" si="160"/>
        <v>3000000</v>
      </c>
      <c r="M260" s="59">
        <f t="shared" si="161"/>
        <v>3000000</v>
      </c>
      <c r="N260" s="58">
        <f>+F260-M260</f>
        <v>32000000</v>
      </c>
      <c r="P260" s="192"/>
      <c r="S260" s="282"/>
      <c r="T260" s="282"/>
      <c r="U260" s="242"/>
    </row>
    <row r="261" spans="1:21" s="65" customFormat="1" ht="18" customHeight="1" x14ac:dyDescent="0.25">
      <c r="A261" s="61"/>
      <c r="B261" s="66"/>
      <c r="C261" s="61"/>
      <c r="D261" s="62" t="s">
        <v>129</v>
      </c>
      <c r="E261" s="62" t="s">
        <v>130</v>
      </c>
      <c r="F261" s="63">
        <v>35000000</v>
      </c>
      <c r="G261" s="75"/>
      <c r="H261" s="75"/>
      <c r="I261" s="75">
        <f t="shared" si="158"/>
        <v>0</v>
      </c>
      <c r="J261" s="75"/>
      <c r="K261" s="75">
        <f>2000000+1000000</f>
        <v>3000000</v>
      </c>
      <c r="L261" s="75">
        <f>+J261+K261</f>
        <v>3000000</v>
      </c>
      <c r="M261" s="75">
        <f>+I261+L261</f>
        <v>3000000</v>
      </c>
      <c r="N261" s="63">
        <f t="shared" ref="N261" si="162">+F261-M261</f>
        <v>32000000</v>
      </c>
      <c r="P261" s="194"/>
      <c r="S261" s="281">
        <v>3000000</v>
      </c>
      <c r="T261" s="282"/>
      <c r="U261" s="244"/>
    </row>
    <row r="262" spans="1:21" s="55" customFormat="1" ht="18" customHeight="1" x14ac:dyDescent="0.25">
      <c r="A262" s="50"/>
      <c r="B262" s="51"/>
      <c r="C262" s="50"/>
      <c r="D262" s="71" t="s">
        <v>271</v>
      </c>
      <c r="E262" s="51" t="s">
        <v>272</v>
      </c>
      <c r="F262" s="53">
        <f t="shared" ref="F262:H262" si="163">+F263</f>
        <v>38365620000</v>
      </c>
      <c r="G262" s="72">
        <f>+G263</f>
        <v>3058644020</v>
      </c>
      <c r="H262" s="72">
        <f t="shared" si="163"/>
        <v>3059777388</v>
      </c>
      <c r="I262" s="72">
        <f t="shared" si="158"/>
        <v>6118421408</v>
      </c>
      <c r="J262" s="72">
        <f>+J263</f>
        <v>22194700</v>
      </c>
      <c r="K262" s="72">
        <f t="shared" ref="K262" si="164">+K263</f>
        <v>22914189</v>
      </c>
      <c r="L262" s="72">
        <f t="shared" ref="L262" si="165">+J262+K262</f>
        <v>45108889</v>
      </c>
      <c r="M262" s="72">
        <f t="shared" ref="M262:M263" si="166">+I262+L262</f>
        <v>6163530297</v>
      </c>
      <c r="N262" s="53">
        <f>+F262-M262</f>
        <v>32202089703</v>
      </c>
      <c r="P262" s="195"/>
      <c r="S262" s="281"/>
      <c r="T262" s="282"/>
      <c r="U262" s="243"/>
    </row>
    <row r="263" spans="1:21" s="49" customFormat="1" ht="18" customHeight="1" x14ac:dyDescent="0.25">
      <c r="A263" s="56"/>
      <c r="B263" s="84"/>
      <c r="C263" s="56"/>
      <c r="D263" s="57" t="s">
        <v>81</v>
      </c>
      <c r="E263" s="57" t="s">
        <v>31</v>
      </c>
      <c r="F263" s="58">
        <f>SUM(F264:F268)</f>
        <v>38365620000</v>
      </c>
      <c r="G263" s="59">
        <f>SUM(G264:G268)</f>
        <v>3058644020</v>
      </c>
      <c r="H263" s="59">
        <f>SUM(H264:H268)</f>
        <v>3059777388</v>
      </c>
      <c r="I263" s="59">
        <f>+G263+H263</f>
        <v>6118421408</v>
      </c>
      <c r="J263" s="59">
        <f>SUM(J264:J268)</f>
        <v>22194700</v>
      </c>
      <c r="K263" s="59">
        <f>SUM(K264:K268)</f>
        <v>22914189</v>
      </c>
      <c r="L263" s="59">
        <f>+J263+K263</f>
        <v>45108889</v>
      </c>
      <c r="M263" s="59">
        <f t="shared" si="166"/>
        <v>6163530297</v>
      </c>
      <c r="N263" s="58">
        <f>+F263-M263</f>
        <v>32202089703</v>
      </c>
      <c r="P263" s="192"/>
      <c r="S263" s="281"/>
      <c r="T263" s="282"/>
      <c r="U263" s="242"/>
    </row>
    <row r="264" spans="1:21" s="65" customFormat="1" ht="18" customHeight="1" x14ac:dyDescent="0.25">
      <c r="A264" s="61"/>
      <c r="B264" s="66"/>
      <c r="C264" s="61"/>
      <c r="D264" s="62" t="s">
        <v>131</v>
      </c>
      <c r="E264" s="62" t="s">
        <v>132</v>
      </c>
      <c r="F264" s="63">
        <v>16800000</v>
      </c>
      <c r="G264" s="75"/>
      <c r="H264" s="75"/>
      <c r="I264" s="75">
        <f t="shared" ref="I264:I268" si="167">+G264+H264</f>
        <v>0</v>
      </c>
      <c r="J264" s="75"/>
      <c r="K264" s="75">
        <f>75561+34634+34357</f>
        <v>144552</v>
      </c>
      <c r="L264" s="75">
        <f>+J264+K264</f>
        <v>144552</v>
      </c>
      <c r="M264" s="75">
        <f>+I264+L264</f>
        <v>144552</v>
      </c>
      <c r="N264" s="63">
        <f t="shared" ref="N264:N268" si="168">+F264-M264</f>
        <v>16655448</v>
      </c>
      <c r="P264" s="194"/>
      <c r="S264" s="281">
        <f>75561+34634+34357</f>
        <v>144552</v>
      </c>
      <c r="T264" s="282"/>
      <c r="U264" s="244"/>
    </row>
    <row r="265" spans="1:21" s="65" customFormat="1" ht="18" customHeight="1" x14ac:dyDescent="0.25">
      <c r="A265" s="61"/>
      <c r="B265" s="66"/>
      <c r="C265" s="61"/>
      <c r="D265" s="62" t="s">
        <v>133</v>
      </c>
      <c r="E265" s="62" t="s">
        <v>134</v>
      </c>
      <c r="F265" s="63">
        <v>42000000</v>
      </c>
      <c r="G265" s="75">
        <v>0</v>
      </c>
      <c r="H265" s="75"/>
      <c r="I265" s="75">
        <f t="shared" si="167"/>
        <v>0</v>
      </c>
      <c r="J265" s="75">
        <v>2344700</v>
      </c>
      <c r="K265" s="75">
        <v>2395100</v>
      </c>
      <c r="L265" s="75">
        <f>+J265+K265</f>
        <v>4739800</v>
      </c>
      <c r="M265" s="75">
        <f>+I265+L265</f>
        <v>4739800</v>
      </c>
      <c r="N265" s="63">
        <f t="shared" si="168"/>
        <v>37260200</v>
      </c>
      <c r="P265" s="194"/>
      <c r="S265" s="281">
        <v>2395100</v>
      </c>
      <c r="T265" s="282"/>
      <c r="U265" s="244"/>
    </row>
    <row r="266" spans="1:21" s="65" customFormat="1" ht="18" customHeight="1" x14ac:dyDescent="0.25">
      <c r="A266" s="61"/>
      <c r="B266" s="66"/>
      <c r="C266" s="61"/>
      <c r="D266" s="62" t="s">
        <v>135</v>
      </c>
      <c r="E266" s="62" t="s">
        <v>136</v>
      </c>
      <c r="F266" s="63">
        <v>37992800000</v>
      </c>
      <c r="G266" s="75">
        <v>3058644020</v>
      </c>
      <c r="H266" s="75">
        <f>33514534+3026262854</f>
        <v>3059777388</v>
      </c>
      <c r="I266" s="75">
        <f t="shared" si="167"/>
        <v>6118421408</v>
      </c>
      <c r="J266" s="75">
        <v>0</v>
      </c>
      <c r="K266" s="75"/>
      <c r="L266" s="75">
        <f>+J266+K266</f>
        <v>0</v>
      </c>
      <c r="M266" s="75">
        <f>+I266+L266</f>
        <v>6118421408</v>
      </c>
      <c r="N266" s="63">
        <f t="shared" si="168"/>
        <v>31874378592</v>
      </c>
      <c r="P266" s="194"/>
      <c r="S266" s="281"/>
      <c r="T266" s="281">
        <f>33514534+3026262854</f>
        <v>3059777388</v>
      </c>
      <c r="U266" s="244"/>
    </row>
    <row r="267" spans="1:21" s="65" customFormat="1" ht="18" customHeight="1" x14ac:dyDescent="0.25">
      <c r="A267" s="61"/>
      <c r="B267" s="66"/>
      <c r="C267" s="61"/>
      <c r="D267" s="62" t="s">
        <v>137</v>
      </c>
      <c r="E267" s="62" t="s">
        <v>138</v>
      </c>
      <c r="F267" s="63">
        <v>12820000</v>
      </c>
      <c r="G267" s="75"/>
      <c r="H267" s="75"/>
      <c r="I267" s="75">
        <f t="shared" si="167"/>
        <v>0</v>
      </c>
      <c r="J267" s="75">
        <v>0</v>
      </c>
      <c r="K267" s="75">
        <f>230000+230000</f>
        <v>460000</v>
      </c>
      <c r="L267" s="75">
        <f t="shared" ref="L267:L272" si="169">+J267+K267</f>
        <v>460000</v>
      </c>
      <c r="M267" s="75">
        <f t="shared" ref="M267:M268" si="170">+I267+L267</f>
        <v>460000</v>
      </c>
      <c r="N267" s="63">
        <f t="shared" si="168"/>
        <v>12360000</v>
      </c>
      <c r="P267" s="194"/>
      <c r="S267" s="281">
        <f>230000+230000</f>
        <v>460000</v>
      </c>
      <c r="T267" s="282"/>
      <c r="U267" s="244"/>
    </row>
    <row r="268" spans="1:21" s="65" customFormat="1" ht="18" customHeight="1" x14ac:dyDescent="0.25">
      <c r="A268" s="61"/>
      <c r="B268" s="66"/>
      <c r="C268" s="61"/>
      <c r="D268" s="62" t="s">
        <v>139</v>
      </c>
      <c r="E268" s="62" t="s">
        <v>140</v>
      </c>
      <c r="F268" s="63">
        <v>301200000</v>
      </c>
      <c r="G268" s="75"/>
      <c r="H268" s="75"/>
      <c r="I268" s="75">
        <f t="shared" si="167"/>
        <v>0</v>
      </c>
      <c r="J268" s="75">
        <v>19850000</v>
      </c>
      <c r="K268" s="75">
        <f>19850000+64537</f>
        <v>19914537</v>
      </c>
      <c r="L268" s="75">
        <f t="shared" si="169"/>
        <v>39764537</v>
      </c>
      <c r="M268" s="75">
        <f t="shared" si="170"/>
        <v>39764537</v>
      </c>
      <c r="N268" s="63">
        <f t="shared" si="168"/>
        <v>261435463</v>
      </c>
      <c r="P268" s="194"/>
      <c r="S268" s="281">
        <f>19850000+64537</f>
        <v>19914537</v>
      </c>
      <c r="T268" s="282"/>
      <c r="U268" s="244"/>
    </row>
    <row r="269" spans="1:21" s="121" customFormat="1" ht="18" customHeight="1" x14ac:dyDescent="0.25">
      <c r="A269" s="116">
        <v>14</v>
      </c>
      <c r="B269" s="117"/>
      <c r="C269" s="117" t="s">
        <v>141</v>
      </c>
      <c r="D269" s="118"/>
      <c r="E269" s="128" t="s">
        <v>142</v>
      </c>
      <c r="F269" s="119">
        <f>+F270</f>
        <v>100000000</v>
      </c>
      <c r="G269" s="120">
        <f>+G270</f>
        <v>0</v>
      </c>
      <c r="H269" s="120">
        <f>+H270</f>
        <v>0</v>
      </c>
      <c r="I269" s="120">
        <f>+G269+H269</f>
        <v>0</v>
      </c>
      <c r="J269" s="120">
        <f>+J270</f>
        <v>0</v>
      </c>
      <c r="K269" s="120">
        <f>+K270</f>
        <v>0</v>
      </c>
      <c r="L269" s="120">
        <f t="shared" si="169"/>
        <v>0</v>
      </c>
      <c r="M269" s="120">
        <f>+I269+L269</f>
        <v>0</v>
      </c>
      <c r="N269" s="119">
        <f>+F269-M269</f>
        <v>100000000</v>
      </c>
      <c r="P269" s="190"/>
      <c r="R269" s="122"/>
      <c r="S269" s="283"/>
      <c r="T269" s="283"/>
      <c r="U269" s="246"/>
    </row>
    <row r="270" spans="1:21" s="107" customFormat="1" ht="16.5" customHeight="1" x14ac:dyDescent="0.25">
      <c r="A270" s="101"/>
      <c r="B270" s="102"/>
      <c r="C270" s="102"/>
      <c r="D270" s="103" t="s">
        <v>207</v>
      </c>
      <c r="E270" s="104" t="s">
        <v>262</v>
      </c>
      <c r="F270" s="105">
        <f>+F271</f>
        <v>100000000</v>
      </c>
      <c r="G270" s="106">
        <f>+G271</f>
        <v>0</v>
      </c>
      <c r="H270" s="106">
        <f t="shared" ref="F270:H272" si="171">+H271</f>
        <v>0</v>
      </c>
      <c r="I270" s="106">
        <f t="shared" ref="I270:I276" si="172">+G270+H270</f>
        <v>0</v>
      </c>
      <c r="J270" s="106">
        <f t="shared" ref="J270:J272" si="173">+J271</f>
        <v>0</v>
      </c>
      <c r="K270" s="106">
        <f>+K271</f>
        <v>0</v>
      </c>
      <c r="L270" s="106">
        <f t="shared" si="169"/>
        <v>0</v>
      </c>
      <c r="M270" s="106">
        <f t="shared" ref="M270:M273" si="174">+I270+L270</f>
        <v>0</v>
      </c>
      <c r="N270" s="105">
        <f>+F270-M270</f>
        <v>100000000</v>
      </c>
      <c r="P270" s="191"/>
      <c r="R270" s="108"/>
      <c r="S270" s="284"/>
      <c r="T270" s="284"/>
      <c r="U270" s="241"/>
    </row>
    <row r="271" spans="1:21" s="49" customFormat="1" ht="16.5" customHeight="1" x14ac:dyDescent="0.25">
      <c r="A271" s="44"/>
      <c r="B271" s="82"/>
      <c r="C271" s="44"/>
      <c r="D271" s="45" t="s">
        <v>63</v>
      </c>
      <c r="E271" s="45" t="s">
        <v>30</v>
      </c>
      <c r="F271" s="47">
        <f>F272</f>
        <v>100000000</v>
      </c>
      <c r="G271" s="70">
        <f>+G272</f>
        <v>0</v>
      </c>
      <c r="H271" s="70">
        <f t="shared" si="171"/>
        <v>0</v>
      </c>
      <c r="I271" s="70">
        <f t="shared" si="172"/>
        <v>0</v>
      </c>
      <c r="J271" s="70">
        <f t="shared" si="173"/>
        <v>0</v>
      </c>
      <c r="K271" s="70">
        <f>+K272</f>
        <v>0</v>
      </c>
      <c r="L271" s="70">
        <f t="shared" si="169"/>
        <v>0</v>
      </c>
      <c r="M271" s="70">
        <f t="shared" si="174"/>
        <v>0</v>
      </c>
      <c r="N271" s="47">
        <f>+F271-M271</f>
        <v>100000000</v>
      </c>
      <c r="P271" s="192"/>
      <c r="S271" s="282"/>
      <c r="T271" s="282"/>
      <c r="U271" s="242"/>
    </row>
    <row r="272" spans="1:21" s="55" customFormat="1" ht="16.5" customHeight="1" x14ac:dyDescent="0.25">
      <c r="A272" s="50"/>
      <c r="B272" s="51"/>
      <c r="C272" s="50"/>
      <c r="D272" s="71" t="s">
        <v>263</v>
      </c>
      <c r="E272" s="51" t="s">
        <v>264</v>
      </c>
      <c r="F272" s="53">
        <f t="shared" si="171"/>
        <v>100000000</v>
      </c>
      <c r="G272" s="72">
        <f>+G273</f>
        <v>0</v>
      </c>
      <c r="H272" s="72">
        <f t="shared" si="171"/>
        <v>0</v>
      </c>
      <c r="I272" s="72">
        <f t="shared" si="172"/>
        <v>0</v>
      </c>
      <c r="J272" s="72">
        <f t="shared" si="173"/>
        <v>0</v>
      </c>
      <c r="K272" s="72">
        <f>+K273</f>
        <v>0</v>
      </c>
      <c r="L272" s="72">
        <f t="shared" si="169"/>
        <v>0</v>
      </c>
      <c r="M272" s="72">
        <f t="shared" si="174"/>
        <v>0</v>
      </c>
      <c r="N272" s="53">
        <f>+F272-M272</f>
        <v>100000000</v>
      </c>
      <c r="P272" s="195"/>
      <c r="S272" s="282"/>
      <c r="T272" s="282"/>
      <c r="U272" s="243"/>
    </row>
    <row r="273" spans="1:21" s="49" customFormat="1" ht="16.5" customHeight="1" x14ac:dyDescent="0.25">
      <c r="A273" s="56"/>
      <c r="B273" s="84"/>
      <c r="C273" s="56"/>
      <c r="D273" s="57" t="s">
        <v>64</v>
      </c>
      <c r="E273" s="57" t="s">
        <v>65</v>
      </c>
      <c r="F273" s="58">
        <f>SUM(F274:F277)</f>
        <v>100000000</v>
      </c>
      <c r="G273" s="59">
        <f>SUM(G274:G277)</f>
        <v>0</v>
      </c>
      <c r="H273" s="59">
        <f>SUM(H274:H277)</f>
        <v>0</v>
      </c>
      <c r="I273" s="59">
        <f>+G273+H273</f>
        <v>0</v>
      </c>
      <c r="J273" s="59">
        <f>SUM(J274:J277)</f>
        <v>0</v>
      </c>
      <c r="K273" s="59">
        <f>SUM(K274:K277)</f>
        <v>0</v>
      </c>
      <c r="L273" s="59">
        <f>+J273+K273</f>
        <v>0</v>
      </c>
      <c r="M273" s="59">
        <f t="shared" si="174"/>
        <v>0</v>
      </c>
      <c r="N273" s="58">
        <f>+F273-M273</f>
        <v>100000000</v>
      </c>
      <c r="P273" s="192"/>
      <c r="S273" s="282"/>
      <c r="T273" s="282"/>
      <c r="U273" s="242"/>
    </row>
    <row r="274" spans="1:21" s="65" customFormat="1" ht="16.5" customHeight="1" x14ac:dyDescent="0.25">
      <c r="A274" s="61"/>
      <c r="B274" s="66"/>
      <c r="C274" s="61"/>
      <c r="D274" s="62" t="s">
        <v>66</v>
      </c>
      <c r="E274" s="62" t="s">
        <v>67</v>
      </c>
      <c r="F274" s="63">
        <v>57982150</v>
      </c>
      <c r="G274" s="75"/>
      <c r="H274" s="75"/>
      <c r="I274" s="75">
        <f t="shared" si="172"/>
        <v>0</v>
      </c>
      <c r="J274" s="75"/>
      <c r="K274" s="75"/>
      <c r="L274" s="75">
        <f>+J274+K274</f>
        <v>0</v>
      </c>
      <c r="M274" s="75">
        <f>+I274+L274</f>
        <v>0</v>
      </c>
      <c r="N274" s="63">
        <f t="shared" ref="N274:N277" si="175">+F274-M274</f>
        <v>57982150</v>
      </c>
      <c r="P274" s="194"/>
      <c r="S274" s="282"/>
      <c r="T274" s="282"/>
      <c r="U274" s="244"/>
    </row>
    <row r="275" spans="1:21" s="65" customFormat="1" ht="18" customHeight="1" x14ac:dyDescent="0.25">
      <c r="A275" s="61"/>
      <c r="B275" s="66"/>
      <c r="C275" s="61"/>
      <c r="D275" s="62" t="s">
        <v>337</v>
      </c>
      <c r="E275" s="62" t="s">
        <v>338</v>
      </c>
      <c r="F275" s="63">
        <v>29743300</v>
      </c>
      <c r="G275" s="75"/>
      <c r="H275" s="75"/>
      <c r="I275" s="75">
        <f t="shared" si="172"/>
        <v>0</v>
      </c>
      <c r="J275" s="75"/>
      <c r="K275" s="75"/>
      <c r="L275" s="75"/>
      <c r="M275" s="75">
        <f t="shared" ref="M275:M276" si="176">+I275+L275</f>
        <v>0</v>
      </c>
      <c r="N275" s="63">
        <f t="shared" si="175"/>
        <v>29743300</v>
      </c>
      <c r="P275" s="194"/>
      <c r="S275" s="282"/>
      <c r="T275" s="282"/>
      <c r="U275" s="244"/>
    </row>
    <row r="276" spans="1:21" s="65" customFormat="1" ht="18" customHeight="1" x14ac:dyDescent="0.25">
      <c r="A276" s="61"/>
      <c r="B276" s="66"/>
      <c r="C276" s="61"/>
      <c r="D276" s="62" t="s">
        <v>339</v>
      </c>
      <c r="E276" s="62" t="s">
        <v>340</v>
      </c>
      <c r="F276" s="63">
        <v>8842500</v>
      </c>
      <c r="G276" s="75"/>
      <c r="H276" s="75"/>
      <c r="I276" s="75">
        <f t="shared" si="172"/>
        <v>0</v>
      </c>
      <c r="J276" s="75"/>
      <c r="K276" s="75"/>
      <c r="L276" s="75"/>
      <c r="M276" s="75">
        <f t="shared" si="176"/>
        <v>0</v>
      </c>
      <c r="N276" s="63">
        <f t="shared" si="175"/>
        <v>8842500</v>
      </c>
      <c r="P276" s="194"/>
      <c r="S276" s="282"/>
      <c r="T276" s="282"/>
      <c r="U276" s="244"/>
    </row>
    <row r="277" spans="1:21" s="127" customFormat="1" ht="18" customHeight="1" x14ac:dyDescent="0.25">
      <c r="A277" s="123"/>
      <c r="B277" s="143"/>
      <c r="C277" s="123"/>
      <c r="D277" s="124" t="s">
        <v>361</v>
      </c>
      <c r="E277" s="124" t="s">
        <v>362</v>
      </c>
      <c r="F277" s="125">
        <v>3432050</v>
      </c>
      <c r="G277" s="140"/>
      <c r="H277" s="140"/>
      <c r="I277" s="140">
        <f>+G277+H277</f>
        <v>0</v>
      </c>
      <c r="J277" s="140"/>
      <c r="K277" s="140"/>
      <c r="L277" s="140">
        <f>+J277+K277</f>
        <v>0</v>
      </c>
      <c r="M277" s="140">
        <f>+I277+L277</f>
        <v>0</v>
      </c>
      <c r="N277" s="125">
        <f t="shared" si="175"/>
        <v>3432050</v>
      </c>
      <c r="P277" s="196"/>
      <c r="S277" s="286"/>
      <c r="T277" s="286"/>
      <c r="U277" s="245"/>
    </row>
    <row r="278" spans="1:21" s="121" customFormat="1" ht="18" customHeight="1" x14ac:dyDescent="0.25">
      <c r="A278" s="154">
        <v>15</v>
      </c>
      <c r="B278" s="117"/>
      <c r="C278" s="117" t="s">
        <v>363</v>
      </c>
      <c r="D278" s="118"/>
      <c r="E278" s="128" t="s">
        <v>364</v>
      </c>
      <c r="F278" s="119">
        <f t="shared" ref="F278:H279" si="177">+F279</f>
        <v>1060812675</v>
      </c>
      <c r="G278" s="120">
        <f t="shared" si="177"/>
        <v>0</v>
      </c>
      <c r="H278" s="120">
        <f t="shared" si="177"/>
        <v>0</v>
      </c>
      <c r="I278" s="120">
        <f>+G278+H278</f>
        <v>0</v>
      </c>
      <c r="J278" s="120">
        <f>+J279</f>
        <v>72760000</v>
      </c>
      <c r="K278" s="120">
        <f>+K279</f>
        <v>83960000</v>
      </c>
      <c r="L278" s="120">
        <f>+J278+K278</f>
        <v>156720000</v>
      </c>
      <c r="M278" s="120">
        <f>+I278+L278</f>
        <v>156720000</v>
      </c>
      <c r="N278" s="119">
        <f>+F278-M278</f>
        <v>904092675</v>
      </c>
      <c r="P278" s="190"/>
      <c r="R278" s="122"/>
      <c r="S278" s="283"/>
      <c r="T278" s="283"/>
      <c r="U278" s="246"/>
    </row>
    <row r="279" spans="1:21" s="107" customFormat="1" ht="18" customHeight="1" x14ac:dyDescent="0.25">
      <c r="A279" s="101"/>
      <c r="B279" s="102"/>
      <c r="C279" s="102"/>
      <c r="D279" s="103" t="s">
        <v>207</v>
      </c>
      <c r="E279" s="104" t="s">
        <v>262</v>
      </c>
      <c r="F279" s="105">
        <f t="shared" si="177"/>
        <v>1060812675</v>
      </c>
      <c r="G279" s="106">
        <f t="shared" si="177"/>
        <v>0</v>
      </c>
      <c r="H279" s="106">
        <f t="shared" si="177"/>
        <v>0</v>
      </c>
      <c r="I279" s="106">
        <f t="shared" ref="I279:I283" si="178">+G279+H279</f>
        <v>0</v>
      </c>
      <c r="J279" s="106">
        <f>+J280</f>
        <v>72760000</v>
      </c>
      <c r="K279" s="106">
        <f>+K280</f>
        <v>83960000</v>
      </c>
      <c r="L279" s="106">
        <f t="shared" ref="L279:L281" si="179">+J279+K279</f>
        <v>156720000</v>
      </c>
      <c r="M279" s="106">
        <f t="shared" ref="M279:M282" si="180">+I279+L279</f>
        <v>156720000</v>
      </c>
      <c r="N279" s="105">
        <f>+F279-M279</f>
        <v>904092675</v>
      </c>
      <c r="P279" s="191"/>
      <c r="R279" s="108"/>
      <c r="S279" s="284"/>
      <c r="T279" s="284"/>
      <c r="U279" s="241"/>
    </row>
    <row r="280" spans="1:21" s="49" customFormat="1" ht="18" customHeight="1" x14ac:dyDescent="0.25">
      <c r="A280" s="44"/>
      <c r="B280" s="82"/>
      <c r="C280" s="44"/>
      <c r="D280" s="45" t="s">
        <v>63</v>
      </c>
      <c r="E280" s="45" t="s">
        <v>30</v>
      </c>
      <c r="F280" s="47">
        <f>+F281+F291</f>
        <v>1060812675</v>
      </c>
      <c r="G280" s="70">
        <f>+G281+G291</f>
        <v>0</v>
      </c>
      <c r="H280" s="70">
        <f>+H281+H291</f>
        <v>0</v>
      </c>
      <c r="I280" s="70">
        <f t="shared" si="178"/>
        <v>0</v>
      </c>
      <c r="J280" s="70">
        <f>+J281+J291</f>
        <v>72760000</v>
      </c>
      <c r="K280" s="70">
        <f>+K281+K291</f>
        <v>83960000</v>
      </c>
      <c r="L280" s="70">
        <f t="shared" si="179"/>
        <v>156720000</v>
      </c>
      <c r="M280" s="70">
        <f t="shared" si="180"/>
        <v>156720000</v>
      </c>
      <c r="N280" s="47">
        <f>+F280-M280</f>
        <v>904092675</v>
      </c>
      <c r="P280" s="192"/>
      <c r="S280" s="282"/>
      <c r="T280" s="282"/>
      <c r="U280" s="242"/>
    </row>
    <row r="281" spans="1:21" s="55" customFormat="1" ht="18" customHeight="1" x14ac:dyDescent="0.25">
      <c r="A281" s="50"/>
      <c r="B281" s="51"/>
      <c r="C281" s="50"/>
      <c r="D281" s="71" t="s">
        <v>263</v>
      </c>
      <c r="E281" s="51" t="s">
        <v>264</v>
      </c>
      <c r="F281" s="53">
        <f>+F282</f>
        <v>105412675</v>
      </c>
      <c r="G281" s="72">
        <f t="shared" ref="G281:J281" si="181">+G282</f>
        <v>0</v>
      </c>
      <c r="H281" s="72">
        <f>+H282</f>
        <v>0</v>
      </c>
      <c r="I281" s="72">
        <f t="shared" si="178"/>
        <v>0</v>
      </c>
      <c r="J281" s="72">
        <f t="shared" si="181"/>
        <v>0</v>
      </c>
      <c r="K281" s="72">
        <f>+K282</f>
        <v>0</v>
      </c>
      <c r="L281" s="72">
        <f t="shared" si="179"/>
        <v>0</v>
      </c>
      <c r="M281" s="72">
        <f t="shared" si="180"/>
        <v>0</v>
      </c>
      <c r="N281" s="53">
        <f>+F281-M281</f>
        <v>105412675</v>
      </c>
      <c r="P281" s="195"/>
      <c r="S281" s="282"/>
      <c r="T281" s="282"/>
      <c r="U281" s="243"/>
    </row>
    <row r="282" spans="1:21" s="49" customFormat="1" ht="18" customHeight="1" x14ac:dyDescent="0.25">
      <c r="A282" s="56"/>
      <c r="B282" s="84"/>
      <c r="C282" s="56"/>
      <c r="D282" s="57" t="s">
        <v>64</v>
      </c>
      <c r="E282" s="57" t="s">
        <v>65</v>
      </c>
      <c r="F282" s="58">
        <f>SUM(F283:F290)</f>
        <v>105412675</v>
      </c>
      <c r="G282" s="59">
        <f>SUM(G283:G290)</f>
        <v>0</v>
      </c>
      <c r="H282" s="59">
        <f>SUM(H283:H290)</f>
        <v>0</v>
      </c>
      <c r="I282" s="59">
        <f>+G282+H282</f>
        <v>0</v>
      </c>
      <c r="J282" s="59">
        <f>SUM(J283:J290)</f>
        <v>0</v>
      </c>
      <c r="K282" s="59">
        <f>SUM(K283:K290)</f>
        <v>0</v>
      </c>
      <c r="L282" s="59">
        <f>+J282+K282</f>
        <v>0</v>
      </c>
      <c r="M282" s="59">
        <f t="shared" si="180"/>
        <v>0</v>
      </c>
      <c r="N282" s="58">
        <f>+F282-M282</f>
        <v>105412675</v>
      </c>
      <c r="P282" s="192"/>
      <c r="S282" s="282"/>
      <c r="T282" s="282"/>
      <c r="U282" s="242"/>
    </row>
    <row r="283" spans="1:21" s="65" customFormat="1" ht="18" customHeight="1" x14ac:dyDescent="0.25">
      <c r="A283" s="171"/>
      <c r="C283" s="171"/>
      <c r="D283" s="162" t="s">
        <v>365</v>
      </c>
      <c r="E283" s="162" t="s">
        <v>366</v>
      </c>
      <c r="F283" s="173">
        <v>9228650</v>
      </c>
      <c r="G283" s="163"/>
      <c r="H283" s="163"/>
      <c r="I283" s="163">
        <f t="shared" si="178"/>
        <v>0</v>
      </c>
      <c r="J283" s="163"/>
      <c r="K283" s="163"/>
      <c r="L283" s="163">
        <f>+J283+K283</f>
        <v>0</v>
      </c>
      <c r="M283" s="163">
        <f>+I283+L283</f>
        <v>0</v>
      </c>
      <c r="N283" s="173">
        <f t="shared" ref="N283:N290" si="182">+F283-M283</f>
        <v>9228650</v>
      </c>
      <c r="P283" s="194"/>
      <c r="S283" s="282"/>
      <c r="T283" s="282"/>
      <c r="U283" s="244"/>
    </row>
    <row r="284" spans="1:21" s="65" customFormat="1" ht="18" customHeight="1" x14ac:dyDescent="0.25">
      <c r="A284" s="171"/>
      <c r="C284" s="171"/>
      <c r="D284" s="162" t="s">
        <v>66</v>
      </c>
      <c r="E284" s="162" t="s">
        <v>67</v>
      </c>
      <c r="F284" s="173">
        <v>4831925</v>
      </c>
      <c r="G284" s="163"/>
      <c r="H284" s="163"/>
      <c r="I284" s="163"/>
      <c r="J284" s="163"/>
      <c r="K284" s="163"/>
      <c r="L284" s="163">
        <f t="shared" ref="L284:L296" si="183">+J284+K284</f>
        <v>0</v>
      </c>
      <c r="M284" s="163">
        <f t="shared" ref="M284:M292" si="184">+I284+L284</f>
        <v>0</v>
      </c>
      <c r="N284" s="173">
        <f t="shared" si="182"/>
        <v>4831925</v>
      </c>
      <c r="P284" s="194"/>
      <c r="S284" s="282"/>
      <c r="T284" s="282"/>
      <c r="U284" s="244"/>
    </row>
    <row r="285" spans="1:21" s="65" customFormat="1" ht="18" customHeight="1" x14ac:dyDescent="0.25">
      <c r="A285" s="171"/>
      <c r="C285" s="171"/>
      <c r="D285" s="162" t="s">
        <v>337</v>
      </c>
      <c r="E285" s="162" t="s">
        <v>338</v>
      </c>
      <c r="F285" s="173">
        <v>18985000</v>
      </c>
      <c r="G285" s="163"/>
      <c r="H285" s="163"/>
      <c r="I285" s="163"/>
      <c r="J285" s="163"/>
      <c r="K285" s="163"/>
      <c r="L285" s="163">
        <f t="shared" si="183"/>
        <v>0</v>
      </c>
      <c r="M285" s="163">
        <f t="shared" si="184"/>
        <v>0</v>
      </c>
      <c r="N285" s="173">
        <f t="shared" si="182"/>
        <v>18985000</v>
      </c>
      <c r="P285" s="194"/>
      <c r="S285" s="282"/>
      <c r="T285" s="282"/>
      <c r="U285" s="244"/>
    </row>
    <row r="286" spans="1:21" s="65" customFormat="1" ht="18" customHeight="1" x14ac:dyDescent="0.25">
      <c r="A286" s="171"/>
      <c r="C286" s="171"/>
      <c r="D286" s="162" t="s">
        <v>339</v>
      </c>
      <c r="E286" s="162" t="s">
        <v>340</v>
      </c>
      <c r="F286" s="173">
        <v>2175000</v>
      </c>
      <c r="G286" s="163"/>
      <c r="H286" s="163"/>
      <c r="I286" s="163"/>
      <c r="J286" s="163"/>
      <c r="K286" s="163"/>
      <c r="L286" s="163">
        <f t="shared" si="183"/>
        <v>0</v>
      </c>
      <c r="M286" s="163">
        <f t="shared" si="184"/>
        <v>0</v>
      </c>
      <c r="N286" s="173">
        <f t="shared" si="182"/>
        <v>2175000</v>
      </c>
      <c r="P286" s="194"/>
      <c r="S286" s="282"/>
      <c r="T286" s="282"/>
      <c r="U286" s="244"/>
    </row>
    <row r="287" spans="1:21" s="65" customFormat="1" ht="18" customHeight="1" x14ac:dyDescent="0.25">
      <c r="A287" s="171"/>
      <c r="C287" s="171"/>
      <c r="D287" s="162" t="s">
        <v>367</v>
      </c>
      <c r="E287" s="162" t="s">
        <v>368</v>
      </c>
      <c r="F287" s="173">
        <v>55592100</v>
      </c>
      <c r="G287" s="163"/>
      <c r="H287" s="163"/>
      <c r="I287" s="163">
        <f>+G287+H287</f>
        <v>0</v>
      </c>
      <c r="J287" s="163"/>
      <c r="K287" s="163"/>
      <c r="L287" s="163">
        <f t="shared" si="183"/>
        <v>0</v>
      </c>
      <c r="M287" s="163">
        <f t="shared" si="184"/>
        <v>0</v>
      </c>
      <c r="N287" s="173">
        <f t="shared" si="182"/>
        <v>55592100</v>
      </c>
      <c r="P287" s="194"/>
      <c r="S287" s="282"/>
      <c r="T287" s="282"/>
      <c r="U287" s="244"/>
    </row>
    <row r="288" spans="1:21" s="65" customFormat="1" ht="22.5" customHeight="1" x14ac:dyDescent="0.25">
      <c r="A288" s="171"/>
      <c r="C288" s="171"/>
      <c r="D288" s="162" t="s">
        <v>369</v>
      </c>
      <c r="E288" s="162" t="s">
        <v>370</v>
      </c>
      <c r="F288" s="173">
        <v>7200000</v>
      </c>
      <c r="G288" s="163"/>
      <c r="H288" s="163"/>
      <c r="I288" s="163"/>
      <c r="J288" s="163"/>
      <c r="K288" s="163"/>
      <c r="L288" s="163">
        <f t="shared" si="183"/>
        <v>0</v>
      </c>
      <c r="M288" s="163">
        <f t="shared" si="184"/>
        <v>0</v>
      </c>
      <c r="N288" s="173">
        <f t="shared" si="182"/>
        <v>7200000</v>
      </c>
      <c r="P288" s="194"/>
      <c r="S288" s="282"/>
      <c r="T288" s="282"/>
      <c r="U288" s="244"/>
    </row>
    <row r="289" spans="1:21" s="65" customFormat="1" ht="18" customHeight="1" x14ac:dyDescent="0.25">
      <c r="A289" s="171"/>
      <c r="C289" s="171"/>
      <c r="D289" s="162" t="s">
        <v>70</v>
      </c>
      <c r="E289" s="162" t="s">
        <v>33</v>
      </c>
      <c r="F289" s="173">
        <v>5000000</v>
      </c>
      <c r="G289" s="163"/>
      <c r="H289" s="163"/>
      <c r="I289" s="163"/>
      <c r="J289" s="163"/>
      <c r="K289" s="163"/>
      <c r="L289" s="163">
        <f t="shared" si="183"/>
        <v>0</v>
      </c>
      <c r="M289" s="163">
        <f t="shared" si="184"/>
        <v>0</v>
      </c>
      <c r="N289" s="173">
        <f t="shared" si="182"/>
        <v>5000000</v>
      </c>
      <c r="P289" s="194"/>
      <c r="S289" s="282"/>
      <c r="T289" s="282"/>
      <c r="U289" s="244"/>
    </row>
    <row r="290" spans="1:21" s="65" customFormat="1" ht="18" customHeight="1" x14ac:dyDescent="0.25">
      <c r="A290" s="171"/>
      <c r="C290" s="171"/>
      <c r="D290" s="162" t="s">
        <v>374</v>
      </c>
      <c r="E290" s="162" t="s">
        <v>375</v>
      </c>
      <c r="F290" s="173">
        <v>2400000</v>
      </c>
      <c r="G290" s="163"/>
      <c r="H290" s="163"/>
      <c r="I290" s="163"/>
      <c r="J290" s="163"/>
      <c r="K290" s="163"/>
      <c r="L290" s="163">
        <f t="shared" si="183"/>
        <v>0</v>
      </c>
      <c r="M290" s="163">
        <f t="shared" si="184"/>
        <v>0</v>
      </c>
      <c r="N290" s="173">
        <f t="shared" si="182"/>
        <v>2400000</v>
      </c>
      <c r="P290" s="194"/>
      <c r="S290" s="282"/>
      <c r="T290" s="282"/>
      <c r="U290" s="244"/>
    </row>
    <row r="291" spans="1:21" s="55" customFormat="1" ht="18" customHeight="1" x14ac:dyDescent="0.25">
      <c r="A291" s="50"/>
      <c r="B291" s="51"/>
      <c r="C291" s="50"/>
      <c r="D291" s="71" t="s">
        <v>271</v>
      </c>
      <c r="E291" s="51" t="s">
        <v>272</v>
      </c>
      <c r="F291" s="53">
        <f t="shared" ref="F291:J291" si="185">+F292</f>
        <v>955400000</v>
      </c>
      <c r="G291" s="72">
        <f t="shared" si="185"/>
        <v>0</v>
      </c>
      <c r="H291" s="72">
        <f>+H292</f>
        <v>0</v>
      </c>
      <c r="I291" s="72">
        <f>+G291+H291</f>
        <v>0</v>
      </c>
      <c r="J291" s="72">
        <f t="shared" si="185"/>
        <v>72760000</v>
      </c>
      <c r="K291" s="72">
        <f>+K292</f>
        <v>83960000</v>
      </c>
      <c r="L291" s="72">
        <f t="shared" si="183"/>
        <v>156720000</v>
      </c>
      <c r="M291" s="72">
        <f t="shared" si="184"/>
        <v>156720000</v>
      </c>
      <c r="N291" s="53">
        <f>+F291-M291</f>
        <v>798680000</v>
      </c>
      <c r="P291" s="195"/>
      <c r="S291" s="282"/>
      <c r="T291" s="282"/>
      <c r="U291" s="243"/>
    </row>
    <row r="292" spans="1:21" s="49" customFormat="1" ht="18" customHeight="1" x14ac:dyDescent="0.25">
      <c r="A292" s="56"/>
      <c r="B292" s="84"/>
      <c r="C292" s="56"/>
      <c r="D292" s="57" t="s">
        <v>81</v>
      </c>
      <c r="E292" s="57" t="s">
        <v>31</v>
      </c>
      <c r="F292" s="58">
        <f>SUM(F293:F296)</f>
        <v>955400000</v>
      </c>
      <c r="G292" s="59">
        <f>SUM(G293:G296)</f>
        <v>0</v>
      </c>
      <c r="H292" s="59">
        <f>SUM(H293:H296)</f>
        <v>0</v>
      </c>
      <c r="I292" s="59">
        <f>+G292+H292</f>
        <v>0</v>
      </c>
      <c r="J292" s="59">
        <f>SUM(J293:J296)</f>
        <v>72760000</v>
      </c>
      <c r="K292" s="59">
        <f>SUM(K293:K296)</f>
        <v>83960000</v>
      </c>
      <c r="L292" s="59">
        <f t="shared" si="183"/>
        <v>156720000</v>
      </c>
      <c r="M292" s="59">
        <f t="shared" si="184"/>
        <v>156720000</v>
      </c>
      <c r="N292" s="58">
        <f>+F292-M292</f>
        <v>798680000</v>
      </c>
      <c r="P292" s="192"/>
      <c r="S292" s="282"/>
      <c r="T292" s="282"/>
      <c r="U292" s="242"/>
    </row>
    <row r="293" spans="1:21" s="65" customFormat="1" ht="18" customHeight="1" x14ac:dyDescent="0.25">
      <c r="A293" s="61"/>
      <c r="B293" s="66"/>
      <c r="C293" s="61"/>
      <c r="D293" s="62" t="s">
        <v>100</v>
      </c>
      <c r="E293" s="62" t="s">
        <v>101</v>
      </c>
      <c r="F293" s="63">
        <v>336000000</v>
      </c>
      <c r="G293" s="75"/>
      <c r="H293" s="75"/>
      <c r="I293" s="75">
        <f t="shared" ref="I293:I294" si="186">+G293+H293</f>
        <v>0</v>
      </c>
      <c r="J293" s="75"/>
      <c r="K293" s="75"/>
      <c r="L293" s="75">
        <f t="shared" si="183"/>
        <v>0</v>
      </c>
      <c r="M293" s="75">
        <f>+I293+L293</f>
        <v>0</v>
      </c>
      <c r="N293" s="63">
        <f t="shared" ref="N293:N296" si="187">+F293-M293</f>
        <v>336000000</v>
      </c>
      <c r="P293" s="194"/>
      <c r="S293" s="282"/>
      <c r="T293" s="282"/>
      <c r="U293" s="244"/>
    </row>
    <row r="294" spans="1:21" s="65" customFormat="1" ht="18" customHeight="1" x14ac:dyDescent="0.25">
      <c r="A294" s="61"/>
      <c r="B294" s="66"/>
      <c r="C294" s="61"/>
      <c r="D294" s="62" t="s">
        <v>474</v>
      </c>
      <c r="E294" s="62" t="s">
        <v>475</v>
      </c>
      <c r="F294" s="63">
        <v>350000000</v>
      </c>
      <c r="G294" s="75"/>
      <c r="H294" s="75"/>
      <c r="I294" s="75">
        <f t="shared" si="186"/>
        <v>0</v>
      </c>
      <c r="J294" s="75"/>
      <c r="K294" s="75"/>
      <c r="L294" s="75">
        <f t="shared" si="183"/>
        <v>0</v>
      </c>
      <c r="M294" s="75">
        <f>+I294+L294</f>
        <v>0</v>
      </c>
      <c r="N294" s="63">
        <f t="shared" si="187"/>
        <v>350000000</v>
      </c>
      <c r="P294" s="194"/>
      <c r="S294" s="282"/>
      <c r="T294" s="282"/>
      <c r="U294" s="244"/>
    </row>
    <row r="295" spans="1:21" s="65" customFormat="1" ht="18" customHeight="1" x14ac:dyDescent="0.25">
      <c r="A295" s="61"/>
      <c r="B295" s="66"/>
      <c r="C295" s="61"/>
      <c r="D295" s="62" t="s">
        <v>376</v>
      </c>
      <c r="E295" s="62" t="s">
        <v>377</v>
      </c>
      <c r="F295" s="63">
        <v>268800000</v>
      </c>
      <c r="G295" s="75">
        <v>0</v>
      </c>
      <c r="H295" s="75"/>
      <c r="I295" s="75">
        <f>+G295+H295</f>
        <v>0</v>
      </c>
      <c r="J295" s="75">
        <v>72760000</v>
      </c>
      <c r="K295" s="75">
        <v>83960000</v>
      </c>
      <c r="L295" s="75">
        <f t="shared" si="183"/>
        <v>156720000</v>
      </c>
      <c r="M295" s="75">
        <f>+I295+L295</f>
        <v>156720000</v>
      </c>
      <c r="N295" s="63">
        <f t="shared" si="187"/>
        <v>112080000</v>
      </c>
      <c r="P295" s="194"/>
      <c r="S295" s="281">
        <v>83960000</v>
      </c>
      <c r="T295" s="282"/>
      <c r="U295" s="244"/>
    </row>
    <row r="296" spans="1:21" s="65" customFormat="1" ht="18" customHeight="1" x14ac:dyDescent="0.25">
      <c r="A296" s="61"/>
      <c r="B296" s="66"/>
      <c r="C296" s="61"/>
      <c r="D296" s="62" t="s">
        <v>378</v>
      </c>
      <c r="E296" s="62" t="s">
        <v>379</v>
      </c>
      <c r="F296" s="63">
        <v>600000</v>
      </c>
      <c r="G296" s="75"/>
      <c r="H296" s="75"/>
      <c r="I296" s="75"/>
      <c r="J296" s="75"/>
      <c r="K296" s="75"/>
      <c r="L296" s="75">
        <f t="shared" si="183"/>
        <v>0</v>
      </c>
      <c r="M296" s="75">
        <f>+I296+L296</f>
        <v>0</v>
      </c>
      <c r="N296" s="63">
        <f t="shared" si="187"/>
        <v>600000</v>
      </c>
      <c r="P296" s="194"/>
      <c r="S296" s="282"/>
      <c r="T296" s="282"/>
      <c r="U296" s="244"/>
    </row>
    <row r="297" spans="1:21" s="146" customFormat="1" ht="18" customHeight="1" x14ac:dyDescent="0.25">
      <c r="A297" s="147"/>
      <c r="B297" s="147"/>
      <c r="C297" s="147"/>
      <c r="D297" s="147"/>
      <c r="E297" s="147"/>
      <c r="F297" s="148"/>
      <c r="G297" s="149"/>
      <c r="H297" s="149"/>
      <c r="I297" s="149"/>
      <c r="J297" s="149"/>
      <c r="K297" s="149"/>
      <c r="L297" s="149"/>
      <c r="M297" s="149"/>
      <c r="N297" s="148"/>
      <c r="P297" s="197"/>
      <c r="S297" s="286"/>
      <c r="T297" s="286"/>
      <c r="U297" s="253"/>
    </row>
    <row r="298" spans="1:21" s="137" customFormat="1" ht="21" customHeight="1" x14ac:dyDescent="0.25">
      <c r="A298" s="109"/>
      <c r="B298" s="110" t="s">
        <v>342</v>
      </c>
      <c r="C298" s="110"/>
      <c r="D298" s="110"/>
      <c r="E298" s="150" t="s">
        <v>341</v>
      </c>
      <c r="F298" s="135">
        <f>+F299+F312+F331+F337+F343</f>
        <v>2394721000</v>
      </c>
      <c r="G298" s="136">
        <f>+G299+G312+G331+G337+G343</f>
        <v>0</v>
      </c>
      <c r="H298" s="136">
        <f>+H299+H312+H331+H337+H343</f>
        <v>0</v>
      </c>
      <c r="I298" s="136">
        <f t="shared" ref="I298:I303" si="188">+G298+H298</f>
        <v>0</v>
      </c>
      <c r="J298" s="136">
        <f>+J299+J312+J331+J337+J343</f>
        <v>3000000</v>
      </c>
      <c r="K298" s="136">
        <f>+K299+K312+K331+K337+K343</f>
        <v>80363817</v>
      </c>
      <c r="L298" s="136">
        <f>+J298+K298</f>
        <v>83363817</v>
      </c>
      <c r="M298" s="136">
        <f t="shared" ref="M298" si="189">+I298+L298</f>
        <v>83363817</v>
      </c>
      <c r="N298" s="135">
        <f t="shared" ref="N298" si="190">+F298-M298</f>
        <v>2311357183</v>
      </c>
      <c r="P298" s="198"/>
      <c r="S298" s="287"/>
      <c r="T298" s="287"/>
      <c r="U298" s="248"/>
    </row>
    <row r="299" spans="1:21" s="121" customFormat="1" ht="35.25" customHeight="1" x14ac:dyDescent="0.25">
      <c r="A299" s="154">
        <v>16</v>
      </c>
      <c r="B299" s="155"/>
      <c r="C299" s="155" t="s">
        <v>476</v>
      </c>
      <c r="D299" s="156"/>
      <c r="E299" s="164" t="s">
        <v>477</v>
      </c>
      <c r="F299" s="158">
        <f t="shared" ref="F299:H300" si="191">+F300</f>
        <v>690000000</v>
      </c>
      <c r="G299" s="159">
        <f t="shared" si="191"/>
        <v>0</v>
      </c>
      <c r="H299" s="159">
        <f t="shared" si="191"/>
        <v>0</v>
      </c>
      <c r="I299" s="159">
        <f t="shared" si="188"/>
        <v>0</v>
      </c>
      <c r="J299" s="159">
        <f>+J300</f>
        <v>1400000</v>
      </c>
      <c r="K299" s="159">
        <f>+K300</f>
        <v>42278817</v>
      </c>
      <c r="L299" s="159">
        <f>+J299+K299</f>
        <v>43678817</v>
      </c>
      <c r="M299" s="159">
        <f>+I299+L299</f>
        <v>43678817</v>
      </c>
      <c r="N299" s="158">
        <f>+F299-M299</f>
        <v>646321183</v>
      </c>
      <c r="P299" s="190"/>
      <c r="R299" s="122"/>
      <c r="S299" s="283"/>
      <c r="T299" s="283"/>
      <c r="U299" s="246"/>
    </row>
    <row r="300" spans="1:21" s="107" customFormat="1" ht="18" customHeight="1" x14ac:dyDescent="0.25">
      <c r="A300" s="101"/>
      <c r="B300" s="102"/>
      <c r="C300" s="102"/>
      <c r="D300" s="103" t="s">
        <v>207</v>
      </c>
      <c r="E300" s="104" t="s">
        <v>262</v>
      </c>
      <c r="F300" s="105">
        <f t="shared" si="191"/>
        <v>690000000</v>
      </c>
      <c r="G300" s="106">
        <f t="shared" si="191"/>
        <v>0</v>
      </c>
      <c r="H300" s="106">
        <f t="shared" si="191"/>
        <v>0</v>
      </c>
      <c r="I300" s="106">
        <f t="shared" si="188"/>
        <v>0</v>
      </c>
      <c r="J300" s="106">
        <f>+J301</f>
        <v>1400000</v>
      </c>
      <c r="K300" s="106">
        <f>+K301</f>
        <v>42278817</v>
      </c>
      <c r="L300" s="106">
        <f t="shared" ref="L300:L304" si="192">+J300+K300</f>
        <v>43678817</v>
      </c>
      <c r="M300" s="106">
        <f t="shared" ref="M300:M311" si="193">+I300+L300</f>
        <v>43678817</v>
      </c>
      <c r="N300" s="105">
        <f t="shared" ref="N300:N311" si="194">+F300-M300</f>
        <v>646321183</v>
      </c>
      <c r="P300" s="191"/>
      <c r="R300" s="108"/>
      <c r="S300" s="284"/>
      <c r="T300" s="284"/>
      <c r="U300" s="241"/>
    </row>
    <row r="301" spans="1:21" s="67" customFormat="1" ht="18" customHeight="1" x14ac:dyDescent="0.25">
      <c r="A301" s="88"/>
      <c r="B301" s="89"/>
      <c r="C301" s="88"/>
      <c r="D301" s="45" t="s">
        <v>63</v>
      </c>
      <c r="E301" s="45" t="s">
        <v>30</v>
      </c>
      <c r="F301" s="47">
        <f>+F302+F305+F309</f>
        <v>690000000</v>
      </c>
      <c r="G301" s="70">
        <f>+G302+G305+G309</f>
        <v>0</v>
      </c>
      <c r="H301" s="70">
        <f>+H302+H305+H309</f>
        <v>0</v>
      </c>
      <c r="I301" s="70">
        <f t="shared" si="188"/>
        <v>0</v>
      </c>
      <c r="J301" s="70">
        <f>+J302+J305+J309</f>
        <v>1400000</v>
      </c>
      <c r="K301" s="70">
        <f>+K302+K305+K309</f>
        <v>42278817</v>
      </c>
      <c r="L301" s="70">
        <f t="shared" si="192"/>
        <v>43678817</v>
      </c>
      <c r="M301" s="70">
        <f t="shared" si="193"/>
        <v>43678817</v>
      </c>
      <c r="N301" s="47">
        <f t="shared" si="194"/>
        <v>646321183</v>
      </c>
      <c r="P301" s="192"/>
      <c r="S301" s="282"/>
      <c r="T301" s="282"/>
      <c r="U301" s="249"/>
    </row>
    <row r="302" spans="1:21" s="55" customFormat="1" ht="18" customHeight="1" x14ac:dyDescent="0.25">
      <c r="A302" s="50"/>
      <c r="B302" s="51"/>
      <c r="C302" s="51"/>
      <c r="D302" s="71" t="s">
        <v>263</v>
      </c>
      <c r="E302" s="51" t="s">
        <v>264</v>
      </c>
      <c r="F302" s="53">
        <f>+F303</f>
        <v>435000000</v>
      </c>
      <c r="G302" s="72">
        <f>+G303</f>
        <v>0</v>
      </c>
      <c r="H302" s="72">
        <f>+H303</f>
        <v>0</v>
      </c>
      <c r="I302" s="72">
        <f t="shared" si="188"/>
        <v>0</v>
      </c>
      <c r="J302" s="72">
        <f>+J303</f>
        <v>0</v>
      </c>
      <c r="K302" s="72">
        <f>+K303</f>
        <v>14950117</v>
      </c>
      <c r="L302" s="72">
        <f t="shared" si="192"/>
        <v>14950117</v>
      </c>
      <c r="M302" s="72">
        <f t="shared" si="193"/>
        <v>14950117</v>
      </c>
      <c r="N302" s="53">
        <f t="shared" si="194"/>
        <v>420049883</v>
      </c>
      <c r="P302" s="195"/>
      <c r="S302" s="282"/>
      <c r="T302" s="282"/>
      <c r="U302" s="243"/>
    </row>
    <row r="303" spans="1:21" s="67" customFormat="1" ht="18" customHeight="1" x14ac:dyDescent="0.25">
      <c r="A303" s="90"/>
      <c r="B303" s="91"/>
      <c r="C303" s="90"/>
      <c r="D303" s="57" t="s">
        <v>64</v>
      </c>
      <c r="E303" s="57" t="s">
        <v>65</v>
      </c>
      <c r="F303" s="58">
        <f>F304</f>
        <v>435000000</v>
      </c>
      <c r="G303" s="59">
        <f>+G304</f>
        <v>0</v>
      </c>
      <c r="H303" s="59">
        <f>+H304</f>
        <v>0</v>
      </c>
      <c r="I303" s="59">
        <f t="shared" si="188"/>
        <v>0</v>
      </c>
      <c r="J303" s="59">
        <f>+J304</f>
        <v>0</v>
      </c>
      <c r="K303" s="59">
        <f>+K304</f>
        <v>14950117</v>
      </c>
      <c r="L303" s="59">
        <f t="shared" si="192"/>
        <v>14950117</v>
      </c>
      <c r="M303" s="59">
        <f t="shared" si="193"/>
        <v>14950117</v>
      </c>
      <c r="N303" s="58">
        <f t="shared" si="194"/>
        <v>420049883</v>
      </c>
      <c r="P303" s="192"/>
      <c r="S303" s="282"/>
      <c r="T303" s="282"/>
      <c r="U303" s="249"/>
    </row>
    <row r="304" spans="1:21" s="49" customFormat="1" ht="18" customHeight="1" x14ac:dyDescent="0.25">
      <c r="A304" s="92"/>
      <c r="B304" s="93"/>
      <c r="C304" s="61"/>
      <c r="D304" s="62" t="s">
        <v>129</v>
      </c>
      <c r="E304" s="62" t="s">
        <v>130</v>
      </c>
      <c r="F304" s="63">
        <v>435000000</v>
      </c>
      <c r="G304" s="94"/>
      <c r="H304" s="94"/>
      <c r="I304" s="94"/>
      <c r="J304" s="75"/>
      <c r="K304" s="75">
        <f>255000+150000+175405+550000+5311512+8508200</f>
        <v>14950117</v>
      </c>
      <c r="L304" s="75">
        <f t="shared" si="192"/>
        <v>14950117</v>
      </c>
      <c r="M304" s="75">
        <f t="shared" si="193"/>
        <v>14950117</v>
      </c>
      <c r="N304" s="63">
        <f t="shared" si="194"/>
        <v>420049883</v>
      </c>
      <c r="P304" s="192"/>
      <c r="S304" s="281">
        <f>255000+150000+175405+550000+750000+896000+883200+640000+268800+268800+794800+797800+798800+800800+802800+806400+268800+806400+793600+281600+281600+1100000+955962+554750+268800</f>
        <v>14950117</v>
      </c>
      <c r="T304" s="282"/>
      <c r="U304" s="242"/>
    </row>
    <row r="305" spans="1:21" s="55" customFormat="1" ht="20.25" x14ac:dyDescent="0.25">
      <c r="A305" s="50"/>
      <c r="B305" s="51"/>
      <c r="C305" s="51"/>
      <c r="D305" s="71" t="s">
        <v>271</v>
      </c>
      <c r="E305" s="51" t="s">
        <v>272</v>
      </c>
      <c r="F305" s="53">
        <f>+F306</f>
        <v>79500000</v>
      </c>
      <c r="G305" s="72">
        <f>+G306</f>
        <v>0</v>
      </c>
      <c r="H305" s="72">
        <f>+H306</f>
        <v>0</v>
      </c>
      <c r="I305" s="72">
        <f t="shared" ref="I305:I316" si="195">+G305+H305</f>
        <v>0</v>
      </c>
      <c r="J305" s="72">
        <f>+J306</f>
        <v>1400000</v>
      </c>
      <c r="K305" s="72">
        <f>+K306</f>
        <v>3088700</v>
      </c>
      <c r="L305" s="72">
        <f>+J305+K305</f>
        <v>4488700</v>
      </c>
      <c r="M305" s="72">
        <f t="shared" si="193"/>
        <v>4488700</v>
      </c>
      <c r="N305" s="53">
        <f t="shared" si="194"/>
        <v>75011300</v>
      </c>
      <c r="P305" s="195"/>
      <c r="S305" s="281"/>
      <c r="T305" s="282"/>
      <c r="U305" s="243"/>
    </row>
    <row r="306" spans="1:21" s="67" customFormat="1" ht="18" customHeight="1" x14ac:dyDescent="0.25">
      <c r="A306" s="56"/>
      <c r="B306" s="84"/>
      <c r="C306" s="56"/>
      <c r="D306" s="57" t="s">
        <v>81</v>
      </c>
      <c r="E306" s="57" t="s">
        <v>31</v>
      </c>
      <c r="F306" s="58">
        <f>F308+F307</f>
        <v>79500000</v>
      </c>
      <c r="G306" s="59">
        <f>SUM(G307:G308)</f>
        <v>0</v>
      </c>
      <c r="H306" s="59">
        <f>SUM(H307:H308)</f>
        <v>0</v>
      </c>
      <c r="I306" s="59">
        <f t="shared" si="195"/>
        <v>0</v>
      </c>
      <c r="J306" s="59">
        <f>SUM(J307:J308)</f>
        <v>1400000</v>
      </c>
      <c r="K306" s="59">
        <f>SUM(K307:K308)</f>
        <v>3088700</v>
      </c>
      <c r="L306" s="59">
        <f>+J306+K306</f>
        <v>4488700</v>
      </c>
      <c r="M306" s="59">
        <f t="shared" si="193"/>
        <v>4488700</v>
      </c>
      <c r="N306" s="58">
        <f t="shared" si="194"/>
        <v>75011300</v>
      </c>
      <c r="P306" s="192"/>
      <c r="R306" s="68"/>
      <c r="S306" s="281"/>
      <c r="T306" s="282"/>
      <c r="U306" s="249"/>
    </row>
    <row r="307" spans="1:21" s="67" customFormat="1" ht="18" customHeight="1" x14ac:dyDescent="0.25">
      <c r="A307" s="61"/>
      <c r="B307" s="66"/>
      <c r="C307" s="61"/>
      <c r="D307" s="62" t="s">
        <v>82</v>
      </c>
      <c r="E307" s="62" t="s">
        <v>83</v>
      </c>
      <c r="F307" s="63">
        <v>18000000</v>
      </c>
      <c r="G307" s="75"/>
      <c r="H307" s="75"/>
      <c r="I307" s="75">
        <f t="shared" si="195"/>
        <v>0</v>
      </c>
      <c r="J307" s="75">
        <v>1400000</v>
      </c>
      <c r="K307" s="75">
        <v>1400000</v>
      </c>
      <c r="L307" s="75">
        <f>J307+K307</f>
        <v>2800000</v>
      </c>
      <c r="M307" s="75">
        <f t="shared" si="193"/>
        <v>2800000</v>
      </c>
      <c r="N307" s="63">
        <f t="shared" si="194"/>
        <v>15200000</v>
      </c>
      <c r="P307" s="192"/>
      <c r="S307" s="281">
        <v>1400000</v>
      </c>
      <c r="T307" s="282"/>
      <c r="U307" s="249"/>
    </row>
    <row r="308" spans="1:21" s="67" customFormat="1" ht="18" customHeight="1" x14ac:dyDescent="0.25">
      <c r="A308" s="61"/>
      <c r="B308" s="66"/>
      <c r="C308" s="61"/>
      <c r="D308" s="62" t="s">
        <v>343</v>
      </c>
      <c r="E308" s="62" t="s">
        <v>344</v>
      </c>
      <c r="F308" s="63">
        <v>61500000</v>
      </c>
      <c r="G308" s="75"/>
      <c r="H308" s="75"/>
      <c r="I308" s="75">
        <f t="shared" si="195"/>
        <v>0</v>
      </c>
      <c r="J308" s="75"/>
      <c r="K308" s="75">
        <v>1688700</v>
      </c>
      <c r="L308" s="75">
        <f>J308+K308</f>
        <v>1688700</v>
      </c>
      <c r="M308" s="75">
        <f t="shared" si="193"/>
        <v>1688700</v>
      </c>
      <c r="N308" s="63">
        <f t="shared" si="194"/>
        <v>59811300</v>
      </c>
      <c r="P308" s="192"/>
      <c r="S308" s="281">
        <v>1688700</v>
      </c>
      <c r="T308" s="282"/>
      <c r="U308" s="249"/>
    </row>
    <row r="309" spans="1:21" s="55" customFormat="1" ht="20.25" x14ac:dyDescent="0.25">
      <c r="A309" s="50"/>
      <c r="B309" s="51"/>
      <c r="C309" s="50"/>
      <c r="D309" s="71" t="s">
        <v>275</v>
      </c>
      <c r="E309" s="51" t="s">
        <v>276</v>
      </c>
      <c r="F309" s="53">
        <f>+F310</f>
        <v>175500000</v>
      </c>
      <c r="G309" s="72">
        <f>+G310</f>
        <v>0</v>
      </c>
      <c r="H309" s="72">
        <f>+H310</f>
        <v>0</v>
      </c>
      <c r="I309" s="72">
        <f t="shared" si="195"/>
        <v>0</v>
      </c>
      <c r="J309" s="72">
        <f>+J310</f>
        <v>0</v>
      </c>
      <c r="K309" s="72">
        <f>+K310</f>
        <v>24240000</v>
      </c>
      <c r="L309" s="72">
        <f>+J309+K309</f>
        <v>24240000</v>
      </c>
      <c r="M309" s="72">
        <f t="shared" si="193"/>
        <v>24240000</v>
      </c>
      <c r="N309" s="53">
        <f t="shared" si="194"/>
        <v>151260000</v>
      </c>
      <c r="P309" s="195"/>
      <c r="S309" s="281"/>
      <c r="T309" s="282"/>
      <c r="U309" s="243"/>
    </row>
    <row r="310" spans="1:21" s="67" customFormat="1" ht="18" customHeight="1" x14ac:dyDescent="0.25">
      <c r="A310" s="56"/>
      <c r="B310" s="84"/>
      <c r="C310" s="56"/>
      <c r="D310" s="57" t="s">
        <v>114</v>
      </c>
      <c r="E310" s="57" t="s">
        <v>43</v>
      </c>
      <c r="F310" s="58">
        <f>+F311</f>
        <v>175500000</v>
      </c>
      <c r="G310" s="59">
        <f>SUM(G311)</f>
        <v>0</v>
      </c>
      <c r="H310" s="59">
        <f>SUM(H311)</f>
        <v>0</v>
      </c>
      <c r="I310" s="59">
        <f t="shared" si="195"/>
        <v>0</v>
      </c>
      <c r="J310" s="59">
        <f>SUM(J311)</f>
        <v>0</v>
      </c>
      <c r="K310" s="59">
        <f>SUM(K311)</f>
        <v>24240000</v>
      </c>
      <c r="L310" s="59">
        <f>+J310+K310</f>
        <v>24240000</v>
      </c>
      <c r="M310" s="59">
        <f t="shared" si="193"/>
        <v>24240000</v>
      </c>
      <c r="N310" s="58">
        <f t="shared" si="194"/>
        <v>151260000</v>
      </c>
      <c r="P310" s="192"/>
      <c r="R310" s="68"/>
      <c r="S310" s="281"/>
      <c r="T310" s="282"/>
      <c r="U310" s="249"/>
    </row>
    <row r="311" spans="1:21" s="146" customFormat="1" ht="33.75" customHeight="1" x14ac:dyDescent="0.25">
      <c r="A311" s="165"/>
      <c r="B311" s="127"/>
      <c r="C311" s="165"/>
      <c r="D311" s="166" t="s">
        <v>345</v>
      </c>
      <c r="E311" s="167" t="s">
        <v>346</v>
      </c>
      <c r="F311" s="168">
        <v>175500000</v>
      </c>
      <c r="G311" s="169"/>
      <c r="H311" s="169"/>
      <c r="I311" s="163">
        <f t="shared" si="195"/>
        <v>0</v>
      </c>
      <c r="J311" s="169"/>
      <c r="K311" s="169">
        <f>1760000+1855000+1860000+8215000+2440000+1750000+1440000+2845000+2075000</f>
        <v>24240000</v>
      </c>
      <c r="L311" s="169">
        <f>J311+K311</f>
        <v>24240000</v>
      </c>
      <c r="M311" s="169">
        <f t="shared" si="193"/>
        <v>24240000</v>
      </c>
      <c r="N311" s="168">
        <f t="shared" si="194"/>
        <v>151260000</v>
      </c>
      <c r="P311" s="197"/>
      <c r="S311" s="285">
        <f>740000+740000+740000+840000+860000+860000+440000+680000+715000+1600000+1760000+1855000+1860000+2440000+1750000+1440000+2845000+2075000</f>
        <v>24240000</v>
      </c>
      <c r="T311" s="286"/>
      <c r="U311" s="253"/>
    </row>
    <row r="312" spans="1:21" s="121" customFormat="1" ht="22.5" customHeight="1" x14ac:dyDescent="0.25">
      <c r="A312" s="154">
        <v>17</v>
      </c>
      <c r="B312" s="155"/>
      <c r="C312" s="155" t="s">
        <v>143</v>
      </c>
      <c r="D312" s="156"/>
      <c r="E312" s="164" t="s">
        <v>144</v>
      </c>
      <c r="F312" s="158">
        <f t="shared" ref="F312:H313" si="196">+F313</f>
        <v>1024733000</v>
      </c>
      <c r="G312" s="159">
        <f t="shared" si="196"/>
        <v>0</v>
      </c>
      <c r="H312" s="159">
        <f t="shared" si="196"/>
        <v>0</v>
      </c>
      <c r="I312" s="159">
        <f t="shared" si="195"/>
        <v>0</v>
      </c>
      <c r="J312" s="159">
        <f>+J313</f>
        <v>1600000</v>
      </c>
      <c r="K312" s="159">
        <f>+K313</f>
        <v>38085000</v>
      </c>
      <c r="L312" s="159">
        <f>+J312+K312</f>
        <v>39685000</v>
      </c>
      <c r="M312" s="159">
        <f>+I312+L312</f>
        <v>39685000</v>
      </c>
      <c r="N312" s="158">
        <f>+F312-M312</f>
        <v>985048000</v>
      </c>
      <c r="P312" s="190"/>
      <c r="R312" s="122"/>
      <c r="S312" s="283"/>
      <c r="T312" s="283"/>
      <c r="U312" s="246"/>
    </row>
    <row r="313" spans="1:21" s="107" customFormat="1" ht="18" customHeight="1" x14ac:dyDescent="0.25">
      <c r="A313" s="101"/>
      <c r="B313" s="102"/>
      <c r="C313" s="102"/>
      <c r="D313" s="103" t="s">
        <v>207</v>
      </c>
      <c r="E313" s="104" t="s">
        <v>262</v>
      </c>
      <c r="F313" s="105">
        <f t="shared" si="196"/>
        <v>1024733000</v>
      </c>
      <c r="G313" s="106">
        <f t="shared" si="196"/>
        <v>0</v>
      </c>
      <c r="H313" s="106">
        <f t="shared" si="196"/>
        <v>0</v>
      </c>
      <c r="I313" s="106">
        <f t="shared" si="195"/>
        <v>0</v>
      </c>
      <c r="J313" s="106">
        <f>+J314</f>
        <v>1600000</v>
      </c>
      <c r="K313" s="106">
        <f>+K314</f>
        <v>38085000</v>
      </c>
      <c r="L313" s="106">
        <f>+J313+K313</f>
        <v>39685000</v>
      </c>
      <c r="M313" s="106">
        <f t="shared" ref="M313:M330" si="197">+I313+L313</f>
        <v>39685000</v>
      </c>
      <c r="N313" s="105">
        <f t="shared" ref="N313:N330" si="198">+F313-M313</f>
        <v>985048000</v>
      </c>
      <c r="P313" s="191"/>
      <c r="R313" s="108"/>
      <c r="S313" s="284"/>
      <c r="T313" s="284"/>
      <c r="U313" s="241"/>
    </row>
    <row r="314" spans="1:21" s="67" customFormat="1" ht="18" customHeight="1" x14ac:dyDescent="0.25">
      <c r="A314" s="88"/>
      <c r="B314" s="89"/>
      <c r="C314" s="88"/>
      <c r="D314" s="45" t="s">
        <v>63</v>
      </c>
      <c r="E314" s="45" t="s">
        <v>30</v>
      </c>
      <c r="F314" s="47">
        <f>+F315+F319+F322</f>
        <v>1024733000</v>
      </c>
      <c r="G314" s="70">
        <f>+G315+G319+G322</f>
        <v>0</v>
      </c>
      <c r="H314" s="70">
        <f>+H315+H319+H322</f>
        <v>0</v>
      </c>
      <c r="I314" s="70">
        <f t="shared" si="195"/>
        <v>0</v>
      </c>
      <c r="J314" s="70">
        <f>+J315+J319+J322</f>
        <v>1600000</v>
      </c>
      <c r="K314" s="70">
        <f>+K315+K319+K322</f>
        <v>38085000</v>
      </c>
      <c r="L314" s="70">
        <f>+J314+K314</f>
        <v>39685000</v>
      </c>
      <c r="M314" s="70">
        <f t="shared" si="197"/>
        <v>39685000</v>
      </c>
      <c r="N314" s="47">
        <f t="shared" si="198"/>
        <v>985048000</v>
      </c>
      <c r="P314" s="192"/>
      <c r="S314" s="282"/>
      <c r="T314" s="282"/>
      <c r="U314" s="249"/>
    </row>
    <row r="315" spans="1:21" s="55" customFormat="1" ht="18" customHeight="1" x14ac:dyDescent="0.25">
      <c r="A315" s="50"/>
      <c r="B315" s="51"/>
      <c r="C315" s="51"/>
      <c r="D315" s="71" t="s">
        <v>263</v>
      </c>
      <c r="E315" s="51" t="s">
        <v>264</v>
      </c>
      <c r="F315" s="53">
        <f>+F316</f>
        <v>160643000</v>
      </c>
      <c r="G315" s="72">
        <f>+G316</f>
        <v>0</v>
      </c>
      <c r="H315" s="72">
        <f>+H316</f>
        <v>0</v>
      </c>
      <c r="I315" s="72">
        <f t="shared" si="195"/>
        <v>0</v>
      </c>
      <c r="J315" s="72">
        <f>+J316</f>
        <v>0</v>
      </c>
      <c r="K315" s="72">
        <f>+K316</f>
        <v>11830000</v>
      </c>
      <c r="L315" s="72">
        <f>+J315+K315</f>
        <v>11830000</v>
      </c>
      <c r="M315" s="72">
        <f t="shared" si="197"/>
        <v>11830000</v>
      </c>
      <c r="N315" s="53">
        <f t="shared" si="198"/>
        <v>148813000</v>
      </c>
      <c r="P315" s="195"/>
      <c r="S315" s="282"/>
      <c r="T315" s="282"/>
      <c r="U315" s="243"/>
    </row>
    <row r="316" spans="1:21" s="67" customFormat="1" ht="18" customHeight="1" x14ac:dyDescent="0.25">
      <c r="A316" s="90"/>
      <c r="B316" s="91"/>
      <c r="C316" s="90"/>
      <c r="D316" s="57" t="s">
        <v>64</v>
      </c>
      <c r="E316" s="57" t="s">
        <v>65</v>
      </c>
      <c r="F316" s="58">
        <f>F317+F318</f>
        <v>160643000</v>
      </c>
      <c r="G316" s="59">
        <f>+G317</f>
        <v>0</v>
      </c>
      <c r="H316" s="59">
        <f>+H317</f>
        <v>0</v>
      </c>
      <c r="I316" s="59">
        <f t="shared" si="195"/>
        <v>0</v>
      </c>
      <c r="J316" s="59">
        <f>+J317</f>
        <v>0</v>
      </c>
      <c r="K316" s="59">
        <f>+K317</f>
        <v>11830000</v>
      </c>
      <c r="L316" s="59">
        <f>+J316+K316</f>
        <v>11830000</v>
      </c>
      <c r="M316" s="59">
        <f t="shared" si="197"/>
        <v>11830000</v>
      </c>
      <c r="N316" s="58">
        <f t="shared" si="198"/>
        <v>148813000</v>
      </c>
      <c r="P316" s="192"/>
      <c r="S316" s="282"/>
      <c r="T316" s="282"/>
      <c r="U316" s="249"/>
    </row>
    <row r="317" spans="1:21" s="49" customFormat="1" ht="18" customHeight="1" x14ac:dyDescent="0.25">
      <c r="A317" s="92"/>
      <c r="B317" s="93"/>
      <c r="C317" s="61"/>
      <c r="D317" s="62" t="s">
        <v>339</v>
      </c>
      <c r="E317" s="62" t="s">
        <v>340</v>
      </c>
      <c r="F317" s="63">
        <v>99000000</v>
      </c>
      <c r="G317" s="94"/>
      <c r="H317" s="94"/>
      <c r="I317" s="94"/>
      <c r="J317" s="75"/>
      <c r="K317" s="75">
        <v>11830000</v>
      </c>
      <c r="L317" s="75">
        <f t="shared" ref="L317:L330" si="199">+J317+K317</f>
        <v>11830000</v>
      </c>
      <c r="M317" s="75">
        <f t="shared" si="197"/>
        <v>11830000</v>
      </c>
      <c r="N317" s="63">
        <f t="shared" si="198"/>
        <v>87170000</v>
      </c>
      <c r="P317" s="203"/>
      <c r="S317" s="281">
        <f>900000+940000+810000+930000+970000+950000+750000+840000+960000+950000+940000+990000+900000</f>
        <v>11830000</v>
      </c>
      <c r="T317" s="282"/>
      <c r="U317" s="242"/>
    </row>
    <row r="318" spans="1:21" s="49" customFormat="1" ht="18" customHeight="1" x14ac:dyDescent="0.25">
      <c r="A318" s="92"/>
      <c r="B318" s="93"/>
      <c r="C318" s="61"/>
      <c r="D318" s="62" t="s">
        <v>361</v>
      </c>
      <c r="E318" s="62" t="s">
        <v>362</v>
      </c>
      <c r="F318" s="63">
        <v>61643000</v>
      </c>
      <c r="G318" s="94"/>
      <c r="H318" s="94"/>
      <c r="I318" s="94"/>
      <c r="J318" s="75"/>
      <c r="K318" s="75"/>
      <c r="L318" s="75">
        <f t="shared" si="199"/>
        <v>0</v>
      </c>
      <c r="M318" s="75">
        <f t="shared" si="197"/>
        <v>0</v>
      </c>
      <c r="N318" s="63">
        <f t="shared" si="198"/>
        <v>61643000</v>
      </c>
      <c r="P318" s="203"/>
      <c r="S318" s="281"/>
      <c r="T318" s="282"/>
      <c r="U318" s="242"/>
    </row>
    <row r="319" spans="1:21" s="55" customFormat="1" ht="18" customHeight="1" x14ac:dyDescent="0.25">
      <c r="A319" s="50"/>
      <c r="B319" s="51"/>
      <c r="C319" s="51"/>
      <c r="D319" s="71" t="s">
        <v>271</v>
      </c>
      <c r="E319" s="51" t="s">
        <v>272</v>
      </c>
      <c r="F319" s="53">
        <f>+F320</f>
        <v>36480000</v>
      </c>
      <c r="G319" s="72">
        <f>+G320</f>
        <v>0</v>
      </c>
      <c r="H319" s="72">
        <f>+H320</f>
        <v>0</v>
      </c>
      <c r="I319" s="72">
        <f>+G319+H319</f>
        <v>0</v>
      </c>
      <c r="J319" s="72">
        <f>+J320</f>
        <v>1600000</v>
      </c>
      <c r="K319" s="72">
        <f>+K320</f>
        <v>1600000</v>
      </c>
      <c r="L319" s="72">
        <f t="shared" si="199"/>
        <v>3200000</v>
      </c>
      <c r="M319" s="72">
        <f t="shared" si="197"/>
        <v>3200000</v>
      </c>
      <c r="N319" s="53">
        <f t="shared" si="198"/>
        <v>33280000</v>
      </c>
      <c r="P319" s="204"/>
      <c r="S319" s="281"/>
      <c r="T319" s="282"/>
      <c r="U319" s="243"/>
    </row>
    <row r="320" spans="1:21" s="67" customFormat="1" ht="18" customHeight="1" x14ac:dyDescent="0.25">
      <c r="A320" s="90"/>
      <c r="B320" s="91"/>
      <c r="C320" s="90"/>
      <c r="D320" s="57" t="s">
        <v>81</v>
      </c>
      <c r="E320" s="57" t="s">
        <v>31</v>
      </c>
      <c r="F320" s="58">
        <f>F321</f>
        <v>36480000</v>
      </c>
      <c r="G320" s="59">
        <f>+G321</f>
        <v>0</v>
      </c>
      <c r="H320" s="59">
        <f>+H321</f>
        <v>0</v>
      </c>
      <c r="I320" s="59">
        <f>+G320+H320</f>
        <v>0</v>
      </c>
      <c r="J320" s="59">
        <f>+J321</f>
        <v>1600000</v>
      </c>
      <c r="K320" s="59">
        <f>+K321</f>
        <v>1600000</v>
      </c>
      <c r="L320" s="59">
        <f t="shared" si="199"/>
        <v>3200000</v>
      </c>
      <c r="M320" s="59">
        <f t="shared" si="197"/>
        <v>3200000</v>
      </c>
      <c r="N320" s="58">
        <f t="shared" si="198"/>
        <v>33280000</v>
      </c>
      <c r="P320" s="203"/>
      <c r="S320" s="281"/>
      <c r="T320" s="282"/>
      <c r="U320" s="249"/>
    </row>
    <row r="321" spans="1:21" s="49" customFormat="1" ht="18" customHeight="1" x14ac:dyDescent="0.25">
      <c r="A321" s="92"/>
      <c r="B321" s="93"/>
      <c r="C321" s="61"/>
      <c r="D321" s="62" t="s">
        <v>82</v>
      </c>
      <c r="E321" s="62" t="s">
        <v>83</v>
      </c>
      <c r="F321" s="63">
        <v>36480000</v>
      </c>
      <c r="G321" s="94"/>
      <c r="H321" s="75"/>
      <c r="I321" s="94"/>
      <c r="J321" s="75">
        <v>1600000</v>
      </c>
      <c r="K321" s="75">
        <v>1600000</v>
      </c>
      <c r="L321" s="75">
        <f t="shared" si="199"/>
        <v>3200000</v>
      </c>
      <c r="M321" s="75">
        <f t="shared" si="197"/>
        <v>3200000</v>
      </c>
      <c r="N321" s="63">
        <f t="shared" si="198"/>
        <v>33280000</v>
      </c>
      <c r="P321" s="203"/>
      <c r="S321" s="281">
        <v>1600000</v>
      </c>
      <c r="T321" s="282"/>
      <c r="U321" s="242"/>
    </row>
    <row r="322" spans="1:21" s="55" customFormat="1" ht="18" customHeight="1" x14ac:dyDescent="0.25">
      <c r="A322" s="50"/>
      <c r="B322" s="51"/>
      <c r="C322" s="51"/>
      <c r="D322" s="71" t="s">
        <v>275</v>
      </c>
      <c r="E322" s="51" t="s">
        <v>276</v>
      </c>
      <c r="F322" s="53">
        <f>+F323</f>
        <v>827610000</v>
      </c>
      <c r="G322" s="72">
        <f>+G323</f>
        <v>0</v>
      </c>
      <c r="H322" s="72">
        <f>+H323</f>
        <v>0</v>
      </c>
      <c r="I322" s="72">
        <f>+G322+H322</f>
        <v>0</v>
      </c>
      <c r="J322" s="72">
        <f>+J323</f>
        <v>0</v>
      </c>
      <c r="K322" s="72">
        <f>+K323</f>
        <v>24655000</v>
      </c>
      <c r="L322" s="72">
        <f>+J322+K322</f>
        <v>24655000</v>
      </c>
      <c r="M322" s="72">
        <f t="shared" si="197"/>
        <v>24655000</v>
      </c>
      <c r="N322" s="53">
        <f t="shared" si="198"/>
        <v>802955000</v>
      </c>
      <c r="P322" s="204"/>
      <c r="S322" s="282"/>
      <c r="T322" s="282"/>
      <c r="U322" s="243"/>
    </row>
    <row r="323" spans="1:21" s="67" customFormat="1" ht="18" customHeight="1" x14ac:dyDescent="0.25">
      <c r="A323" s="90"/>
      <c r="B323" s="91"/>
      <c r="C323" s="90"/>
      <c r="D323" s="57" t="s">
        <v>114</v>
      </c>
      <c r="E323" s="57" t="s">
        <v>43</v>
      </c>
      <c r="F323" s="58">
        <f>SUM(F324:F330)</f>
        <v>827610000</v>
      </c>
      <c r="G323" s="59">
        <f>SUM(G325:G330)</f>
        <v>0</v>
      </c>
      <c r="H323" s="59">
        <f>SUM(H325:H330)</f>
        <v>0</v>
      </c>
      <c r="I323" s="59">
        <f>+G323+H323</f>
        <v>0</v>
      </c>
      <c r="J323" s="59">
        <f>SUM(J325:J330)</f>
        <v>0</v>
      </c>
      <c r="K323" s="59">
        <f>SUM(K325:K330)</f>
        <v>24655000</v>
      </c>
      <c r="L323" s="59">
        <f>+J323+K323</f>
        <v>24655000</v>
      </c>
      <c r="M323" s="59">
        <f t="shared" si="197"/>
        <v>24655000</v>
      </c>
      <c r="N323" s="58">
        <f t="shared" si="198"/>
        <v>802955000</v>
      </c>
      <c r="P323" s="203"/>
      <c r="S323" s="282"/>
      <c r="T323" s="282"/>
      <c r="U323" s="249"/>
    </row>
    <row r="324" spans="1:21" s="49" customFormat="1" ht="35.25" customHeight="1" x14ac:dyDescent="0.25">
      <c r="A324" s="170"/>
      <c r="B324" s="86"/>
      <c r="C324" s="171"/>
      <c r="D324" s="162" t="s">
        <v>478</v>
      </c>
      <c r="E324" s="172" t="s">
        <v>479</v>
      </c>
      <c r="F324" s="173">
        <v>31700000</v>
      </c>
      <c r="G324" s="174"/>
      <c r="H324" s="174"/>
      <c r="I324" s="174"/>
      <c r="J324" s="163"/>
      <c r="K324" s="163"/>
      <c r="L324" s="163">
        <f t="shared" ref="L324" si="200">+J324+K324</f>
        <v>0</v>
      </c>
      <c r="M324" s="163">
        <f t="shared" si="197"/>
        <v>0</v>
      </c>
      <c r="N324" s="173">
        <f t="shared" si="198"/>
        <v>31700000</v>
      </c>
      <c r="P324" s="203"/>
      <c r="S324" s="282"/>
      <c r="T324" s="282"/>
      <c r="U324" s="242"/>
    </row>
    <row r="325" spans="1:21" s="49" customFormat="1" ht="35.25" customHeight="1" x14ac:dyDescent="0.25">
      <c r="A325" s="170"/>
      <c r="B325" s="86"/>
      <c r="C325" s="171"/>
      <c r="D325" s="162" t="s">
        <v>347</v>
      </c>
      <c r="E325" s="172" t="s">
        <v>348</v>
      </c>
      <c r="F325" s="173">
        <v>8500000</v>
      </c>
      <c r="G325" s="174"/>
      <c r="H325" s="174"/>
      <c r="I325" s="174"/>
      <c r="J325" s="163"/>
      <c r="K325" s="163"/>
      <c r="L325" s="163">
        <f t="shared" si="199"/>
        <v>0</v>
      </c>
      <c r="M325" s="163">
        <f t="shared" si="197"/>
        <v>0</v>
      </c>
      <c r="N325" s="173">
        <f t="shared" si="198"/>
        <v>8500000</v>
      </c>
      <c r="P325" s="203"/>
      <c r="S325" s="282"/>
      <c r="T325" s="282"/>
      <c r="U325" s="242"/>
    </row>
    <row r="326" spans="1:21" s="49" customFormat="1" ht="35.25" customHeight="1" x14ac:dyDescent="0.25">
      <c r="A326" s="170"/>
      <c r="B326" s="86"/>
      <c r="C326" s="162"/>
      <c r="D326" s="162" t="s">
        <v>349</v>
      </c>
      <c r="E326" s="172" t="s">
        <v>350</v>
      </c>
      <c r="F326" s="173">
        <v>99960000</v>
      </c>
      <c r="G326" s="174"/>
      <c r="H326" s="174"/>
      <c r="I326" s="174"/>
      <c r="J326" s="163"/>
      <c r="K326" s="163">
        <f>149000+306000+13515000</f>
        <v>13970000</v>
      </c>
      <c r="L326" s="163">
        <f t="shared" si="199"/>
        <v>13970000</v>
      </c>
      <c r="M326" s="163">
        <f t="shared" si="197"/>
        <v>13970000</v>
      </c>
      <c r="N326" s="173">
        <f>+F326-M326</f>
        <v>85990000</v>
      </c>
      <c r="P326" s="203"/>
      <c r="S326" s="281">
        <f>55000+165000+130000+1000000+450000+900000+200000+950000+850000+1700000+315000+1000000+4920000+880000+149000+306000</f>
        <v>13970000</v>
      </c>
      <c r="T326" s="282"/>
      <c r="U326" s="242"/>
    </row>
    <row r="327" spans="1:21" s="49" customFormat="1" ht="35.25" customHeight="1" x14ac:dyDescent="0.25">
      <c r="A327" s="170"/>
      <c r="B327" s="86"/>
      <c r="C327" s="162"/>
      <c r="D327" s="162" t="s">
        <v>145</v>
      </c>
      <c r="E327" s="172" t="s">
        <v>351</v>
      </c>
      <c r="F327" s="173">
        <v>73200000</v>
      </c>
      <c r="G327" s="174"/>
      <c r="H327" s="174"/>
      <c r="I327" s="174"/>
      <c r="J327" s="163"/>
      <c r="K327" s="163">
        <f>675000+775000+6525000</f>
        <v>7975000</v>
      </c>
      <c r="L327" s="163">
        <f t="shared" si="199"/>
        <v>7975000</v>
      </c>
      <c r="M327" s="163">
        <f t="shared" si="197"/>
        <v>7975000</v>
      </c>
      <c r="N327" s="173">
        <f>+F327-M327</f>
        <v>65225000</v>
      </c>
      <c r="P327" s="203"/>
      <c r="S327" s="281">
        <f>900000+975000+650000+575000+1800000+900000+725000+675000+775000</f>
        <v>7975000</v>
      </c>
      <c r="T327" s="282"/>
      <c r="U327" s="242"/>
    </row>
    <row r="328" spans="1:21" s="49" customFormat="1" ht="26.25" customHeight="1" x14ac:dyDescent="0.25">
      <c r="A328" s="170"/>
      <c r="B328" s="86"/>
      <c r="C328" s="162"/>
      <c r="D328" s="162" t="s">
        <v>115</v>
      </c>
      <c r="E328" s="172" t="s">
        <v>116</v>
      </c>
      <c r="F328" s="173">
        <v>109500000</v>
      </c>
      <c r="G328" s="174"/>
      <c r="H328" s="174"/>
      <c r="I328" s="174"/>
      <c r="J328" s="163"/>
      <c r="K328" s="163">
        <f>230000+140000+550000</f>
        <v>920000</v>
      </c>
      <c r="L328" s="163">
        <f t="shared" si="199"/>
        <v>920000</v>
      </c>
      <c r="M328" s="163">
        <f t="shared" si="197"/>
        <v>920000</v>
      </c>
      <c r="N328" s="173">
        <f>+F328-M328</f>
        <v>108580000</v>
      </c>
      <c r="P328" s="192"/>
      <c r="S328" s="281">
        <f>230000+140000+550000</f>
        <v>920000</v>
      </c>
      <c r="T328" s="282"/>
      <c r="U328" s="242"/>
    </row>
    <row r="329" spans="1:21" s="49" customFormat="1" ht="33.75" customHeight="1" x14ac:dyDescent="0.25">
      <c r="A329" s="170"/>
      <c r="B329" s="86"/>
      <c r="C329" s="162"/>
      <c r="D329" s="162" t="s">
        <v>352</v>
      </c>
      <c r="E329" s="172" t="s">
        <v>353</v>
      </c>
      <c r="F329" s="173">
        <v>108500000</v>
      </c>
      <c r="G329" s="174"/>
      <c r="H329" s="174"/>
      <c r="I329" s="174"/>
      <c r="J329" s="163"/>
      <c r="K329" s="163">
        <f>850000+940000</f>
        <v>1790000</v>
      </c>
      <c r="L329" s="163">
        <f t="shared" si="199"/>
        <v>1790000</v>
      </c>
      <c r="M329" s="163">
        <f t="shared" si="197"/>
        <v>1790000</v>
      </c>
      <c r="N329" s="173">
        <f t="shared" si="198"/>
        <v>106710000</v>
      </c>
      <c r="P329" s="192"/>
      <c r="S329" s="281">
        <f>850000+940000</f>
        <v>1790000</v>
      </c>
      <c r="T329" s="282"/>
      <c r="U329" s="242"/>
    </row>
    <row r="330" spans="1:21" s="134" customFormat="1" ht="18" customHeight="1" x14ac:dyDescent="0.25">
      <c r="A330" s="151"/>
      <c r="B330" s="152"/>
      <c r="C330" s="124"/>
      <c r="D330" s="124" t="s">
        <v>354</v>
      </c>
      <c r="E330" s="139" t="s">
        <v>355</v>
      </c>
      <c r="F330" s="125">
        <v>396250000</v>
      </c>
      <c r="G330" s="140"/>
      <c r="H330" s="140"/>
      <c r="I330" s="140">
        <f t="shared" ref="I330:I347" si="201">+G330+H330</f>
        <v>0</v>
      </c>
      <c r="J330" s="140"/>
      <c r="K330" s="140"/>
      <c r="L330" s="140">
        <f t="shared" si="199"/>
        <v>0</v>
      </c>
      <c r="M330" s="140">
        <f t="shared" si="197"/>
        <v>0</v>
      </c>
      <c r="N330" s="125">
        <f t="shared" si="198"/>
        <v>396250000</v>
      </c>
      <c r="P330" s="197"/>
      <c r="S330" s="286"/>
      <c r="T330" s="285"/>
      <c r="U330" s="247"/>
    </row>
    <row r="331" spans="1:21" s="121" customFormat="1" ht="22.5" customHeight="1" x14ac:dyDescent="0.25">
      <c r="A331" s="154">
        <v>18</v>
      </c>
      <c r="B331" s="155"/>
      <c r="C331" s="155" t="s">
        <v>146</v>
      </c>
      <c r="D331" s="156"/>
      <c r="E331" s="164" t="s">
        <v>356</v>
      </c>
      <c r="F331" s="158">
        <f t="shared" ref="F331:H334" si="202">+F332</f>
        <v>399988000</v>
      </c>
      <c r="G331" s="159">
        <f t="shared" si="202"/>
        <v>0</v>
      </c>
      <c r="H331" s="159">
        <f t="shared" si="202"/>
        <v>0</v>
      </c>
      <c r="I331" s="159">
        <f t="shared" si="201"/>
        <v>0</v>
      </c>
      <c r="J331" s="159">
        <f t="shared" ref="J331:K335" si="203">+J332</f>
        <v>0</v>
      </c>
      <c r="K331" s="159">
        <f t="shared" si="203"/>
        <v>0</v>
      </c>
      <c r="L331" s="159">
        <f>+J331+K331</f>
        <v>0</v>
      </c>
      <c r="M331" s="159">
        <f>+I331+L331</f>
        <v>0</v>
      </c>
      <c r="N331" s="158">
        <f>+F331-M331</f>
        <v>399988000</v>
      </c>
      <c r="P331" s="190"/>
      <c r="R331" s="122"/>
      <c r="S331" s="283"/>
      <c r="T331" s="283"/>
      <c r="U331" s="246"/>
    </row>
    <row r="332" spans="1:21" s="107" customFormat="1" ht="18" customHeight="1" x14ac:dyDescent="0.25">
      <c r="A332" s="101"/>
      <c r="B332" s="102"/>
      <c r="C332" s="102"/>
      <c r="D332" s="103" t="s">
        <v>207</v>
      </c>
      <c r="E332" s="104" t="s">
        <v>262</v>
      </c>
      <c r="F332" s="105">
        <f t="shared" si="202"/>
        <v>399988000</v>
      </c>
      <c r="G332" s="106">
        <f t="shared" si="202"/>
        <v>0</v>
      </c>
      <c r="H332" s="106">
        <f t="shared" si="202"/>
        <v>0</v>
      </c>
      <c r="I332" s="106">
        <f t="shared" si="201"/>
        <v>0</v>
      </c>
      <c r="J332" s="106">
        <f t="shared" si="203"/>
        <v>0</v>
      </c>
      <c r="K332" s="106">
        <f t="shared" si="203"/>
        <v>0</v>
      </c>
      <c r="L332" s="106">
        <f>+J332+K332</f>
        <v>0</v>
      </c>
      <c r="M332" s="106">
        <f t="shared" ref="M332:M336" si="204">+I332+L332</f>
        <v>0</v>
      </c>
      <c r="N332" s="105">
        <f>+F332-M332</f>
        <v>399988000</v>
      </c>
      <c r="P332" s="191"/>
      <c r="R332" s="108"/>
      <c r="S332" s="284"/>
      <c r="T332" s="284"/>
      <c r="U332" s="241"/>
    </row>
    <row r="333" spans="1:21" s="67" customFormat="1" ht="18" customHeight="1" x14ac:dyDescent="0.25">
      <c r="A333" s="88"/>
      <c r="B333" s="89"/>
      <c r="C333" s="88"/>
      <c r="D333" s="45" t="s">
        <v>63</v>
      </c>
      <c r="E333" s="45" t="s">
        <v>30</v>
      </c>
      <c r="F333" s="47">
        <f t="shared" si="202"/>
        <v>399988000</v>
      </c>
      <c r="G333" s="70">
        <f t="shared" si="202"/>
        <v>0</v>
      </c>
      <c r="H333" s="70">
        <f t="shared" si="202"/>
        <v>0</v>
      </c>
      <c r="I333" s="70">
        <f t="shared" si="201"/>
        <v>0</v>
      </c>
      <c r="J333" s="70">
        <f t="shared" si="203"/>
        <v>0</v>
      </c>
      <c r="K333" s="70">
        <f t="shared" si="203"/>
        <v>0</v>
      </c>
      <c r="L333" s="70">
        <f>+J333+K333</f>
        <v>0</v>
      </c>
      <c r="M333" s="70">
        <f t="shared" si="204"/>
        <v>0</v>
      </c>
      <c r="N333" s="47">
        <f t="shared" ref="N333:N336" si="205">+F333-M333</f>
        <v>399988000</v>
      </c>
      <c r="P333" s="192"/>
      <c r="S333" s="282"/>
      <c r="T333" s="282"/>
      <c r="U333" s="249"/>
    </row>
    <row r="334" spans="1:21" s="55" customFormat="1" ht="18" customHeight="1" x14ac:dyDescent="0.25">
      <c r="A334" s="50"/>
      <c r="B334" s="51"/>
      <c r="C334" s="51"/>
      <c r="D334" s="71" t="s">
        <v>275</v>
      </c>
      <c r="E334" s="51" t="s">
        <v>276</v>
      </c>
      <c r="F334" s="53">
        <f t="shared" si="202"/>
        <v>399988000</v>
      </c>
      <c r="G334" s="72">
        <f t="shared" si="202"/>
        <v>0</v>
      </c>
      <c r="H334" s="72">
        <f t="shared" si="202"/>
        <v>0</v>
      </c>
      <c r="I334" s="72">
        <f t="shared" si="201"/>
        <v>0</v>
      </c>
      <c r="J334" s="72">
        <f t="shared" si="203"/>
        <v>0</v>
      </c>
      <c r="K334" s="72">
        <f t="shared" si="203"/>
        <v>0</v>
      </c>
      <c r="L334" s="72">
        <f>+J334+K334</f>
        <v>0</v>
      </c>
      <c r="M334" s="72">
        <f t="shared" si="204"/>
        <v>0</v>
      </c>
      <c r="N334" s="53">
        <f t="shared" si="205"/>
        <v>399988000</v>
      </c>
      <c r="P334" s="195"/>
      <c r="S334" s="282"/>
      <c r="T334" s="282"/>
      <c r="U334" s="243"/>
    </row>
    <row r="335" spans="1:21" s="67" customFormat="1" ht="18" customHeight="1" x14ac:dyDescent="0.25">
      <c r="A335" s="90"/>
      <c r="B335" s="91"/>
      <c r="C335" s="90"/>
      <c r="D335" s="57" t="s">
        <v>147</v>
      </c>
      <c r="E335" s="57" t="s">
        <v>35</v>
      </c>
      <c r="F335" s="58">
        <f>F336</f>
        <v>399988000</v>
      </c>
      <c r="G335" s="59">
        <f>+G336</f>
        <v>0</v>
      </c>
      <c r="H335" s="59">
        <f>+H336</f>
        <v>0</v>
      </c>
      <c r="I335" s="59">
        <f t="shared" si="201"/>
        <v>0</v>
      </c>
      <c r="J335" s="59">
        <f t="shared" si="203"/>
        <v>0</v>
      </c>
      <c r="K335" s="59">
        <f t="shared" si="203"/>
        <v>0</v>
      </c>
      <c r="L335" s="59">
        <f>+J335+K335</f>
        <v>0</v>
      </c>
      <c r="M335" s="59">
        <f t="shared" si="204"/>
        <v>0</v>
      </c>
      <c r="N335" s="58">
        <f t="shared" si="205"/>
        <v>399988000</v>
      </c>
      <c r="P335" s="192"/>
      <c r="S335" s="282"/>
      <c r="T335" s="282"/>
      <c r="U335" s="249"/>
    </row>
    <row r="336" spans="1:21" s="134" customFormat="1" ht="33.75" customHeight="1" x14ac:dyDescent="0.25">
      <c r="A336" s="265"/>
      <c r="B336" s="144"/>
      <c r="C336" s="165"/>
      <c r="D336" s="166" t="s">
        <v>148</v>
      </c>
      <c r="E336" s="167" t="s">
        <v>149</v>
      </c>
      <c r="F336" s="168">
        <v>399988000</v>
      </c>
      <c r="G336" s="266"/>
      <c r="H336" s="169"/>
      <c r="I336" s="169">
        <f t="shared" si="201"/>
        <v>0</v>
      </c>
      <c r="J336" s="169"/>
      <c r="K336" s="169"/>
      <c r="L336" s="169">
        <f t="shared" ref="L336" si="206">+J336+K336</f>
        <v>0</v>
      </c>
      <c r="M336" s="169">
        <f t="shared" si="204"/>
        <v>0</v>
      </c>
      <c r="N336" s="168">
        <f t="shared" si="205"/>
        <v>399988000</v>
      </c>
      <c r="P336" s="197"/>
      <c r="S336" s="286"/>
      <c r="T336" s="285"/>
      <c r="U336" s="247"/>
    </row>
    <row r="337" spans="1:21" s="121" customFormat="1" ht="34.5" customHeight="1" x14ac:dyDescent="0.25">
      <c r="A337" s="154">
        <v>19</v>
      </c>
      <c r="B337" s="155"/>
      <c r="C337" s="155" t="s">
        <v>151</v>
      </c>
      <c r="D337" s="156"/>
      <c r="E337" s="164" t="s">
        <v>152</v>
      </c>
      <c r="F337" s="158">
        <f t="shared" ref="F337:H340" si="207">+F338</f>
        <v>200000000</v>
      </c>
      <c r="G337" s="159">
        <f t="shared" si="207"/>
        <v>0</v>
      </c>
      <c r="H337" s="159">
        <f t="shared" si="207"/>
        <v>0</v>
      </c>
      <c r="I337" s="159">
        <f t="shared" si="201"/>
        <v>0</v>
      </c>
      <c r="J337" s="159">
        <f t="shared" ref="J337:K341" si="208">+J338</f>
        <v>0</v>
      </c>
      <c r="K337" s="159">
        <f t="shared" si="208"/>
        <v>0</v>
      </c>
      <c r="L337" s="159">
        <f>+J337+K337</f>
        <v>0</v>
      </c>
      <c r="M337" s="159">
        <f>+I337+L337</f>
        <v>0</v>
      </c>
      <c r="N337" s="158">
        <f>+F337-M337</f>
        <v>200000000</v>
      </c>
      <c r="P337" s="190"/>
      <c r="R337" s="122"/>
      <c r="S337" s="283"/>
      <c r="T337" s="283"/>
      <c r="U337" s="246"/>
    </row>
    <row r="338" spans="1:21" s="107" customFormat="1" ht="18" customHeight="1" x14ac:dyDescent="0.25">
      <c r="A338" s="101"/>
      <c r="B338" s="102"/>
      <c r="C338" s="102"/>
      <c r="D338" s="103" t="s">
        <v>207</v>
      </c>
      <c r="E338" s="104" t="s">
        <v>262</v>
      </c>
      <c r="F338" s="105">
        <f t="shared" si="207"/>
        <v>200000000</v>
      </c>
      <c r="G338" s="106">
        <f t="shared" si="207"/>
        <v>0</v>
      </c>
      <c r="H338" s="106">
        <f t="shared" si="207"/>
        <v>0</v>
      </c>
      <c r="I338" s="106">
        <f t="shared" si="201"/>
        <v>0</v>
      </c>
      <c r="J338" s="106">
        <f t="shared" si="208"/>
        <v>0</v>
      </c>
      <c r="K338" s="106">
        <f t="shared" si="208"/>
        <v>0</v>
      </c>
      <c r="L338" s="106">
        <f>+J338+K338</f>
        <v>0</v>
      </c>
      <c r="M338" s="106">
        <f t="shared" ref="M338:M342" si="209">+I338+L338</f>
        <v>0</v>
      </c>
      <c r="N338" s="105">
        <f t="shared" ref="N338:N342" si="210">+F338-M338</f>
        <v>200000000</v>
      </c>
      <c r="P338" s="191"/>
      <c r="R338" s="108"/>
      <c r="S338" s="284"/>
      <c r="T338" s="284"/>
      <c r="U338" s="241"/>
    </row>
    <row r="339" spans="1:21" s="67" customFormat="1" ht="18" customHeight="1" x14ac:dyDescent="0.25">
      <c r="A339" s="88"/>
      <c r="B339" s="89"/>
      <c r="C339" s="88"/>
      <c r="D339" s="45" t="s">
        <v>63</v>
      </c>
      <c r="E339" s="45" t="s">
        <v>30</v>
      </c>
      <c r="F339" s="47">
        <f t="shared" si="207"/>
        <v>200000000</v>
      </c>
      <c r="G339" s="70">
        <f t="shared" si="207"/>
        <v>0</v>
      </c>
      <c r="H339" s="70">
        <f t="shared" si="207"/>
        <v>0</v>
      </c>
      <c r="I339" s="70">
        <f t="shared" si="201"/>
        <v>0</v>
      </c>
      <c r="J339" s="70">
        <f t="shared" si="208"/>
        <v>0</v>
      </c>
      <c r="K339" s="70">
        <f t="shared" si="208"/>
        <v>0</v>
      </c>
      <c r="L339" s="70">
        <f>+J339+K339</f>
        <v>0</v>
      </c>
      <c r="M339" s="70">
        <f t="shared" si="209"/>
        <v>0</v>
      </c>
      <c r="N339" s="47">
        <f t="shared" si="210"/>
        <v>200000000</v>
      </c>
      <c r="P339" s="192"/>
      <c r="S339" s="282"/>
      <c r="T339" s="282"/>
      <c r="U339" s="249"/>
    </row>
    <row r="340" spans="1:21" s="55" customFormat="1" ht="18" customHeight="1" x14ac:dyDescent="0.25">
      <c r="A340" s="50"/>
      <c r="B340" s="51"/>
      <c r="C340" s="51"/>
      <c r="D340" s="71" t="s">
        <v>275</v>
      </c>
      <c r="E340" s="51" t="s">
        <v>276</v>
      </c>
      <c r="F340" s="53">
        <f t="shared" si="207"/>
        <v>200000000</v>
      </c>
      <c r="G340" s="72">
        <f t="shared" si="207"/>
        <v>0</v>
      </c>
      <c r="H340" s="72">
        <f t="shared" si="207"/>
        <v>0</v>
      </c>
      <c r="I340" s="72">
        <f t="shared" si="201"/>
        <v>0</v>
      </c>
      <c r="J340" s="72">
        <f t="shared" si="208"/>
        <v>0</v>
      </c>
      <c r="K340" s="72">
        <f t="shared" si="208"/>
        <v>0</v>
      </c>
      <c r="L340" s="72">
        <f>+J340+K340</f>
        <v>0</v>
      </c>
      <c r="M340" s="72">
        <f t="shared" si="209"/>
        <v>0</v>
      </c>
      <c r="N340" s="53">
        <f t="shared" si="210"/>
        <v>200000000</v>
      </c>
      <c r="P340" s="195"/>
      <c r="S340" s="282"/>
      <c r="T340" s="282"/>
      <c r="U340" s="243"/>
    </row>
    <row r="341" spans="1:21" s="67" customFormat="1" ht="18" customHeight="1" x14ac:dyDescent="0.25">
      <c r="A341" s="90"/>
      <c r="B341" s="91"/>
      <c r="C341" s="90"/>
      <c r="D341" s="57" t="s">
        <v>147</v>
      </c>
      <c r="E341" s="57" t="s">
        <v>35</v>
      </c>
      <c r="F341" s="58">
        <f>F342</f>
        <v>200000000</v>
      </c>
      <c r="G341" s="59">
        <f>+G342</f>
        <v>0</v>
      </c>
      <c r="H341" s="59">
        <f>+H342</f>
        <v>0</v>
      </c>
      <c r="I341" s="59">
        <f t="shared" si="201"/>
        <v>0</v>
      </c>
      <c r="J341" s="59">
        <f t="shared" si="208"/>
        <v>0</v>
      </c>
      <c r="K341" s="59">
        <f t="shared" si="208"/>
        <v>0</v>
      </c>
      <c r="L341" s="59">
        <f>+J341+K341</f>
        <v>0</v>
      </c>
      <c r="M341" s="59">
        <f t="shared" si="209"/>
        <v>0</v>
      </c>
      <c r="N341" s="58">
        <f t="shared" si="210"/>
        <v>200000000</v>
      </c>
      <c r="P341" s="192"/>
      <c r="S341" s="282"/>
      <c r="T341" s="282"/>
      <c r="U341" s="249"/>
    </row>
    <row r="342" spans="1:21" s="134" customFormat="1" ht="33.75" customHeight="1" x14ac:dyDescent="0.25">
      <c r="A342" s="265"/>
      <c r="B342" s="144"/>
      <c r="C342" s="165"/>
      <c r="D342" s="166" t="s">
        <v>148</v>
      </c>
      <c r="E342" s="167" t="s">
        <v>149</v>
      </c>
      <c r="F342" s="168">
        <v>200000000</v>
      </c>
      <c r="G342" s="266"/>
      <c r="H342" s="169"/>
      <c r="I342" s="169">
        <f t="shared" si="201"/>
        <v>0</v>
      </c>
      <c r="J342" s="169"/>
      <c r="K342" s="169"/>
      <c r="L342" s="169">
        <f t="shared" ref="L342" si="211">+J342+K342</f>
        <v>0</v>
      </c>
      <c r="M342" s="169">
        <f t="shared" si="209"/>
        <v>0</v>
      </c>
      <c r="N342" s="168">
        <f t="shared" si="210"/>
        <v>200000000</v>
      </c>
      <c r="P342" s="197"/>
      <c r="S342" s="286"/>
      <c r="T342" s="285"/>
      <c r="U342" s="247"/>
    </row>
    <row r="343" spans="1:21" s="121" customFormat="1" ht="34.5" customHeight="1" x14ac:dyDescent="0.25">
      <c r="A343" s="154">
        <v>20</v>
      </c>
      <c r="B343" s="155"/>
      <c r="C343" s="155" t="s">
        <v>153</v>
      </c>
      <c r="D343" s="156"/>
      <c r="E343" s="164" t="s">
        <v>154</v>
      </c>
      <c r="F343" s="158">
        <f t="shared" ref="F343:H346" si="212">+F344</f>
        <v>80000000</v>
      </c>
      <c r="G343" s="159">
        <f t="shared" si="212"/>
        <v>0</v>
      </c>
      <c r="H343" s="159">
        <f t="shared" si="212"/>
        <v>0</v>
      </c>
      <c r="I343" s="159">
        <f t="shared" si="201"/>
        <v>0</v>
      </c>
      <c r="J343" s="159">
        <f t="shared" ref="J343:K347" si="213">+J344</f>
        <v>0</v>
      </c>
      <c r="K343" s="159">
        <f t="shared" si="213"/>
        <v>0</v>
      </c>
      <c r="L343" s="159">
        <f>+J343+K343</f>
        <v>0</v>
      </c>
      <c r="M343" s="159">
        <f>+I343+L343</f>
        <v>0</v>
      </c>
      <c r="N343" s="158">
        <f>+F343-M343</f>
        <v>80000000</v>
      </c>
      <c r="P343" s="190"/>
      <c r="R343" s="122"/>
      <c r="S343" s="283"/>
      <c r="T343" s="283"/>
      <c r="U343" s="246"/>
    </row>
    <row r="344" spans="1:21" s="107" customFormat="1" ht="18" customHeight="1" x14ac:dyDescent="0.25">
      <c r="A344" s="101"/>
      <c r="B344" s="102"/>
      <c r="C344" s="102"/>
      <c r="D344" s="103" t="s">
        <v>207</v>
      </c>
      <c r="E344" s="104" t="s">
        <v>262</v>
      </c>
      <c r="F344" s="105">
        <f t="shared" si="212"/>
        <v>80000000</v>
      </c>
      <c r="G344" s="106">
        <f t="shared" si="212"/>
        <v>0</v>
      </c>
      <c r="H344" s="106">
        <f t="shared" si="212"/>
        <v>0</v>
      </c>
      <c r="I344" s="106">
        <f t="shared" si="201"/>
        <v>0</v>
      </c>
      <c r="J344" s="106">
        <f t="shared" si="213"/>
        <v>0</v>
      </c>
      <c r="K344" s="106">
        <f t="shared" si="213"/>
        <v>0</v>
      </c>
      <c r="L344" s="106">
        <f>+J344+K344</f>
        <v>0</v>
      </c>
      <c r="M344" s="106">
        <f t="shared" ref="M344:M348" si="214">+I344+L344</f>
        <v>0</v>
      </c>
      <c r="N344" s="105">
        <f t="shared" ref="N344:N348" si="215">+F344-M344</f>
        <v>80000000</v>
      </c>
      <c r="P344" s="191"/>
      <c r="R344" s="108"/>
      <c r="S344" s="284"/>
      <c r="T344" s="284"/>
      <c r="U344" s="241"/>
    </row>
    <row r="345" spans="1:21" s="67" customFormat="1" ht="18" customHeight="1" x14ac:dyDescent="0.25">
      <c r="A345" s="88"/>
      <c r="B345" s="89"/>
      <c r="C345" s="88"/>
      <c r="D345" s="45" t="s">
        <v>63</v>
      </c>
      <c r="E345" s="45" t="s">
        <v>30</v>
      </c>
      <c r="F345" s="47">
        <f t="shared" si="212"/>
        <v>80000000</v>
      </c>
      <c r="G345" s="70">
        <f t="shared" si="212"/>
        <v>0</v>
      </c>
      <c r="H345" s="70">
        <f t="shared" si="212"/>
        <v>0</v>
      </c>
      <c r="I345" s="70">
        <f t="shared" si="201"/>
        <v>0</v>
      </c>
      <c r="J345" s="70">
        <f t="shared" si="213"/>
        <v>0</v>
      </c>
      <c r="K345" s="70">
        <f t="shared" si="213"/>
        <v>0</v>
      </c>
      <c r="L345" s="70">
        <f>+J345+K345</f>
        <v>0</v>
      </c>
      <c r="M345" s="70">
        <f t="shared" si="214"/>
        <v>0</v>
      </c>
      <c r="N345" s="47">
        <f t="shared" si="215"/>
        <v>80000000</v>
      </c>
      <c r="P345" s="192"/>
      <c r="S345" s="282"/>
      <c r="T345" s="282"/>
      <c r="U345" s="249"/>
    </row>
    <row r="346" spans="1:21" s="55" customFormat="1" ht="18" customHeight="1" x14ac:dyDescent="0.25">
      <c r="A346" s="50"/>
      <c r="B346" s="51"/>
      <c r="C346" s="51"/>
      <c r="D346" s="71" t="s">
        <v>275</v>
      </c>
      <c r="E346" s="51" t="s">
        <v>276</v>
      </c>
      <c r="F346" s="53">
        <f t="shared" si="212"/>
        <v>80000000</v>
      </c>
      <c r="G346" s="72">
        <f t="shared" si="212"/>
        <v>0</v>
      </c>
      <c r="H346" s="72">
        <f t="shared" si="212"/>
        <v>0</v>
      </c>
      <c r="I346" s="72">
        <f t="shared" si="201"/>
        <v>0</v>
      </c>
      <c r="J346" s="72">
        <f t="shared" si="213"/>
        <v>0</v>
      </c>
      <c r="K346" s="72">
        <f t="shared" si="213"/>
        <v>0</v>
      </c>
      <c r="L346" s="72">
        <f>+J346+K346</f>
        <v>0</v>
      </c>
      <c r="M346" s="72">
        <f t="shared" si="214"/>
        <v>0</v>
      </c>
      <c r="N346" s="53">
        <f t="shared" si="215"/>
        <v>80000000</v>
      </c>
      <c r="P346" s="195"/>
      <c r="S346" s="282"/>
      <c r="T346" s="282"/>
      <c r="U346" s="243"/>
    </row>
    <row r="347" spans="1:21" s="67" customFormat="1" ht="18" customHeight="1" x14ac:dyDescent="0.25">
      <c r="A347" s="90"/>
      <c r="B347" s="91"/>
      <c r="C347" s="90"/>
      <c r="D347" s="57" t="s">
        <v>114</v>
      </c>
      <c r="E347" s="57" t="s">
        <v>43</v>
      </c>
      <c r="F347" s="58">
        <f>F348</f>
        <v>80000000</v>
      </c>
      <c r="G347" s="59">
        <f>+G348</f>
        <v>0</v>
      </c>
      <c r="H347" s="59">
        <f>+H348</f>
        <v>0</v>
      </c>
      <c r="I347" s="59">
        <f t="shared" si="201"/>
        <v>0</v>
      </c>
      <c r="J347" s="59">
        <f t="shared" si="213"/>
        <v>0</v>
      </c>
      <c r="K347" s="59">
        <f t="shared" si="213"/>
        <v>0</v>
      </c>
      <c r="L347" s="59">
        <f>+J347+K347</f>
        <v>0</v>
      </c>
      <c r="M347" s="59">
        <f t="shared" si="214"/>
        <v>0</v>
      </c>
      <c r="N347" s="58">
        <f t="shared" si="215"/>
        <v>80000000</v>
      </c>
      <c r="P347" s="192"/>
      <c r="S347" s="282"/>
      <c r="T347" s="282"/>
      <c r="U347" s="249"/>
    </row>
    <row r="348" spans="1:21" s="49" customFormat="1" ht="20.25" customHeight="1" x14ac:dyDescent="0.25">
      <c r="A348" s="170"/>
      <c r="B348" s="86"/>
      <c r="C348" s="171"/>
      <c r="D348" s="162" t="s">
        <v>349</v>
      </c>
      <c r="E348" s="172" t="s">
        <v>350</v>
      </c>
      <c r="F348" s="173">
        <v>80000000</v>
      </c>
      <c r="G348" s="174"/>
      <c r="H348" s="174"/>
      <c r="I348" s="174"/>
      <c r="J348" s="163"/>
      <c r="K348" s="163"/>
      <c r="L348" s="163">
        <f t="shared" ref="L348" si="216">+J348+K348</f>
        <v>0</v>
      </c>
      <c r="M348" s="163">
        <f t="shared" si="214"/>
        <v>0</v>
      </c>
      <c r="N348" s="173">
        <f t="shared" si="215"/>
        <v>80000000</v>
      </c>
      <c r="P348" s="192"/>
      <c r="S348" s="282"/>
      <c r="T348" s="282"/>
      <c r="U348" s="242"/>
    </row>
    <row r="349" spans="1:21" s="134" customFormat="1" ht="18" customHeight="1" x14ac:dyDescent="0.25">
      <c r="A349" s="129"/>
      <c r="B349" s="131"/>
      <c r="C349" s="131"/>
      <c r="D349" s="131"/>
      <c r="E349" s="131"/>
      <c r="F349" s="132"/>
      <c r="G349" s="133"/>
      <c r="H349" s="133"/>
      <c r="I349" s="133"/>
      <c r="J349" s="133"/>
      <c r="K349" s="133"/>
      <c r="L349" s="133"/>
      <c r="M349" s="133"/>
      <c r="N349" s="132"/>
      <c r="P349" s="197"/>
      <c r="S349" s="286"/>
      <c r="T349" s="286"/>
      <c r="U349" s="247"/>
    </row>
    <row r="350" spans="1:21" s="137" customFormat="1" ht="18.75" customHeight="1" x14ac:dyDescent="0.25">
      <c r="A350" s="109"/>
      <c r="B350" s="110" t="s">
        <v>410</v>
      </c>
      <c r="C350" s="110"/>
      <c r="D350" s="110"/>
      <c r="E350" s="150" t="s">
        <v>411</v>
      </c>
      <c r="F350" s="135">
        <f>+F351+F357+F369+F375</f>
        <v>352609205400</v>
      </c>
      <c r="G350" s="113">
        <f>G351+G357+G369+G375</f>
        <v>6155127800</v>
      </c>
      <c r="H350" s="113">
        <f>+H351+H357+H369+H375</f>
        <v>6258106200</v>
      </c>
      <c r="I350" s="136">
        <f>+G350+H350</f>
        <v>12413234000</v>
      </c>
      <c r="J350" s="113">
        <f>J351+J357+J369+J375</f>
        <v>0</v>
      </c>
      <c r="K350" s="113">
        <f>+K352</f>
        <v>0</v>
      </c>
      <c r="L350" s="136">
        <f t="shared" ref="L350:L364" si="217">+J350+K350</f>
        <v>0</v>
      </c>
      <c r="M350" s="136">
        <f t="shared" ref="M350:M364" si="218">+I350+L350</f>
        <v>12413234000</v>
      </c>
      <c r="N350" s="135">
        <f t="shared" ref="N350:N355" si="219">+F350-M350</f>
        <v>340195971400</v>
      </c>
      <c r="P350" s="198"/>
      <c r="R350" s="138"/>
      <c r="S350" s="287"/>
      <c r="T350" s="287"/>
      <c r="U350" s="248"/>
    </row>
    <row r="351" spans="1:21" s="121" customFormat="1" ht="32.25" hidden="1" customHeight="1" x14ac:dyDescent="0.25">
      <c r="A351" s="154">
        <v>21</v>
      </c>
      <c r="B351" s="155"/>
      <c r="C351" s="155" t="s">
        <v>280</v>
      </c>
      <c r="D351" s="156"/>
      <c r="E351" s="164" t="s">
        <v>279</v>
      </c>
      <c r="F351" s="158">
        <f t="shared" ref="F351:H355" si="220">+F352</f>
        <v>0</v>
      </c>
      <c r="G351" s="159">
        <f t="shared" si="220"/>
        <v>0</v>
      </c>
      <c r="H351" s="159">
        <f>+H352</f>
        <v>0</v>
      </c>
      <c r="I351" s="159">
        <f>+G351+H351</f>
        <v>0</v>
      </c>
      <c r="J351" s="159">
        <f>+J352</f>
        <v>0</v>
      </c>
      <c r="K351" s="159">
        <f>+K352</f>
        <v>0</v>
      </c>
      <c r="L351" s="159">
        <f t="shared" si="217"/>
        <v>0</v>
      </c>
      <c r="M351" s="159">
        <f>+I351+L351</f>
        <v>0</v>
      </c>
      <c r="N351" s="158">
        <f>+F351-M351</f>
        <v>0</v>
      </c>
      <c r="P351" s="190"/>
      <c r="R351" s="122"/>
      <c r="S351" s="283"/>
      <c r="T351" s="283"/>
      <c r="U351" s="246"/>
    </row>
    <row r="352" spans="1:21" s="107" customFormat="1" ht="18" hidden="1" customHeight="1" x14ac:dyDescent="0.25">
      <c r="A352" s="101"/>
      <c r="B352" s="102"/>
      <c r="C352" s="102"/>
      <c r="D352" s="103" t="s">
        <v>207</v>
      </c>
      <c r="E352" s="104" t="s">
        <v>262</v>
      </c>
      <c r="F352" s="105">
        <f t="shared" si="220"/>
        <v>0</v>
      </c>
      <c r="G352" s="106">
        <f t="shared" si="220"/>
        <v>0</v>
      </c>
      <c r="H352" s="106">
        <f t="shared" si="220"/>
        <v>0</v>
      </c>
      <c r="I352" s="106">
        <f t="shared" ref="I352:I368" si="221">+G352+H352</f>
        <v>0</v>
      </c>
      <c r="J352" s="106">
        <f>+J353</f>
        <v>0</v>
      </c>
      <c r="K352" s="106">
        <f>+K353</f>
        <v>0</v>
      </c>
      <c r="L352" s="106">
        <f t="shared" si="217"/>
        <v>0</v>
      </c>
      <c r="M352" s="106">
        <f t="shared" si="218"/>
        <v>0</v>
      </c>
      <c r="N352" s="105">
        <f t="shared" si="219"/>
        <v>0</v>
      </c>
      <c r="P352" s="191"/>
      <c r="R352" s="108"/>
      <c r="S352" s="284"/>
      <c r="T352" s="284"/>
      <c r="U352" s="241"/>
    </row>
    <row r="353" spans="1:21" s="67" customFormat="1" ht="18" hidden="1" customHeight="1" x14ac:dyDescent="0.25">
      <c r="A353" s="88"/>
      <c r="B353" s="45"/>
      <c r="C353" s="45"/>
      <c r="D353" s="45" t="s">
        <v>281</v>
      </c>
      <c r="E353" s="45" t="s">
        <v>282</v>
      </c>
      <c r="F353" s="47">
        <f t="shared" si="220"/>
        <v>0</v>
      </c>
      <c r="G353" s="48">
        <f t="shared" si="220"/>
        <v>0</v>
      </c>
      <c r="H353" s="48">
        <f t="shared" si="220"/>
        <v>0</v>
      </c>
      <c r="I353" s="48">
        <f>+G353+H353</f>
        <v>0</v>
      </c>
      <c r="J353" s="48">
        <f>+J354+J363</f>
        <v>0</v>
      </c>
      <c r="K353" s="48">
        <f>+K354+K363</f>
        <v>0</v>
      </c>
      <c r="L353" s="48">
        <f t="shared" si="217"/>
        <v>0</v>
      </c>
      <c r="M353" s="48">
        <f>+I353+L353</f>
        <v>0</v>
      </c>
      <c r="N353" s="95">
        <f t="shared" si="219"/>
        <v>0</v>
      </c>
      <c r="P353" s="192"/>
      <c r="S353" s="282"/>
      <c r="T353" s="282"/>
      <c r="U353" s="249"/>
    </row>
    <row r="354" spans="1:21" s="55" customFormat="1" ht="18" hidden="1" customHeight="1" x14ac:dyDescent="0.25">
      <c r="A354" s="50"/>
      <c r="B354" s="51"/>
      <c r="C354" s="51"/>
      <c r="D354" s="51" t="s">
        <v>283</v>
      </c>
      <c r="E354" s="52" t="s">
        <v>284</v>
      </c>
      <c r="F354" s="53">
        <f t="shared" si="220"/>
        <v>0</v>
      </c>
      <c r="G354" s="54">
        <f t="shared" si="220"/>
        <v>0</v>
      </c>
      <c r="H354" s="54">
        <f t="shared" si="220"/>
        <v>0</v>
      </c>
      <c r="I354" s="54">
        <f t="shared" si="221"/>
        <v>0</v>
      </c>
      <c r="J354" s="54">
        <f>+J355</f>
        <v>0</v>
      </c>
      <c r="K354" s="54">
        <f>+K355</f>
        <v>0</v>
      </c>
      <c r="L354" s="54">
        <f t="shared" si="217"/>
        <v>0</v>
      </c>
      <c r="M354" s="54">
        <f t="shared" si="218"/>
        <v>0</v>
      </c>
      <c r="N354" s="53">
        <f t="shared" si="219"/>
        <v>0</v>
      </c>
      <c r="P354" s="195"/>
      <c r="S354" s="282"/>
      <c r="T354" s="282"/>
      <c r="U354" s="243"/>
    </row>
    <row r="355" spans="1:21" s="49" customFormat="1" ht="31.5" hidden="1" customHeight="1" x14ac:dyDescent="0.25">
      <c r="A355" s="56"/>
      <c r="B355" s="57"/>
      <c r="C355" s="57"/>
      <c r="D355" s="57" t="s">
        <v>412</v>
      </c>
      <c r="E355" s="96" t="s">
        <v>413</v>
      </c>
      <c r="F355" s="58">
        <f t="shared" si="220"/>
        <v>0</v>
      </c>
      <c r="G355" s="59">
        <f t="shared" si="220"/>
        <v>0</v>
      </c>
      <c r="H355" s="59">
        <f t="shared" si="220"/>
        <v>0</v>
      </c>
      <c r="I355" s="59">
        <f t="shared" si="221"/>
        <v>0</v>
      </c>
      <c r="J355" s="59">
        <f>+J356</f>
        <v>0</v>
      </c>
      <c r="K355" s="59">
        <f>+K356</f>
        <v>0</v>
      </c>
      <c r="L355" s="59">
        <f t="shared" si="217"/>
        <v>0</v>
      </c>
      <c r="M355" s="59">
        <f t="shared" si="218"/>
        <v>0</v>
      </c>
      <c r="N355" s="58">
        <f t="shared" si="219"/>
        <v>0</v>
      </c>
      <c r="P355" s="192"/>
      <c r="S355" s="282"/>
      <c r="T355" s="282"/>
      <c r="U355" s="242"/>
    </row>
    <row r="356" spans="1:21" s="153" customFormat="1" ht="33.75" hidden="1" customHeight="1" x14ac:dyDescent="0.25">
      <c r="A356" s="123"/>
      <c r="B356" s="124"/>
      <c r="C356" s="124"/>
      <c r="D356" s="124" t="s">
        <v>414</v>
      </c>
      <c r="E356" s="139" t="s">
        <v>413</v>
      </c>
      <c r="F356" s="125"/>
      <c r="G356" s="126"/>
      <c r="H356" s="126"/>
      <c r="I356" s="126">
        <f t="shared" si="221"/>
        <v>0</v>
      </c>
      <c r="J356" s="140"/>
      <c r="K356" s="126"/>
      <c r="L356" s="126">
        <f t="shared" si="217"/>
        <v>0</v>
      </c>
      <c r="M356" s="126">
        <f t="shared" si="218"/>
        <v>0</v>
      </c>
      <c r="N356" s="125">
        <f>+F356-M356</f>
        <v>0</v>
      </c>
      <c r="P356" s="200"/>
      <c r="S356" s="286"/>
      <c r="T356" s="286"/>
      <c r="U356" s="254"/>
    </row>
    <row r="357" spans="1:21" s="121" customFormat="1" ht="18" customHeight="1" x14ac:dyDescent="0.25">
      <c r="A357" s="116">
        <v>21</v>
      </c>
      <c r="B357" s="117"/>
      <c r="C357" s="117" t="s">
        <v>285</v>
      </c>
      <c r="D357" s="118"/>
      <c r="E357" s="128" t="s">
        <v>286</v>
      </c>
      <c r="F357" s="119">
        <f>+F358</f>
        <v>325031788200</v>
      </c>
      <c r="G357" s="120">
        <f t="shared" ref="G357:H358" si="222">+G358</f>
        <v>6155127800</v>
      </c>
      <c r="H357" s="120">
        <f>+H358</f>
        <v>6258106200</v>
      </c>
      <c r="I357" s="120">
        <f t="shared" si="221"/>
        <v>12413234000</v>
      </c>
      <c r="J357" s="120">
        <f t="shared" ref="J357:K358" si="223">+J358</f>
        <v>0</v>
      </c>
      <c r="K357" s="120">
        <f t="shared" si="223"/>
        <v>0</v>
      </c>
      <c r="L357" s="120">
        <f t="shared" si="217"/>
        <v>0</v>
      </c>
      <c r="M357" s="120">
        <f>+I357+L357</f>
        <v>12413234000</v>
      </c>
      <c r="N357" s="119">
        <f>+F357-M357</f>
        <v>312618554200</v>
      </c>
      <c r="P357" s="190"/>
      <c r="R357" s="122"/>
      <c r="S357" s="283"/>
      <c r="T357" s="283"/>
      <c r="U357" s="246"/>
    </row>
    <row r="358" spans="1:21" s="107" customFormat="1" ht="18" customHeight="1" x14ac:dyDescent="0.25">
      <c r="A358" s="101"/>
      <c r="B358" s="102"/>
      <c r="C358" s="102"/>
      <c r="D358" s="103" t="s">
        <v>287</v>
      </c>
      <c r="E358" s="104" t="s">
        <v>288</v>
      </c>
      <c r="F358" s="105">
        <f>+F359</f>
        <v>325031788200</v>
      </c>
      <c r="G358" s="106">
        <f t="shared" si="222"/>
        <v>6155127800</v>
      </c>
      <c r="H358" s="106">
        <f t="shared" si="222"/>
        <v>6258106200</v>
      </c>
      <c r="I358" s="106">
        <f t="shared" si="221"/>
        <v>12413234000</v>
      </c>
      <c r="J358" s="106">
        <f t="shared" si="223"/>
        <v>0</v>
      </c>
      <c r="K358" s="106">
        <f t="shared" si="223"/>
        <v>0</v>
      </c>
      <c r="L358" s="106">
        <f t="shared" si="217"/>
        <v>0</v>
      </c>
      <c r="M358" s="106">
        <f t="shared" ref="M358" si="224">+I358+L358</f>
        <v>12413234000</v>
      </c>
      <c r="N358" s="105">
        <f t="shared" ref="N358:N366" si="225">+F358-M358</f>
        <v>312618554200</v>
      </c>
      <c r="P358" s="191"/>
      <c r="R358" s="108"/>
      <c r="S358" s="284"/>
      <c r="T358" s="284"/>
      <c r="U358" s="241"/>
    </row>
    <row r="359" spans="1:21" s="67" customFormat="1" ht="18" customHeight="1" x14ac:dyDescent="0.25">
      <c r="A359" s="88"/>
      <c r="B359" s="45"/>
      <c r="C359" s="45"/>
      <c r="D359" s="45" t="s">
        <v>289</v>
      </c>
      <c r="E359" s="45" t="s">
        <v>290</v>
      </c>
      <c r="F359" s="47">
        <f>+F363+F360</f>
        <v>325031788200</v>
      </c>
      <c r="G359" s="48">
        <f>+G363+G360</f>
        <v>6155127800</v>
      </c>
      <c r="H359" s="48">
        <f>+H363+H360</f>
        <v>6258106200</v>
      </c>
      <c r="I359" s="48">
        <f t="shared" si="221"/>
        <v>12413234000</v>
      </c>
      <c r="J359" s="48">
        <f>+J363+J360</f>
        <v>0</v>
      </c>
      <c r="K359" s="48">
        <f>+K363+K360</f>
        <v>0</v>
      </c>
      <c r="L359" s="48">
        <f>+J359+K359</f>
        <v>0</v>
      </c>
      <c r="M359" s="48">
        <f>+I359+L359</f>
        <v>12413234000</v>
      </c>
      <c r="N359" s="95">
        <f t="shared" si="225"/>
        <v>312618554200</v>
      </c>
      <c r="P359" s="192"/>
      <c r="S359" s="282"/>
      <c r="T359" s="282"/>
      <c r="U359" s="249"/>
    </row>
    <row r="360" spans="1:21" s="55" customFormat="1" ht="18" customHeight="1" x14ac:dyDescent="0.25">
      <c r="A360" s="176"/>
      <c r="B360" s="177"/>
      <c r="C360" s="177"/>
      <c r="D360" s="177" t="s">
        <v>291</v>
      </c>
      <c r="E360" s="178" t="s">
        <v>292</v>
      </c>
      <c r="F360" s="179">
        <f t="shared" ref="F360:H361" si="226">+F361</f>
        <v>540000000</v>
      </c>
      <c r="G360" s="180">
        <f t="shared" si="226"/>
        <v>0</v>
      </c>
      <c r="H360" s="180">
        <f t="shared" si="226"/>
        <v>0</v>
      </c>
      <c r="I360" s="180">
        <f t="shared" si="221"/>
        <v>0</v>
      </c>
      <c r="J360" s="180">
        <f>+J361</f>
        <v>0</v>
      </c>
      <c r="K360" s="180">
        <f>+K361</f>
        <v>0</v>
      </c>
      <c r="L360" s="180">
        <f>+J360+K360</f>
        <v>0</v>
      </c>
      <c r="M360" s="180">
        <f>+I360+L360</f>
        <v>0</v>
      </c>
      <c r="N360" s="179">
        <f t="shared" si="225"/>
        <v>540000000</v>
      </c>
      <c r="P360" s="195"/>
      <c r="S360" s="282"/>
      <c r="T360" s="282"/>
      <c r="U360" s="243"/>
    </row>
    <row r="361" spans="1:21" s="49" customFormat="1" ht="32.25" customHeight="1" x14ac:dyDescent="0.25">
      <c r="A361" s="181"/>
      <c r="B361" s="182"/>
      <c r="C361" s="182"/>
      <c r="D361" s="182" t="s">
        <v>293</v>
      </c>
      <c r="E361" s="183" t="s">
        <v>295</v>
      </c>
      <c r="F361" s="184">
        <f t="shared" si="226"/>
        <v>540000000</v>
      </c>
      <c r="G361" s="185">
        <f t="shared" si="226"/>
        <v>0</v>
      </c>
      <c r="H361" s="185">
        <f t="shared" si="226"/>
        <v>0</v>
      </c>
      <c r="I361" s="185">
        <f t="shared" si="221"/>
        <v>0</v>
      </c>
      <c r="J361" s="185">
        <f>+J362</f>
        <v>0</v>
      </c>
      <c r="K361" s="185">
        <f>+K362</f>
        <v>0</v>
      </c>
      <c r="L361" s="185">
        <f>+J361+K361</f>
        <v>0</v>
      </c>
      <c r="M361" s="185">
        <f>+I361+L361</f>
        <v>0</v>
      </c>
      <c r="N361" s="184">
        <f t="shared" si="225"/>
        <v>540000000</v>
      </c>
      <c r="P361" s="192"/>
      <c r="S361" s="282"/>
      <c r="T361" s="282"/>
      <c r="U361" s="242"/>
    </row>
    <row r="362" spans="1:21" s="65" customFormat="1" ht="29.25" customHeight="1" x14ac:dyDescent="0.25">
      <c r="A362" s="171"/>
      <c r="B362" s="162"/>
      <c r="C362" s="162"/>
      <c r="D362" s="162" t="s">
        <v>294</v>
      </c>
      <c r="E362" s="172" t="s">
        <v>295</v>
      </c>
      <c r="F362" s="173">
        <v>540000000</v>
      </c>
      <c r="G362" s="186"/>
      <c r="H362" s="186"/>
      <c r="I362" s="186">
        <f t="shared" si="221"/>
        <v>0</v>
      </c>
      <c r="J362" s="163"/>
      <c r="K362" s="186"/>
      <c r="L362" s="186">
        <f>+J362+K362</f>
        <v>0</v>
      </c>
      <c r="M362" s="186">
        <f>+I362+L362</f>
        <v>0</v>
      </c>
      <c r="N362" s="187">
        <f t="shared" si="225"/>
        <v>540000000</v>
      </c>
      <c r="P362" s="194"/>
      <c r="S362" s="282"/>
      <c r="T362" s="282"/>
      <c r="U362" s="244"/>
    </row>
    <row r="363" spans="1:21" s="55" customFormat="1" ht="18" customHeight="1" x14ac:dyDescent="0.25">
      <c r="A363" s="50"/>
      <c r="B363" s="51"/>
      <c r="C363" s="51"/>
      <c r="D363" s="51" t="s">
        <v>296</v>
      </c>
      <c r="E363" s="52" t="s">
        <v>298</v>
      </c>
      <c r="F363" s="53">
        <f>+F364+F366</f>
        <v>324491788200</v>
      </c>
      <c r="G363" s="54">
        <f>+G364+G366</f>
        <v>6155127800</v>
      </c>
      <c r="H363" s="54">
        <f>+H364+H366</f>
        <v>6258106200</v>
      </c>
      <c r="I363" s="54">
        <f t="shared" si="221"/>
        <v>12413234000</v>
      </c>
      <c r="J363" s="54">
        <f>+J364+J366</f>
        <v>0</v>
      </c>
      <c r="K363" s="54">
        <f>+K364+K366</f>
        <v>0</v>
      </c>
      <c r="L363" s="54">
        <f t="shared" si="217"/>
        <v>0</v>
      </c>
      <c r="M363" s="54">
        <f t="shared" si="218"/>
        <v>12413234000</v>
      </c>
      <c r="N363" s="53">
        <f t="shared" si="225"/>
        <v>312078554200</v>
      </c>
      <c r="P363" s="195"/>
      <c r="S363" s="282"/>
      <c r="T363" s="282"/>
      <c r="U363" s="243"/>
    </row>
    <row r="364" spans="1:21" s="49" customFormat="1" ht="32.25" customHeight="1" x14ac:dyDescent="0.25">
      <c r="A364" s="56"/>
      <c r="B364" s="57"/>
      <c r="C364" s="57"/>
      <c r="D364" s="57" t="s">
        <v>297</v>
      </c>
      <c r="E364" s="96" t="s">
        <v>300</v>
      </c>
      <c r="F364" s="58">
        <f>F365</f>
        <v>268985638200</v>
      </c>
      <c r="G364" s="59">
        <f>+G365</f>
        <v>6155127800</v>
      </c>
      <c r="H364" s="59">
        <f>+H365</f>
        <v>6258106200</v>
      </c>
      <c r="I364" s="60">
        <f t="shared" si="221"/>
        <v>12413234000</v>
      </c>
      <c r="J364" s="59">
        <f>+J365</f>
        <v>0</v>
      </c>
      <c r="K364" s="59">
        <f>+K365</f>
        <v>0</v>
      </c>
      <c r="L364" s="60">
        <f t="shared" si="217"/>
        <v>0</v>
      </c>
      <c r="M364" s="59">
        <f t="shared" si="218"/>
        <v>12413234000</v>
      </c>
      <c r="N364" s="58">
        <f t="shared" si="225"/>
        <v>256572404200</v>
      </c>
      <c r="P364" s="192"/>
      <c r="S364" s="282"/>
      <c r="T364" s="282"/>
      <c r="U364" s="242"/>
    </row>
    <row r="365" spans="1:21" s="65" customFormat="1" ht="29.25" customHeight="1" x14ac:dyDescent="0.25">
      <c r="A365" s="61"/>
      <c r="B365" s="62"/>
      <c r="C365" s="62"/>
      <c r="D365" s="62" t="s">
        <v>299</v>
      </c>
      <c r="E365" s="76" t="s">
        <v>300</v>
      </c>
      <c r="F365" s="63">
        <v>268985638200</v>
      </c>
      <c r="G365" s="64">
        <v>6155127800</v>
      </c>
      <c r="H365" s="64">
        <v>6258106200</v>
      </c>
      <c r="I365" s="64">
        <f t="shared" si="221"/>
        <v>12413234000</v>
      </c>
      <c r="J365" s="75"/>
      <c r="K365" s="64"/>
      <c r="L365" s="64">
        <f>J365+K365</f>
        <v>0</v>
      </c>
      <c r="M365" s="64">
        <f>+I365+L365</f>
        <v>12413234000</v>
      </c>
      <c r="N365" s="97">
        <f t="shared" si="225"/>
        <v>256572404200</v>
      </c>
      <c r="P365" s="194"/>
      <c r="S365" s="280"/>
      <c r="T365" s="445">
        <v>6258106200</v>
      </c>
      <c r="U365" s="244"/>
    </row>
    <row r="366" spans="1:21" s="49" customFormat="1" ht="32.25" customHeight="1" x14ac:dyDescent="0.25">
      <c r="A366" s="56"/>
      <c r="B366" s="57"/>
      <c r="C366" s="57"/>
      <c r="D366" s="57" t="s">
        <v>301</v>
      </c>
      <c r="E366" s="96" t="s">
        <v>303</v>
      </c>
      <c r="F366" s="58">
        <f>F367+F368</f>
        <v>55506150000</v>
      </c>
      <c r="G366" s="59">
        <f>+G367</f>
        <v>0</v>
      </c>
      <c r="H366" s="60">
        <f>+H367</f>
        <v>0</v>
      </c>
      <c r="I366" s="60">
        <f>+G366+H366</f>
        <v>0</v>
      </c>
      <c r="J366" s="59">
        <f>+J367</f>
        <v>0</v>
      </c>
      <c r="K366" s="59">
        <f>+K367</f>
        <v>0</v>
      </c>
      <c r="L366" s="59">
        <f>+J366+K366</f>
        <v>0</v>
      </c>
      <c r="M366" s="59">
        <f t="shared" ref="M366" si="227">+I366+L366</f>
        <v>0</v>
      </c>
      <c r="N366" s="58">
        <f t="shared" si="225"/>
        <v>55506150000</v>
      </c>
      <c r="P366" s="192"/>
      <c r="S366" s="280"/>
      <c r="T366" s="280"/>
      <c r="U366" s="242"/>
    </row>
    <row r="367" spans="1:21" s="127" customFormat="1" ht="29.25" customHeight="1" x14ac:dyDescent="0.25">
      <c r="A367" s="123"/>
      <c r="B367" s="124"/>
      <c r="C367" s="124"/>
      <c r="D367" s="124" t="s">
        <v>480</v>
      </c>
      <c r="E367" s="139" t="s">
        <v>481</v>
      </c>
      <c r="F367" s="125">
        <v>70000000</v>
      </c>
      <c r="G367" s="126"/>
      <c r="H367" s="126"/>
      <c r="I367" s="126">
        <f t="shared" si="221"/>
        <v>0</v>
      </c>
      <c r="J367" s="140"/>
      <c r="K367" s="126"/>
      <c r="L367" s="126">
        <f>J367+K367</f>
        <v>0</v>
      </c>
      <c r="M367" s="126">
        <f>+I367+L367</f>
        <v>0</v>
      </c>
      <c r="N367" s="97">
        <f>+F367-M367</f>
        <v>70000000</v>
      </c>
      <c r="P367" s="196"/>
      <c r="S367" s="288"/>
      <c r="T367" s="288"/>
      <c r="U367" s="245"/>
    </row>
    <row r="368" spans="1:21" s="127" customFormat="1" ht="29.25" customHeight="1" x14ac:dyDescent="0.25">
      <c r="A368" s="123"/>
      <c r="B368" s="124"/>
      <c r="C368" s="124"/>
      <c r="D368" s="124" t="s">
        <v>482</v>
      </c>
      <c r="E368" s="139" t="s">
        <v>483</v>
      </c>
      <c r="F368" s="125">
        <v>55436150000</v>
      </c>
      <c r="G368" s="126"/>
      <c r="H368" s="126"/>
      <c r="I368" s="126">
        <f t="shared" si="221"/>
        <v>0</v>
      </c>
      <c r="J368" s="140"/>
      <c r="K368" s="126"/>
      <c r="L368" s="126">
        <f>J368+K368</f>
        <v>0</v>
      </c>
      <c r="M368" s="126">
        <f>+I368+L368</f>
        <v>0</v>
      </c>
      <c r="N368" s="97">
        <f>+F368-M368</f>
        <v>55436150000</v>
      </c>
      <c r="P368" s="196"/>
      <c r="S368" s="288"/>
      <c r="T368" s="288"/>
      <c r="U368" s="245"/>
    </row>
    <row r="369" spans="1:21" s="121" customFormat="1" ht="18" customHeight="1" x14ac:dyDescent="0.25">
      <c r="A369" s="116">
        <v>22</v>
      </c>
      <c r="B369" s="117"/>
      <c r="C369" s="117" t="s">
        <v>304</v>
      </c>
      <c r="D369" s="118"/>
      <c r="E369" s="128" t="s">
        <v>305</v>
      </c>
      <c r="F369" s="119">
        <f t="shared" ref="F369:H372" si="228">+F370</f>
        <v>8000000000</v>
      </c>
      <c r="G369" s="120">
        <f t="shared" si="228"/>
        <v>0</v>
      </c>
      <c r="H369" s="120">
        <f t="shared" si="228"/>
        <v>0</v>
      </c>
      <c r="I369" s="120">
        <f>+G369+H369</f>
        <v>0</v>
      </c>
      <c r="J369" s="120">
        <f t="shared" ref="J369:K373" si="229">+J370</f>
        <v>0</v>
      </c>
      <c r="K369" s="120">
        <f t="shared" si="229"/>
        <v>0</v>
      </c>
      <c r="L369" s="120">
        <f>+J369+K369</f>
        <v>0</v>
      </c>
      <c r="M369" s="120">
        <f>+I369+L369</f>
        <v>0</v>
      </c>
      <c r="N369" s="119">
        <f>+F369-M369</f>
        <v>8000000000</v>
      </c>
      <c r="P369" s="190"/>
      <c r="R369" s="122"/>
      <c r="S369" s="289"/>
      <c r="T369" s="289"/>
      <c r="U369" s="246"/>
    </row>
    <row r="370" spans="1:21" s="107" customFormat="1" ht="18" customHeight="1" x14ac:dyDescent="0.25">
      <c r="A370" s="101"/>
      <c r="B370" s="102"/>
      <c r="C370" s="102"/>
      <c r="D370" s="103" t="s">
        <v>306</v>
      </c>
      <c r="E370" s="104" t="s">
        <v>307</v>
      </c>
      <c r="F370" s="105">
        <f t="shared" si="228"/>
        <v>8000000000</v>
      </c>
      <c r="G370" s="106">
        <f t="shared" si="228"/>
        <v>0</v>
      </c>
      <c r="H370" s="106">
        <f t="shared" si="228"/>
        <v>0</v>
      </c>
      <c r="I370" s="106">
        <f>+G370+H370</f>
        <v>0</v>
      </c>
      <c r="J370" s="106">
        <f t="shared" si="229"/>
        <v>0</v>
      </c>
      <c r="K370" s="106">
        <f t="shared" si="229"/>
        <v>0</v>
      </c>
      <c r="L370" s="106">
        <f>+J370+K370</f>
        <v>0</v>
      </c>
      <c r="M370" s="106">
        <f t="shared" ref="M370:M373" si="230">+I370+L370</f>
        <v>0</v>
      </c>
      <c r="N370" s="105">
        <f t="shared" ref="N370:N373" si="231">+F370-M370</f>
        <v>8000000000</v>
      </c>
      <c r="P370" s="191"/>
      <c r="R370" s="108"/>
      <c r="S370" s="278"/>
      <c r="T370" s="278"/>
      <c r="U370" s="241"/>
    </row>
    <row r="371" spans="1:21" s="67" customFormat="1" ht="18" customHeight="1" x14ac:dyDescent="0.25">
      <c r="A371" s="88"/>
      <c r="B371" s="45"/>
      <c r="C371" s="45"/>
      <c r="D371" s="45" t="s">
        <v>308</v>
      </c>
      <c r="E371" s="45" t="s">
        <v>307</v>
      </c>
      <c r="F371" s="47">
        <f t="shared" si="228"/>
        <v>8000000000</v>
      </c>
      <c r="G371" s="48">
        <f t="shared" si="228"/>
        <v>0</v>
      </c>
      <c r="H371" s="48">
        <f t="shared" si="228"/>
        <v>0</v>
      </c>
      <c r="I371" s="48">
        <f>+G371+H371</f>
        <v>0</v>
      </c>
      <c r="J371" s="48">
        <f t="shared" si="229"/>
        <v>0</v>
      </c>
      <c r="K371" s="48">
        <f t="shared" si="229"/>
        <v>0</v>
      </c>
      <c r="L371" s="48">
        <f>+J371+K371</f>
        <v>0</v>
      </c>
      <c r="M371" s="48">
        <f t="shared" si="230"/>
        <v>0</v>
      </c>
      <c r="N371" s="95">
        <f t="shared" si="231"/>
        <v>8000000000</v>
      </c>
      <c r="P371" s="192"/>
      <c r="S371" s="290"/>
      <c r="T371" s="290"/>
      <c r="U371" s="249"/>
    </row>
    <row r="372" spans="1:21" s="55" customFormat="1" ht="18" customHeight="1" x14ac:dyDescent="0.25">
      <c r="A372" s="50"/>
      <c r="B372" s="51"/>
      <c r="C372" s="51"/>
      <c r="D372" s="51" t="s">
        <v>309</v>
      </c>
      <c r="E372" s="52" t="s">
        <v>307</v>
      </c>
      <c r="F372" s="53">
        <f t="shared" si="228"/>
        <v>8000000000</v>
      </c>
      <c r="G372" s="54">
        <f t="shared" si="228"/>
        <v>0</v>
      </c>
      <c r="H372" s="54">
        <f t="shared" si="228"/>
        <v>0</v>
      </c>
      <c r="I372" s="54">
        <f>+G372+H372</f>
        <v>0</v>
      </c>
      <c r="J372" s="54">
        <f t="shared" si="229"/>
        <v>0</v>
      </c>
      <c r="K372" s="54">
        <f t="shared" si="229"/>
        <v>0</v>
      </c>
      <c r="L372" s="54">
        <f>+J372+K372</f>
        <v>0</v>
      </c>
      <c r="M372" s="54">
        <f t="shared" si="230"/>
        <v>0</v>
      </c>
      <c r="N372" s="53">
        <f t="shared" si="231"/>
        <v>8000000000</v>
      </c>
      <c r="P372" s="195"/>
      <c r="S372" s="279"/>
      <c r="T372" s="279"/>
      <c r="U372" s="243"/>
    </row>
    <row r="373" spans="1:21" s="49" customFormat="1" ht="17.25" customHeight="1" x14ac:dyDescent="0.25">
      <c r="A373" s="56"/>
      <c r="B373" s="57"/>
      <c r="C373" s="57"/>
      <c r="D373" s="57" t="s">
        <v>310</v>
      </c>
      <c r="E373" s="96" t="s">
        <v>307</v>
      </c>
      <c r="F373" s="58">
        <f>F374</f>
        <v>8000000000</v>
      </c>
      <c r="G373" s="59">
        <f>+G374</f>
        <v>0</v>
      </c>
      <c r="H373" s="59">
        <f>+H374</f>
        <v>0</v>
      </c>
      <c r="I373" s="60">
        <f>+G373+H373</f>
        <v>0</v>
      </c>
      <c r="J373" s="59">
        <f t="shared" si="229"/>
        <v>0</v>
      </c>
      <c r="K373" s="59">
        <f t="shared" si="229"/>
        <v>0</v>
      </c>
      <c r="L373" s="60">
        <f>+J373+K373</f>
        <v>0</v>
      </c>
      <c r="M373" s="59">
        <f t="shared" si="230"/>
        <v>0</v>
      </c>
      <c r="N373" s="58">
        <f t="shared" si="231"/>
        <v>8000000000</v>
      </c>
      <c r="P373" s="192"/>
      <c r="S373" s="280"/>
      <c r="T373" s="280"/>
      <c r="U373" s="242"/>
    </row>
    <row r="374" spans="1:21" s="127" customFormat="1" ht="20.25" customHeight="1" x14ac:dyDescent="0.25">
      <c r="A374" s="123"/>
      <c r="B374" s="124"/>
      <c r="C374" s="124"/>
      <c r="D374" s="124" t="s">
        <v>311</v>
      </c>
      <c r="E374" s="139" t="s">
        <v>307</v>
      </c>
      <c r="F374" s="125">
        <v>8000000000</v>
      </c>
      <c r="G374" s="126"/>
      <c r="H374" s="126"/>
      <c r="I374" s="126">
        <f t="shared" ref="I374:I383" si="232">+G374+H374</f>
        <v>0</v>
      </c>
      <c r="J374" s="140"/>
      <c r="K374" s="126"/>
      <c r="L374" s="126">
        <f>J374+K374</f>
        <v>0</v>
      </c>
      <c r="M374" s="126">
        <f>+I374+L374</f>
        <v>0</v>
      </c>
      <c r="N374" s="97">
        <f>+F374-M374</f>
        <v>8000000000</v>
      </c>
      <c r="P374" s="196"/>
      <c r="S374" s="288"/>
      <c r="T374" s="288"/>
      <c r="U374" s="245"/>
    </row>
    <row r="375" spans="1:21" s="121" customFormat="1" ht="18" customHeight="1" x14ac:dyDescent="0.25">
      <c r="A375" s="116">
        <v>23</v>
      </c>
      <c r="B375" s="117"/>
      <c r="C375" s="117" t="s">
        <v>320</v>
      </c>
      <c r="D375" s="118"/>
      <c r="E375" s="128" t="s">
        <v>312</v>
      </c>
      <c r="F375" s="119">
        <f t="shared" ref="F375:H376" si="233">+F376</f>
        <v>19577417200</v>
      </c>
      <c r="G375" s="120">
        <f t="shared" si="233"/>
        <v>0</v>
      </c>
      <c r="H375" s="120">
        <f t="shared" si="233"/>
        <v>0</v>
      </c>
      <c r="I375" s="120">
        <f t="shared" si="232"/>
        <v>0</v>
      </c>
      <c r="J375" s="120">
        <f>+J376</f>
        <v>0</v>
      </c>
      <c r="K375" s="120">
        <f>+K376</f>
        <v>0</v>
      </c>
      <c r="L375" s="120">
        <f>+J375+K375</f>
        <v>0</v>
      </c>
      <c r="M375" s="120">
        <f>+I375+L375</f>
        <v>0</v>
      </c>
      <c r="N375" s="119">
        <f>+F375-M375</f>
        <v>19577417200</v>
      </c>
      <c r="P375" s="190"/>
      <c r="R375" s="122"/>
      <c r="S375" s="289"/>
      <c r="T375" s="289"/>
      <c r="U375" s="246"/>
    </row>
    <row r="376" spans="1:21" s="107" customFormat="1" ht="18" customHeight="1" x14ac:dyDescent="0.25">
      <c r="A376" s="101"/>
      <c r="B376" s="102"/>
      <c r="C376" s="102"/>
      <c r="D376" s="103" t="s">
        <v>287</v>
      </c>
      <c r="E376" s="104" t="s">
        <v>288</v>
      </c>
      <c r="F376" s="105">
        <f t="shared" si="233"/>
        <v>19577417200</v>
      </c>
      <c r="G376" s="106">
        <f t="shared" si="233"/>
        <v>0</v>
      </c>
      <c r="H376" s="106">
        <f t="shared" si="233"/>
        <v>0</v>
      </c>
      <c r="I376" s="106">
        <f t="shared" si="232"/>
        <v>0</v>
      </c>
      <c r="J376" s="106">
        <f>+J377</f>
        <v>0</v>
      </c>
      <c r="K376" s="106">
        <f>+K377</f>
        <v>0</v>
      </c>
      <c r="L376" s="106">
        <f>+J376+K376</f>
        <v>0</v>
      </c>
      <c r="M376" s="106">
        <f t="shared" ref="M376:M379" si="234">+I376+L376</f>
        <v>0</v>
      </c>
      <c r="N376" s="105">
        <f t="shared" ref="N376:N379" si="235">+F376-M376</f>
        <v>19577417200</v>
      </c>
      <c r="P376" s="191"/>
      <c r="R376" s="108"/>
      <c r="S376" s="278"/>
      <c r="T376" s="278"/>
      <c r="U376" s="241"/>
    </row>
    <row r="377" spans="1:21" s="67" customFormat="1" ht="18" customHeight="1" x14ac:dyDescent="0.25">
      <c r="A377" s="88"/>
      <c r="B377" s="45"/>
      <c r="C377" s="45"/>
      <c r="D377" s="45" t="s">
        <v>313</v>
      </c>
      <c r="E377" s="45" t="s">
        <v>415</v>
      </c>
      <c r="F377" s="47">
        <f>+F378+F381</f>
        <v>19577417200</v>
      </c>
      <c r="G377" s="48">
        <f>+G378+G381</f>
        <v>0</v>
      </c>
      <c r="H377" s="48">
        <f>+H378+H381</f>
        <v>0</v>
      </c>
      <c r="I377" s="48">
        <f t="shared" si="232"/>
        <v>0</v>
      </c>
      <c r="J377" s="48">
        <f>+J378+J381</f>
        <v>0</v>
      </c>
      <c r="K377" s="48">
        <f>+K378+K381</f>
        <v>0</v>
      </c>
      <c r="L377" s="48">
        <f>+J377+K377</f>
        <v>0</v>
      </c>
      <c r="M377" s="48">
        <f t="shared" si="234"/>
        <v>0</v>
      </c>
      <c r="N377" s="95">
        <f t="shared" si="235"/>
        <v>19577417200</v>
      </c>
      <c r="P377" s="192"/>
      <c r="S377" s="290"/>
      <c r="T377" s="290"/>
      <c r="U377" s="249"/>
    </row>
    <row r="378" spans="1:21" s="55" customFormat="1" ht="31.5" customHeight="1" x14ac:dyDescent="0.25">
      <c r="A378" s="50"/>
      <c r="B378" s="51"/>
      <c r="C378" s="51"/>
      <c r="D378" s="51" t="s">
        <v>314</v>
      </c>
      <c r="E378" s="98" t="s">
        <v>416</v>
      </c>
      <c r="F378" s="53">
        <f>+F379</f>
        <v>18835000000</v>
      </c>
      <c r="G378" s="54">
        <f>+G379</f>
        <v>0</v>
      </c>
      <c r="H378" s="54">
        <f>+H379</f>
        <v>0</v>
      </c>
      <c r="I378" s="54">
        <f t="shared" si="232"/>
        <v>0</v>
      </c>
      <c r="J378" s="54">
        <f>+J379</f>
        <v>0</v>
      </c>
      <c r="K378" s="54">
        <f>+K379</f>
        <v>0</v>
      </c>
      <c r="L378" s="54">
        <f>+J378+K378</f>
        <v>0</v>
      </c>
      <c r="M378" s="54">
        <f t="shared" si="234"/>
        <v>0</v>
      </c>
      <c r="N378" s="53">
        <f t="shared" si="235"/>
        <v>18835000000</v>
      </c>
      <c r="P378" s="195"/>
      <c r="S378" s="279"/>
      <c r="T378" s="279"/>
      <c r="U378" s="243"/>
    </row>
    <row r="379" spans="1:21" s="49" customFormat="1" ht="17.25" customHeight="1" x14ac:dyDescent="0.25">
      <c r="A379" s="56"/>
      <c r="B379" s="57"/>
      <c r="C379" s="57"/>
      <c r="D379" s="57" t="s">
        <v>315</v>
      </c>
      <c r="E379" s="96" t="s">
        <v>417</v>
      </c>
      <c r="F379" s="58">
        <f>F380</f>
        <v>18835000000</v>
      </c>
      <c r="G379" s="59">
        <f>+G380</f>
        <v>0</v>
      </c>
      <c r="H379" s="59">
        <f>+H380</f>
        <v>0</v>
      </c>
      <c r="I379" s="60">
        <f t="shared" si="232"/>
        <v>0</v>
      </c>
      <c r="J379" s="59">
        <f>+J380</f>
        <v>0</v>
      </c>
      <c r="K379" s="59">
        <f>+K380</f>
        <v>0</v>
      </c>
      <c r="L379" s="60">
        <f>+J379+K379</f>
        <v>0</v>
      </c>
      <c r="M379" s="59">
        <f t="shared" si="234"/>
        <v>0</v>
      </c>
      <c r="N379" s="58">
        <f t="shared" si="235"/>
        <v>18835000000</v>
      </c>
      <c r="P379" s="192"/>
      <c r="S379" s="280"/>
      <c r="T379" s="280"/>
      <c r="U379" s="242"/>
    </row>
    <row r="380" spans="1:21" s="65" customFormat="1" ht="20.25" customHeight="1" x14ac:dyDescent="0.25">
      <c r="A380" s="61"/>
      <c r="B380" s="62"/>
      <c r="C380" s="62"/>
      <c r="D380" s="62" t="s">
        <v>316</v>
      </c>
      <c r="E380" s="76" t="s">
        <v>417</v>
      </c>
      <c r="F380" s="63">
        <v>18835000000</v>
      </c>
      <c r="G380" s="64"/>
      <c r="H380" s="64"/>
      <c r="I380" s="64">
        <f t="shared" si="232"/>
        <v>0</v>
      </c>
      <c r="J380" s="75"/>
      <c r="K380" s="64"/>
      <c r="L380" s="64">
        <f>J380+K380</f>
        <v>0</v>
      </c>
      <c r="M380" s="64">
        <f>+I380+L380</f>
        <v>0</v>
      </c>
      <c r="N380" s="97">
        <f>+F380-M380</f>
        <v>18835000000</v>
      </c>
      <c r="P380" s="194"/>
      <c r="S380" s="280"/>
      <c r="T380" s="280"/>
      <c r="U380" s="244"/>
    </row>
    <row r="381" spans="1:21" s="55" customFormat="1" ht="20.25" customHeight="1" x14ac:dyDescent="0.25">
      <c r="A381" s="50"/>
      <c r="B381" s="51"/>
      <c r="C381" s="51"/>
      <c r="D381" s="51" t="s">
        <v>317</v>
      </c>
      <c r="E381" s="98" t="s">
        <v>418</v>
      </c>
      <c r="F381" s="53">
        <f>+F382</f>
        <v>742417200</v>
      </c>
      <c r="G381" s="54">
        <f>+G382</f>
        <v>0</v>
      </c>
      <c r="H381" s="54">
        <f>+H382</f>
        <v>0</v>
      </c>
      <c r="I381" s="54">
        <f t="shared" si="232"/>
        <v>0</v>
      </c>
      <c r="J381" s="54">
        <f>+J382</f>
        <v>0</v>
      </c>
      <c r="K381" s="54">
        <f>+K382</f>
        <v>0</v>
      </c>
      <c r="L381" s="54">
        <f>+J381+K381</f>
        <v>0</v>
      </c>
      <c r="M381" s="54">
        <f t="shared" ref="M381:M382" si="236">+I381+L381</f>
        <v>0</v>
      </c>
      <c r="N381" s="53">
        <f t="shared" ref="N381:N382" si="237">+F381-M381</f>
        <v>742417200</v>
      </c>
      <c r="P381" s="195"/>
      <c r="S381" s="279"/>
      <c r="T381" s="279"/>
      <c r="U381" s="243"/>
    </row>
    <row r="382" spans="1:21" s="49" customFormat="1" ht="17.25" customHeight="1" x14ac:dyDescent="0.25">
      <c r="A382" s="56"/>
      <c r="B382" s="57"/>
      <c r="C382" s="57"/>
      <c r="D382" s="57" t="s">
        <v>318</v>
      </c>
      <c r="E382" s="96" t="s">
        <v>418</v>
      </c>
      <c r="F382" s="58">
        <f>F383</f>
        <v>742417200</v>
      </c>
      <c r="G382" s="59">
        <f>+G383</f>
        <v>0</v>
      </c>
      <c r="H382" s="59">
        <f>+H383</f>
        <v>0</v>
      </c>
      <c r="I382" s="60">
        <f t="shared" si="232"/>
        <v>0</v>
      </c>
      <c r="J382" s="59">
        <f>+J383</f>
        <v>0</v>
      </c>
      <c r="K382" s="59">
        <f>+K383</f>
        <v>0</v>
      </c>
      <c r="L382" s="60">
        <f>+J382+K382</f>
        <v>0</v>
      </c>
      <c r="M382" s="59">
        <f t="shared" si="236"/>
        <v>0</v>
      </c>
      <c r="N382" s="58">
        <f t="shared" si="237"/>
        <v>742417200</v>
      </c>
      <c r="P382" s="192"/>
      <c r="S382" s="280"/>
      <c r="T382" s="280"/>
      <c r="U382" s="242"/>
    </row>
    <row r="383" spans="1:21" s="5" customFormat="1" ht="20.25" customHeight="1" x14ac:dyDescent="0.25">
      <c r="A383" s="10"/>
      <c r="B383" s="11"/>
      <c r="C383" s="11"/>
      <c r="D383" s="11" t="s">
        <v>319</v>
      </c>
      <c r="E383" s="19" t="s">
        <v>418</v>
      </c>
      <c r="F383" s="12">
        <v>742417200</v>
      </c>
      <c r="G383" s="13"/>
      <c r="H383" s="13"/>
      <c r="I383" s="13">
        <f t="shared" si="232"/>
        <v>0</v>
      </c>
      <c r="J383" s="16"/>
      <c r="K383" s="13"/>
      <c r="L383" s="13">
        <f>J383+K383</f>
        <v>0</v>
      </c>
      <c r="M383" s="13">
        <f>+I383+L383</f>
        <v>0</v>
      </c>
      <c r="N383" s="17">
        <f>+F383-M383</f>
        <v>742417200</v>
      </c>
      <c r="P383" s="201"/>
      <c r="S383" s="291"/>
      <c r="T383" s="291"/>
      <c r="U383" s="256"/>
    </row>
    <row r="384" spans="1:21" ht="18" customHeight="1" x14ac:dyDescent="0.25">
      <c r="A384" s="9"/>
      <c r="B384" s="18"/>
      <c r="C384" s="18"/>
      <c r="D384" s="18"/>
      <c r="E384" s="18"/>
      <c r="F384" s="14"/>
      <c r="G384" s="15"/>
      <c r="H384" s="15"/>
      <c r="I384" s="15"/>
      <c r="J384" s="15"/>
      <c r="K384" s="15"/>
      <c r="L384" s="15"/>
      <c r="M384" s="15"/>
      <c r="N384" s="14"/>
      <c r="S384" s="292"/>
      <c r="T384" s="292"/>
      <c r="U384" s="257"/>
    </row>
    <row r="385" spans="1:21" ht="18" customHeight="1" x14ac:dyDescent="0.25">
      <c r="A385" s="8"/>
      <c r="B385" s="20"/>
      <c r="C385" s="20"/>
      <c r="D385" s="20"/>
      <c r="E385" s="20" t="s">
        <v>41</v>
      </c>
      <c r="F385" s="21"/>
      <c r="G385" s="21"/>
      <c r="H385" s="21"/>
      <c r="I385" s="21"/>
      <c r="J385" s="21"/>
      <c r="K385" s="21"/>
      <c r="L385" s="21"/>
      <c r="M385" s="21"/>
      <c r="N385" s="22"/>
      <c r="S385" s="292"/>
      <c r="T385" s="292"/>
      <c r="U385" s="257"/>
    </row>
    <row r="386" spans="1:21" s="32" customFormat="1" ht="18" customHeight="1" x14ac:dyDescent="0.25">
      <c r="A386" s="28"/>
      <c r="B386" s="29"/>
      <c r="C386" s="29"/>
      <c r="D386" s="29"/>
      <c r="E386" s="29" t="s">
        <v>21</v>
      </c>
      <c r="F386" s="30"/>
      <c r="G386" s="30">
        <f>+G17</f>
        <v>9805797967</v>
      </c>
      <c r="H386" s="30">
        <f>+H17</f>
        <v>9782812369</v>
      </c>
      <c r="I386" s="30">
        <f>+I17</f>
        <v>19588610336</v>
      </c>
      <c r="J386" s="30">
        <f>+J17</f>
        <v>114284700</v>
      </c>
      <c r="K386" s="30">
        <f>+K17</f>
        <v>345746731</v>
      </c>
      <c r="L386" s="30">
        <f t="shared" ref="L386:L391" si="238">+J386+K386</f>
        <v>460031431</v>
      </c>
      <c r="M386" s="30">
        <f>+I386+L386</f>
        <v>20048641767</v>
      </c>
      <c r="N386" s="31"/>
      <c r="P386" s="202"/>
      <c r="S386" s="292"/>
      <c r="T386" s="292"/>
      <c r="U386" s="258"/>
    </row>
    <row r="387" spans="1:21" s="32" customFormat="1" ht="18" customHeight="1" x14ac:dyDescent="0.25">
      <c r="A387" s="28"/>
      <c r="B387" s="29"/>
      <c r="C387" s="29"/>
      <c r="D387" s="29"/>
      <c r="E387" s="29" t="s">
        <v>42</v>
      </c>
      <c r="F387" s="30"/>
      <c r="G387" s="30">
        <f>+SUM(G388:G401)</f>
        <v>69770614</v>
      </c>
      <c r="H387" s="30">
        <f>+SUM(H388:H401)</f>
        <v>146259456</v>
      </c>
      <c r="I387" s="30">
        <f>+G387+H387</f>
        <v>216030070</v>
      </c>
      <c r="J387" s="30">
        <f>+SUM(J388:J401)</f>
        <v>2165454</v>
      </c>
      <c r="K387" s="30">
        <f>+SUM(K388:K401)</f>
        <v>11391265</v>
      </c>
      <c r="L387" s="30">
        <f>+J387+K387</f>
        <v>13556719</v>
      </c>
      <c r="M387" s="33">
        <f>+I387+L387</f>
        <v>229586789</v>
      </c>
      <c r="N387" s="31"/>
      <c r="P387" s="202">
        <f>+M386+M387</f>
        <v>20278228556</v>
      </c>
      <c r="S387" s="292"/>
      <c r="T387" s="292"/>
      <c r="U387" s="258"/>
    </row>
    <row r="388" spans="1:21" ht="18" customHeight="1" x14ac:dyDescent="0.25">
      <c r="A388" s="8"/>
      <c r="B388" s="20"/>
      <c r="C388" s="20"/>
      <c r="D388" s="20"/>
      <c r="E388" s="23" t="s">
        <v>24</v>
      </c>
      <c r="F388" s="21"/>
      <c r="G388" s="21">
        <v>0</v>
      </c>
      <c r="H388" s="35">
        <v>1563375</v>
      </c>
      <c r="I388" s="21">
        <f>+G388+H388</f>
        <v>1563375</v>
      </c>
      <c r="J388" s="21">
        <v>1804545</v>
      </c>
      <c r="K388" s="35">
        <f>1804545+241802+281937+205631+1672297+541854+748644</f>
        <v>5496710</v>
      </c>
      <c r="L388" s="21">
        <f t="shared" si="238"/>
        <v>7301255</v>
      </c>
      <c r="M388" s="21">
        <f t="shared" ref="M388:M391" si="239">+I388+L388</f>
        <v>8864630</v>
      </c>
      <c r="N388" s="22"/>
      <c r="S388" s="292"/>
      <c r="T388" s="292"/>
      <c r="U388" s="257"/>
    </row>
    <row r="389" spans="1:21" ht="18" customHeight="1" x14ac:dyDescent="0.25">
      <c r="A389" s="8"/>
      <c r="B389" s="20"/>
      <c r="C389" s="20"/>
      <c r="D389" s="20"/>
      <c r="E389" s="23" t="s">
        <v>22</v>
      </c>
      <c r="F389" s="21"/>
      <c r="G389" s="21">
        <v>22804617</v>
      </c>
      <c r="H389" s="35">
        <f>277647</f>
        <v>277647</v>
      </c>
      <c r="I389" s="21">
        <f>+G389+H389</f>
        <v>23082264</v>
      </c>
      <c r="J389" s="21">
        <v>0</v>
      </c>
      <c r="K389" s="35"/>
      <c r="L389" s="21">
        <f t="shared" si="238"/>
        <v>0</v>
      </c>
      <c r="M389" s="21">
        <f t="shared" si="239"/>
        <v>23082264</v>
      </c>
      <c r="N389" s="22"/>
      <c r="S389" s="292"/>
      <c r="T389" s="292"/>
      <c r="U389" s="257"/>
    </row>
    <row r="390" spans="1:21" ht="18" customHeight="1" x14ac:dyDescent="0.25">
      <c r="A390" s="4"/>
      <c r="B390" s="233"/>
      <c r="C390" s="233"/>
      <c r="D390" s="233"/>
      <c r="E390" s="234" t="s">
        <v>25</v>
      </c>
      <c r="F390" s="235"/>
      <c r="G390" s="235">
        <v>0</v>
      </c>
      <c r="H390" s="236"/>
      <c r="I390" s="235">
        <f>+G390+H390</f>
        <v>0</v>
      </c>
      <c r="J390" s="235">
        <v>0</v>
      </c>
      <c r="K390" s="236">
        <f>187500+234000+37500+37500+50250+30000+22500+228041+98519+102088</f>
        <v>1027898</v>
      </c>
      <c r="L390" s="235">
        <f t="shared" si="238"/>
        <v>1027898</v>
      </c>
      <c r="M390" s="235">
        <f t="shared" si="239"/>
        <v>1027898</v>
      </c>
      <c r="N390" s="237"/>
      <c r="Q390" s="3"/>
      <c r="S390" s="292"/>
      <c r="T390" s="292"/>
      <c r="U390" s="257"/>
    </row>
    <row r="391" spans="1:21" ht="18" customHeight="1" x14ac:dyDescent="0.25">
      <c r="A391" s="8"/>
      <c r="B391" s="20"/>
      <c r="C391" s="20"/>
      <c r="D391" s="20"/>
      <c r="E391" s="23" t="s">
        <v>26</v>
      </c>
      <c r="F391" s="21"/>
      <c r="G391" s="21">
        <v>0</v>
      </c>
      <c r="H391" s="35">
        <v>2842500</v>
      </c>
      <c r="I391" s="21">
        <f>+G391+H391</f>
        <v>2842500</v>
      </c>
      <c r="J391" s="21">
        <v>360909</v>
      </c>
      <c r="K391" s="35">
        <f>35200+37100+37200+360909+48800+35000+28800+51261+37387</f>
        <v>671657</v>
      </c>
      <c r="L391" s="21">
        <f t="shared" si="238"/>
        <v>1032566</v>
      </c>
      <c r="M391" s="21">
        <f t="shared" si="239"/>
        <v>3875066</v>
      </c>
      <c r="N391" s="22"/>
      <c r="S391" s="292"/>
      <c r="T391" s="292"/>
      <c r="U391" s="257"/>
    </row>
    <row r="392" spans="1:21" ht="18" customHeight="1" x14ac:dyDescent="0.25">
      <c r="A392" s="8"/>
      <c r="B392" s="20"/>
      <c r="C392" s="20"/>
      <c r="D392" s="20"/>
      <c r="E392" s="23" t="s">
        <v>40</v>
      </c>
      <c r="F392" s="21"/>
      <c r="G392" s="21"/>
      <c r="H392" s="35"/>
      <c r="I392" s="21"/>
      <c r="J392" s="21"/>
      <c r="K392" s="35"/>
      <c r="L392" s="21"/>
      <c r="M392" s="21"/>
      <c r="N392" s="22"/>
      <c r="S392" s="292"/>
      <c r="T392" s="292"/>
      <c r="U392" s="257"/>
    </row>
    <row r="393" spans="1:21" ht="18" customHeight="1" x14ac:dyDescent="0.25">
      <c r="A393" s="8"/>
      <c r="B393" s="20"/>
      <c r="C393" s="20"/>
      <c r="D393" s="20"/>
      <c r="E393" s="23" t="s">
        <v>321</v>
      </c>
      <c r="F393" s="21"/>
      <c r="G393" s="21">
        <v>0</v>
      </c>
      <c r="H393" s="35"/>
      <c r="I393" s="21">
        <f>+G393+H393</f>
        <v>0</v>
      </c>
      <c r="J393" s="21">
        <v>0</v>
      </c>
      <c r="K393" s="35"/>
      <c r="L393" s="21">
        <f>+J393+K393</f>
        <v>0</v>
      </c>
      <c r="M393" s="21">
        <f>+I393+L393</f>
        <v>0</v>
      </c>
      <c r="N393" s="22"/>
      <c r="S393" s="292"/>
      <c r="T393" s="292"/>
      <c r="U393" s="257"/>
    </row>
    <row r="394" spans="1:21" ht="18" customHeight="1" x14ac:dyDescent="0.25">
      <c r="A394" s="8"/>
      <c r="B394" s="20"/>
      <c r="C394" s="20"/>
      <c r="D394" s="20"/>
      <c r="E394" s="23" t="s">
        <v>322</v>
      </c>
      <c r="F394" s="21"/>
      <c r="G394" s="21">
        <v>4666566</v>
      </c>
      <c r="H394" s="35">
        <f>103141200+2940178</f>
        <v>106081378</v>
      </c>
      <c r="I394" s="21">
        <f t="shared" ref="I394:I400" si="240">+G394+H394</f>
        <v>110747944</v>
      </c>
      <c r="J394" s="21">
        <v>0</v>
      </c>
      <c r="K394" s="35"/>
      <c r="L394" s="21">
        <f>+J394+K394</f>
        <v>0</v>
      </c>
      <c r="M394" s="21">
        <f t="shared" ref="M394:M400" si="241">+I394+L394</f>
        <v>110747944</v>
      </c>
      <c r="N394" s="22"/>
      <c r="S394" s="292"/>
      <c r="T394" s="292"/>
      <c r="U394" s="257"/>
    </row>
    <row r="395" spans="1:21" ht="18" customHeight="1" x14ac:dyDescent="0.25">
      <c r="A395" s="8"/>
      <c r="B395" s="20"/>
      <c r="C395" s="20"/>
      <c r="D395" s="20"/>
      <c r="E395" s="23" t="s">
        <v>323</v>
      </c>
      <c r="F395" s="21"/>
      <c r="G395" s="21">
        <v>18666278</v>
      </c>
      <c r="H395" s="35">
        <f>11760731</f>
        <v>11760731</v>
      </c>
      <c r="I395" s="21">
        <f t="shared" si="240"/>
        <v>30427009</v>
      </c>
      <c r="J395" s="21"/>
      <c r="K395" s="35"/>
      <c r="L395" s="21"/>
      <c r="M395" s="21">
        <f t="shared" si="241"/>
        <v>30427009</v>
      </c>
      <c r="N395" s="22"/>
      <c r="S395" s="292"/>
      <c r="T395" s="292"/>
      <c r="U395" s="257"/>
    </row>
    <row r="396" spans="1:21" ht="18" customHeight="1" x14ac:dyDescent="0.25">
      <c r="A396" s="8"/>
      <c r="B396" s="20"/>
      <c r="C396" s="20"/>
      <c r="D396" s="20"/>
      <c r="E396" s="23" t="s">
        <v>324</v>
      </c>
      <c r="F396" s="21"/>
      <c r="G396" s="21">
        <v>580644</v>
      </c>
      <c r="H396" s="35">
        <f>583091</f>
        <v>583091</v>
      </c>
      <c r="I396" s="21">
        <f t="shared" si="240"/>
        <v>1163735</v>
      </c>
      <c r="J396" s="21"/>
      <c r="K396" s="35"/>
      <c r="L396" s="21"/>
      <c r="M396" s="21">
        <f t="shared" si="241"/>
        <v>1163735</v>
      </c>
      <c r="N396" s="22"/>
      <c r="S396" s="292"/>
      <c r="T396" s="292"/>
      <c r="U396" s="257"/>
    </row>
    <row r="397" spans="1:21" ht="18" customHeight="1" x14ac:dyDescent="0.25">
      <c r="A397" s="8"/>
      <c r="B397" s="20"/>
      <c r="C397" s="20"/>
      <c r="D397" s="20"/>
      <c r="E397" s="23" t="s">
        <v>325</v>
      </c>
      <c r="F397" s="21"/>
      <c r="G397" s="21">
        <v>1741930</v>
      </c>
      <c r="H397" s="35">
        <f>1749275</f>
        <v>1749275</v>
      </c>
      <c r="I397" s="21">
        <f t="shared" si="240"/>
        <v>3491205</v>
      </c>
      <c r="J397" s="21"/>
      <c r="K397" s="35"/>
      <c r="L397" s="21"/>
      <c r="M397" s="21">
        <f t="shared" si="241"/>
        <v>3491205</v>
      </c>
      <c r="N397" s="22"/>
      <c r="S397" s="292"/>
      <c r="T397" s="292"/>
      <c r="U397" s="257"/>
    </row>
    <row r="398" spans="1:21" ht="18" customHeight="1" x14ac:dyDescent="0.25">
      <c r="A398" s="8"/>
      <c r="B398" s="20"/>
      <c r="C398" s="20"/>
      <c r="D398" s="20"/>
      <c r="E398" s="23" t="s">
        <v>326</v>
      </c>
      <c r="F398" s="21"/>
      <c r="G398" s="21">
        <v>21310579</v>
      </c>
      <c r="H398" s="35">
        <f>21401459</f>
        <v>21401459</v>
      </c>
      <c r="I398" s="21">
        <f t="shared" si="240"/>
        <v>42712038</v>
      </c>
      <c r="J398" s="21"/>
      <c r="K398" s="35"/>
      <c r="L398" s="21"/>
      <c r="M398" s="21">
        <f t="shared" si="241"/>
        <v>42712038</v>
      </c>
      <c r="N398" s="22"/>
      <c r="S398" s="292"/>
      <c r="T398" s="292"/>
      <c r="U398" s="257"/>
    </row>
    <row r="399" spans="1:21" ht="18" customHeight="1" x14ac:dyDescent="0.25">
      <c r="A399" s="4"/>
      <c r="B399" s="233"/>
      <c r="C399" s="233"/>
      <c r="D399" s="233"/>
      <c r="E399" s="234" t="s">
        <v>327</v>
      </c>
      <c r="F399" s="235"/>
      <c r="G399" s="235"/>
      <c r="H399" s="236"/>
      <c r="I399" s="235"/>
      <c r="J399" s="235">
        <v>0</v>
      </c>
      <c r="K399" s="236">
        <f>200000+1250000+1560000+250000+250000+335000+200000+150000</f>
        <v>4195000</v>
      </c>
      <c r="L399" s="235">
        <f>+J399+K399</f>
        <v>4195000</v>
      </c>
      <c r="M399" s="235">
        <f t="shared" si="241"/>
        <v>4195000</v>
      </c>
      <c r="N399" s="237"/>
      <c r="S399" s="292"/>
      <c r="T399" s="292"/>
      <c r="U399" s="257"/>
    </row>
    <row r="400" spans="1:21" ht="18" customHeight="1" x14ac:dyDescent="0.25">
      <c r="A400" s="8"/>
      <c r="B400" s="20"/>
      <c r="C400" s="20"/>
      <c r="D400" s="20"/>
      <c r="E400" s="23" t="s">
        <v>426</v>
      </c>
      <c r="F400" s="21"/>
      <c r="G400" s="21"/>
      <c r="H400" s="35"/>
      <c r="I400" s="21">
        <f t="shared" si="240"/>
        <v>0</v>
      </c>
      <c r="J400" s="21"/>
      <c r="K400" s="35"/>
      <c r="L400" s="21"/>
      <c r="M400" s="21">
        <f t="shared" si="241"/>
        <v>0</v>
      </c>
      <c r="N400" s="22"/>
      <c r="S400" s="292"/>
      <c r="T400" s="292"/>
      <c r="U400" s="257"/>
    </row>
    <row r="401" spans="1:21" ht="18" customHeight="1" x14ac:dyDescent="0.25">
      <c r="A401" s="8"/>
      <c r="B401" s="20"/>
      <c r="C401" s="20"/>
      <c r="D401" s="20"/>
      <c r="E401" s="20" t="s">
        <v>23</v>
      </c>
      <c r="F401" s="21"/>
      <c r="G401" s="21"/>
      <c r="H401" s="21"/>
      <c r="I401" s="21"/>
      <c r="J401" s="21"/>
      <c r="K401" s="21"/>
      <c r="L401" s="21"/>
      <c r="M401" s="21"/>
      <c r="N401" s="22"/>
      <c r="S401" s="292"/>
      <c r="T401" s="292"/>
      <c r="U401" s="257"/>
    </row>
    <row r="402" spans="1:21" ht="18" customHeight="1" x14ac:dyDescent="0.25">
      <c r="A402" s="8"/>
      <c r="B402" s="20"/>
      <c r="C402" s="20"/>
      <c r="D402" s="20"/>
      <c r="E402" s="24" t="s">
        <v>27</v>
      </c>
      <c r="F402" s="15"/>
      <c r="G402" s="25"/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14"/>
      <c r="Q402" s="3"/>
      <c r="S402" s="292"/>
      <c r="T402" s="292"/>
      <c r="U402" s="257"/>
    </row>
    <row r="403" spans="1:21" ht="18" customHeight="1" x14ac:dyDescent="0.25">
      <c r="A403" s="8"/>
      <c r="B403" s="20"/>
      <c r="C403" s="20"/>
      <c r="D403" s="20"/>
      <c r="E403" s="20"/>
      <c r="F403" s="21"/>
      <c r="G403" s="21"/>
      <c r="H403" s="21"/>
      <c r="I403" s="21"/>
      <c r="J403" s="21"/>
      <c r="K403" s="21"/>
      <c r="L403" s="21"/>
      <c r="M403" s="21"/>
      <c r="N403" s="22"/>
      <c r="S403" s="292"/>
      <c r="T403" s="292"/>
      <c r="U403" s="257"/>
    </row>
    <row r="404" spans="1:21" ht="18" customHeight="1" x14ac:dyDescent="0.25">
      <c r="A404" s="8"/>
      <c r="B404" s="20"/>
      <c r="C404" s="20"/>
      <c r="D404" s="20"/>
      <c r="E404" s="20" t="s">
        <v>328</v>
      </c>
      <c r="F404" s="21"/>
      <c r="G404" s="21"/>
      <c r="H404" s="21"/>
      <c r="I404" s="21"/>
      <c r="J404" s="21"/>
      <c r="K404" s="21"/>
      <c r="L404" s="21"/>
      <c r="M404" s="21"/>
      <c r="N404" s="22"/>
      <c r="S404" s="292"/>
      <c r="T404" s="292"/>
      <c r="U404" s="257"/>
    </row>
    <row r="405" spans="1:21" s="32" customFormat="1" ht="18" customHeight="1" x14ac:dyDescent="0.25">
      <c r="A405" s="28"/>
      <c r="B405" s="29"/>
      <c r="C405" s="29"/>
      <c r="D405" s="29"/>
      <c r="E405" s="29" t="s">
        <v>21</v>
      </c>
      <c r="F405" s="30"/>
      <c r="G405" s="30">
        <f>+G386</f>
        <v>9805797967</v>
      </c>
      <c r="H405" s="33">
        <f>+H386</f>
        <v>9782812369</v>
      </c>
      <c r="I405" s="30">
        <f t="shared" ref="I405:L405" si="242">+I386</f>
        <v>19588610336</v>
      </c>
      <c r="J405" s="30">
        <f t="shared" si="242"/>
        <v>114284700</v>
      </c>
      <c r="K405" s="30">
        <f t="shared" si="242"/>
        <v>345746731</v>
      </c>
      <c r="L405" s="30">
        <f t="shared" si="242"/>
        <v>460031431</v>
      </c>
      <c r="M405" s="30">
        <f>+M386</f>
        <v>20048641767</v>
      </c>
      <c r="N405" s="31"/>
      <c r="O405" s="34"/>
      <c r="P405" s="202"/>
      <c r="S405" s="292"/>
      <c r="T405" s="292"/>
      <c r="U405" s="258"/>
    </row>
    <row r="406" spans="1:21" s="32" customFormat="1" ht="18" customHeight="1" x14ac:dyDescent="0.25">
      <c r="A406" s="28"/>
      <c r="B406" s="29"/>
      <c r="C406" s="29"/>
      <c r="D406" s="29"/>
      <c r="E406" s="29" t="s">
        <v>42</v>
      </c>
      <c r="F406" s="30"/>
      <c r="G406" s="30">
        <f>+SUM(G407:G420)</f>
        <v>69770614</v>
      </c>
      <c r="H406" s="30">
        <f>+SUM(H407:H420)</f>
        <v>146259456</v>
      </c>
      <c r="I406" s="30">
        <f>+G406+H406</f>
        <v>216030070</v>
      </c>
      <c r="J406" s="30">
        <f>+SUM(J407:J420)</f>
        <v>2165454</v>
      </c>
      <c r="K406" s="30">
        <f>+SUM(K407:K420)</f>
        <v>11391265</v>
      </c>
      <c r="L406" s="30">
        <f>+J406+K406</f>
        <v>13556719</v>
      </c>
      <c r="M406" s="33">
        <f>+I406+L406</f>
        <v>229586789</v>
      </c>
      <c r="N406" s="31"/>
      <c r="P406" s="202"/>
      <c r="S406" s="292"/>
      <c r="T406" s="292"/>
      <c r="U406" s="258"/>
    </row>
    <row r="407" spans="1:21" ht="18" customHeight="1" x14ac:dyDescent="0.25">
      <c r="A407" s="8"/>
      <c r="B407" s="20"/>
      <c r="C407" s="20"/>
      <c r="D407" s="20"/>
      <c r="E407" s="23" t="s">
        <v>24</v>
      </c>
      <c r="F407" s="21"/>
      <c r="G407" s="21">
        <v>0</v>
      </c>
      <c r="H407" s="35">
        <v>1563375</v>
      </c>
      <c r="I407" s="21">
        <f>+G407+H407</f>
        <v>1563375</v>
      </c>
      <c r="J407" s="21">
        <v>1804545</v>
      </c>
      <c r="K407" s="35">
        <f>1804545+241802+281937+205631+1672297+541854+748644</f>
        <v>5496710</v>
      </c>
      <c r="L407" s="21">
        <f>+J407+K407</f>
        <v>7301255</v>
      </c>
      <c r="M407" s="21">
        <f>+I407+L407</f>
        <v>8864630</v>
      </c>
      <c r="N407" s="22"/>
      <c r="S407" s="292"/>
      <c r="T407" s="292"/>
      <c r="U407" s="257"/>
    </row>
    <row r="408" spans="1:21" ht="18" customHeight="1" x14ac:dyDescent="0.25">
      <c r="A408" s="8"/>
      <c r="B408" s="20"/>
      <c r="C408" s="20"/>
      <c r="D408" s="20"/>
      <c r="E408" s="23" t="s">
        <v>22</v>
      </c>
      <c r="F408" s="21"/>
      <c r="G408" s="21">
        <v>22804617</v>
      </c>
      <c r="H408" s="35">
        <f>277647</f>
        <v>277647</v>
      </c>
      <c r="I408" s="21">
        <f>+G408+H408</f>
        <v>23082264</v>
      </c>
      <c r="J408" s="21">
        <v>0</v>
      </c>
      <c r="K408" s="35"/>
      <c r="L408" s="21">
        <f>+J408+K408</f>
        <v>0</v>
      </c>
      <c r="M408" s="21">
        <f>+I408+L408</f>
        <v>23082264</v>
      </c>
      <c r="N408" s="22"/>
      <c r="S408" s="292"/>
      <c r="T408" s="292"/>
      <c r="U408" s="257"/>
    </row>
    <row r="409" spans="1:21" ht="18" customHeight="1" x14ac:dyDescent="0.25">
      <c r="A409" s="8"/>
      <c r="B409" s="20"/>
      <c r="C409" s="20"/>
      <c r="D409" s="20"/>
      <c r="E409" s="23" t="s">
        <v>25</v>
      </c>
      <c r="F409" s="21"/>
      <c r="G409" s="21">
        <v>0</v>
      </c>
      <c r="H409" s="236"/>
      <c r="I409" s="21">
        <f>+G409+H409</f>
        <v>0</v>
      </c>
      <c r="J409" s="21">
        <v>0</v>
      </c>
      <c r="K409" s="236">
        <f>187500+234000+37500+37500+50250+30000+22500+228041+98519+102088</f>
        <v>1027898</v>
      </c>
      <c r="L409" s="21">
        <f>+J409+K409</f>
        <v>1027898</v>
      </c>
      <c r="M409" s="21">
        <f>+I409+L409</f>
        <v>1027898</v>
      </c>
      <c r="N409" s="22"/>
      <c r="S409" s="292"/>
      <c r="T409" s="292"/>
      <c r="U409" s="257"/>
    </row>
    <row r="410" spans="1:21" ht="18" customHeight="1" x14ac:dyDescent="0.25">
      <c r="A410" s="8"/>
      <c r="B410" s="20"/>
      <c r="C410" s="20"/>
      <c r="D410" s="20"/>
      <c r="E410" s="23" t="s">
        <v>26</v>
      </c>
      <c r="F410" s="21"/>
      <c r="G410" s="21">
        <v>0</v>
      </c>
      <c r="H410" s="35">
        <v>2842500</v>
      </c>
      <c r="I410" s="21">
        <f>+G410+H410</f>
        <v>2842500</v>
      </c>
      <c r="J410" s="21">
        <v>360909</v>
      </c>
      <c r="K410" s="35">
        <f>35200+37100+37200+360909+48800+35000+28800+51261+37387</f>
        <v>671657</v>
      </c>
      <c r="L410" s="21">
        <f>+J410+K410</f>
        <v>1032566</v>
      </c>
      <c r="M410" s="21">
        <f>+I410+L410</f>
        <v>3875066</v>
      </c>
      <c r="N410" s="22"/>
      <c r="S410" s="292"/>
      <c r="T410" s="292"/>
      <c r="U410" s="257"/>
    </row>
    <row r="411" spans="1:21" ht="18" customHeight="1" x14ac:dyDescent="0.25">
      <c r="A411" s="8"/>
      <c r="B411" s="20"/>
      <c r="C411" s="20"/>
      <c r="D411" s="20"/>
      <c r="E411" s="23" t="s">
        <v>40</v>
      </c>
      <c r="F411" s="21"/>
      <c r="G411" s="21"/>
      <c r="H411" s="35"/>
      <c r="I411" s="21"/>
      <c r="J411" s="21"/>
      <c r="K411" s="35"/>
      <c r="L411" s="21"/>
      <c r="M411" s="21"/>
      <c r="N411" s="22"/>
      <c r="S411" s="292"/>
      <c r="T411" s="292"/>
      <c r="U411" s="257"/>
    </row>
    <row r="412" spans="1:21" ht="18" customHeight="1" x14ac:dyDescent="0.25">
      <c r="A412" s="8"/>
      <c r="B412" s="20"/>
      <c r="C412" s="20"/>
      <c r="D412" s="20"/>
      <c r="E412" s="23" t="s">
        <v>321</v>
      </c>
      <c r="F412" s="21"/>
      <c r="G412" s="21">
        <v>0</v>
      </c>
      <c r="H412" s="35"/>
      <c r="I412" s="21">
        <f>+G412+H412</f>
        <v>0</v>
      </c>
      <c r="J412" s="21">
        <v>0</v>
      </c>
      <c r="K412" s="35"/>
      <c r="L412" s="21">
        <f>+J412+K412</f>
        <v>0</v>
      </c>
      <c r="M412" s="21">
        <f t="shared" ref="M412:M419" si="243">+I412+L412</f>
        <v>0</v>
      </c>
      <c r="N412" s="22"/>
      <c r="U412" s="257"/>
    </row>
    <row r="413" spans="1:21" ht="18" customHeight="1" x14ac:dyDescent="0.25">
      <c r="A413" s="8"/>
      <c r="B413" s="20"/>
      <c r="C413" s="20"/>
      <c r="D413" s="20"/>
      <c r="E413" s="23" t="s">
        <v>322</v>
      </c>
      <c r="F413" s="21"/>
      <c r="G413" s="21">
        <v>4666566</v>
      </c>
      <c r="H413" s="35">
        <f>103141200+2940178</f>
        <v>106081378</v>
      </c>
      <c r="I413" s="21">
        <f t="shared" ref="I413:I419" si="244">+G413+H413</f>
        <v>110747944</v>
      </c>
      <c r="J413" s="21"/>
      <c r="K413" s="35"/>
      <c r="L413" s="21"/>
      <c r="M413" s="21">
        <f t="shared" si="243"/>
        <v>110747944</v>
      </c>
      <c r="N413" s="22"/>
      <c r="U413" s="257"/>
    </row>
    <row r="414" spans="1:21" ht="18" customHeight="1" x14ac:dyDescent="0.25">
      <c r="A414" s="8"/>
      <c r="B414" s="20"/>
      <c r="C414" s="20"/>
      <c r="D414" s="20"/>
      <c r="E414" s="23" t="s">
        <v>323</v>
      </c>
      <c r="F414" s="21"/>
      <c r="G414" s="21">
        <v>18666278</v>
      </c>
      <c r="H414" s="35">
        <f>11760731</f>
        <v>11760731</v>
      </c>
      <c r="I414" s="21">
        <f t="shared" si="244"/>
        <v>30427009</v>
      </c>
      <c r="J414" s="21"/>
      <c r="K414" s="35"/>
      <c r="L414" s="21"/>
      <c r="M414" s="21">
        <f t="shared" si="243"/>
        <v>30427009</v>
      </c>
      <c r="N414" s="22"/>
      <c r="U414" s="257"/>
    </row>
    <row r="415" spans="1:21" ht="18" customHeight="1" x14ac:dyDescent="0.25">
      <c r="A415" s="8"/>
      <c r="B415" s="20"/>
      <c r="C415" s="20"/>
      <c r="D415" s="20"/>
      <c r="E415" s="23" t="s">
        <v>324</v>
      </c>
      <c r="F415" s="21"/>
      <c r="G415" s="21">
        <v>580644</v>
      </c>
      <c r="H415" s="35">
        <f>583091</f>
        <v>583091</v>
      </c>
      <c r="I415" s="21">
        <f t="shared" si="244"/>
        <v>1163735</v>
      </c>
      <c r="J415" s="21"/>
      <c r="K415" s="35"/>
      <c r="L415" s="21"/>
      <c r="M415" s="21">
        <f t="shared" si="243"/>
        <v>1163735</v>
      </c>
      <c r="N415" s="22"/>
      <c r="U415" s="257"/>
    </row>
    <row r="416" spans="1:21" ht="18" customHeight="1" x14ac:dyDescent="0.25">
      <c r="A416" s="8"/>
      <c r="B416" s="20"/>
      <c r="C416" s="20"/>
      <c r="D416" s="20"/>
      <c r="E416" s="23" t="s">
        <v>325</v>
      </c>
      <c r="F416" s="21"/>
      <c r="G416" s="21">
        <v>1741930</v>
      </c>
      <c r="H416" s="35">
        <f>1749275</f>
        <v>1749275</v>
      </c>
      <c r="I416" s="21">
        <f t="shared" si="244"/>
        <v>3491205</v>
      </c>
      <c r="J416" s="21"/>
      <c r="K416" s="35"/>
      <c r="L416" s="21"/>
      <c r="M416" s="21">
        <f t="shared" si="243"/>
        <v>3491205</v>
      </c>
      <c r="N416" s="22"/>
      <c r="U416" s="257"/>
    </row>
    <row r="417" spans="1:21" ht="18" customHeight="1" x14ac:dyDescent="0.25">
      <c r="A417" s="8"/>
      <c r="B417" s="20"/>
      <c r="C417" s="20"/>
      <c r="D417" s="20"/>
      <c r="E417" s="23" t="s">
        <v>326</v>
      </c>
      <c r="F417" s="21"/>
      <c r="G417" s="21">
        <v>21310579</v>
      </c>
      <c r="H417" s="35">
        <f>21401459</f>
        <v>21401459</v>
      </c>
      <c r="I417" s="21">
        <f t="shared" si="244"/>
        <v>42712038</v>
      </c>
      <c r="J417" s="21"/>
      <c r="K417" s="35"/>
      <c r="L417" s="21"/>
      <c r="M417" s="21">
        <f t="shared" si="243"/>
        <v>42712038</v>
      </c>
      <c r="N417" s="22"/>
      <c r="U417" s="257"/>
    </row>
    <row r="418" spans="1:21" ht="18" customHeight="1" x14ac:dyDescent="0.25">
      <c r="A418" s="8"/>
      <c r="B418" s="20"/>
      <c r="C418" s="20"/>
      <c r="D418" s="20"/>
      <c r="E418" s="23" t="s">
        <v>327</v>
      </c>
      <c r="F418" s="21"/>
      <c r="G418" s="21"/>
      <c r="H418" s="236"/>
      <c r="I418" s="21"/>
      <c r="J418" s="21"/>
      <c r="K418" s="236">
        <f>200000+1250000+1560000+250000+250000+335000+200000+150000</f>
        <v>4195000</v>
      </c>
      <c r="L418" s="21">
        <f>+J418+K418</f>
        <v>4195000</v>
      </c>
      <c r="M418" s="21">
        <f t="shared" si="243"/>
        <v>4195000</v>
      </c>
      <c r="N418" s="22"/>
      <c r="U418" s="257"/>
    </row>
    <row r="419" spans="1:21" ht="18" customHeight="1" x14ac:dyDescent="0.25">
      <c r="A419" s="8"/>
      <c r="B419" s="20"/>
      <c r="C419" s="20"/>
      <c r="D419" s="20"/>
      <c r="E419" s="23" t="s">
        <v>426</v>
      </c>
      <c r="F419" s="21"/>
      <c r="G419" s="21"/>
      <c r="H419" s="35"/>
      <c r="I419" s="21">
        <f t="shared" si="244"/>
        <v>0</v>
      </c>
      <c r="J419" s="21"/>
      <c r="K419" s="35"/>
      <c r="L419" s="21"/>
      <c r="M419" s="21">
        <f t="shared" si="243"/>
        <v>0</v>
      </c>
      <c r="N419" s="22"/>
      <c r="U419" s="257"/>
    </row>
    <row r="420" spans="1:21" ht="18" customHeight="1" x14ac:dyDescent="0.25">
      <c r="A420" s="8"/>
      <c r="B420" s="20"/>
      <c r="C420" s="20"/>
      <c r="D420" s="20"/>
      <c r="E420" s="20" t="s">
        <v>23</v>
      </c>
      <c r="F420" s="21"/>
      <c r="G420" s="21"/>
      <c r="H420" s="21"/>
      <c r="I420" s="21"/>
      <c r="J420" s="21"/>
      <c r="K420" s="21"/>
      <c r="L420" s="21"/>
      <c r="M420" s="21"/>
      <c r="N420" s="22"/>
      <c r="U420" s="257"/>
    </row>
    <row r="421" spans="1:21" ht="18" customHeight="1" x14ac:dyDescent="0.25">
      <c r="A421" s="8"/>
      <c r="B421" s="20"/>
      <c r="C421" s="20"/>
      <c r="D421" s="20"/>
      <c r="E421" s="24" t="s">
        <v>27</v>
      </c>
      <c r="F421" s="15"/>
      <c r="G421" s="25" t="s">
        <v>49</v>
      </c>
      <c r="H421" s="25" t="s">
        <v>49</v>
      </c>
      <c r="I421" s="25" t="s">
        <v>49</v>
      </c>
      <c r="J421" s="25" t="s">
        <v>49</v>
      </c>
      <c r="K421" s="25" t="s">
        <v>49</v>
      </c>
      <c r="L421" s="25" t="s">
        <v>49</v>
      </c>
      <c r="M421" s="25" t="s">
        <v>49</v>
      </c>
      <c r="N421" s="14"/>
      <c r="U421" s="257"/>
    </row>
    <row r="422" spans="1:21" ht="18" customHeight="1" x14ac:dyDescent="0.25">
      <c r="A422" s="8"/>
      <c r="B422" s="20"/>
      <c r="C422" s="20"/>
      <c r="D422" s="20"/>
      <c r="E422" s="20"/>
      <c r="F422" s="22"/>
      <c r="G422" s="22"/>
      <c r="H422" s="22"/>
      <c r="I422" s="22"/>
      <c r="J422" s="22"/>
      <c r="K422" s="22"/>
      <c r="L422" s="22"/>
      <c r="M422" s="22"/>
      <c r="N422" s="22"/>
      <c r="U422" s="257"/>
    </row>
    <row r="423" spans="1:21" ht="18" customHeight="1" x14ac:dyDescent="0.25">
      <c r="A423" s="26"/>
      <c r="B423" s="26"/>
      <c r="C423" s="26"/>
      <c r="D423" s="26"/>
      <c r="E423" s="24" t="s">
        <v>28</v>
      </c>
      <c r="F423" s="14"/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/>
      <c r="U423" s="257"/>
    </row>
    <row r="424" spans="1:21" ht="18" customHeight="1" x14ac:dyDescent="0.25">
      <c r="U424" s="257"/>
    </row>
    <row r="425" spans="1:21" ht="18" customHeight="1" x14ac:dyDescent="0.25">
      <c r="A425" s="490" t="s">
        <v>52</v>
      </c>
      <c r="B425" s="490"/>
      <c r="C425" s="490"/>
      <c r="D425" s="490"/>
      <c r="L425" s="492" t="s">
        <v>486</v>
      </c>
      <c r="M425" s="492"/>
      <c r="N425" s="492"/>
      <c r="U425" s="257"/>
    </row>
    <row r="426" spans="1:21" ht="18" customHeight="1" x14ac:dyDescent="0.25">
      <c r="A426" s="490" t="s">
        <v>59</v>
      </c>
      <c r="B426" s="490"/>
      <c r="C426" s="490"/>
      <c r="D426" s="490"/>
      <c r="U426" s="257"/>
    </row>
    <row r="427" spans="1:21" ht="18" customHeight="1" x14ac:dyDescent="0.25">
      <c r="A427" s="490" t="s">
        <v>60</v>
      </c>
      <c r="B427" s="490"/>
      <c r="C427" s="490"/>
      <c r="D427" s="490"/>
      <c r="E427" s="272" t="s">
        <v>38</v>
      </c>
      <c r="F427" s="491" t="s">
        <v>39</v>
      </c>
      <c r="G427" s="491"/>
      <c r="H427" s="491"/>
      <c r="I427" s="160"/>
      <c r="J427" s="160"/>
      <c r="K427" s="160"/>
      <c r="L427" s="491" t="s">
        <v>422</v>
      </c>
      <c r="M427" s="491"/>
      <c r="N427" s="491"/>
      <c r="U427" s="257"/>
    </row>
    <row r="428" spans="1:21" ht="18" customHeight="1" x14ac:dyDescent="0.25">
      <c r="A428" s="490" t="s">
        <v>53</v>
      </c>
      <c r="B428" s="490"/>
      <c r="C428" s="490"/>
      <c r="D428" s="490"/>
      <c r="E428" s="272" t="s">
        <v>330</v>
      </c>
      <c r="F428" s="491" t="s">
        <v>54</v>
      </c>
      <c r="G428" s="491"/>
      <c r="H428" s="491"/>
      <c r="I428" s="160"/>
      <c r="J428" s="160"/>
      <c r="K428" s="160"/>
      <c r="L428" s="491" t="s">
        <v>330</v>
      </c>
      <c r="M428" s="491"/>
      <c r="N428" s="491"/>
      <c r="U428" s="257"/>
    </row>
    <row r="429" spans="1:21" ht="18" customHeight="1" x14ac:dyDescent="0.25">
      <c r="A429" s="440"/>
      <c r="B429" s="7"/>
      <c r="C429" s="7"/>
      <c r="D429" s="7"/>
      <c r="E429" s="440"/>
      <c r="G429" s="441"/>
      <c r="H429" s="6"/>
      <c r="I429" s="6"/>
      <c r="K429" s="6"/>
      <c r="L429" s="6"/>
      <c r="M429" s="6"/>
      <c r="N429" s="6"/>
      <c r="U429" s="257"/>
    </row>
    <row r="430" spans="1:21" ht="18" customHeight="1" x14ac:dyDescent="0.25">
      <c r="A430" s="440"/>
      <c r="B430" s="7"/>
      <c r="C430" s="7"/>
      <c r="D430" s="7"/>
      <c r="E430" s="440"/>
      <c r="G430" s="6"/>
      <c r="H430" s="6"/>
      <c r="K430" s="6"/>
      <c r="L430" s="6"/>
      <c r="M430" s="6"/>
    </row>
    <row r="431" spans="1:21" ht="18" customHeight="1" x14ac:dyDescent="0.25">
      <c r="A431" s="27"/>
      <c r="B431" s="7"/>
      <c r="C431" s="7"/>
      <c r="D431" s="7"/>
      <c r="E431" s="440"/>
      <c r="G431" s="6"/>
      <c r="H431" s="6"/>
      <c r="K431" s="6"/>
      <c r="L431" s="6"/>
      <c r="M431" s="6"/>
    </row>
    <row r="432" spans="1:21" ht="18" customHeight="1" x14ac:dyDescent="0.25">
      <c r="A432" s="490" t="s">
        <v>56</v>
      </c>
      <c r="B432" s="490"/>
      <c r="C432" s="490"/>
      <c r="D432" s="490"/>
      <c r="E432" s="444" t="s">
        <v>421</v>
      </c>
      <c r="F432" s="492" t="s">
        <v>51</v>
      </c>
      <c r="G432" s="492"/>
      <c r="H432" s="492"/>
      <c r="I432" s="161"/>
      <c r="J432" s="161"/>
      <c r="K432" s="161"/>
      <c r="L432" s="492" t="s">
        <v>423</v>
      </c>
      <c r="M432" s="492"/>
      <c r="N432" s="492"/>
    </row>
    <row r="433" spans="1:14" ht="18" customHeight="1" x14ac:dyDescent="0.25">
      <c r="A433" s="490" t="s">
        <v>29</v>
      </c>
      <c r="B433" s="490"/>
      <c r="C433" s="490"/>
      <c r="D433" s="490"/>
      <c r="E433" s="444" t="s">
        <v>419</v>
      </c>
      <c r="F433" s="493" t="s">
        <v>58</v>
      </c>
      <c r="G433" s="493"/>
      <c r="H433" s="493"/>
      <c r="I433" s="161"/>
      <c r="J433" s="161"/>
      <c r="K433" s="161"/>
      <c r="L433" s="493" t="s">
        <v>425</v>
      </c>
      <c r="M433" s="493"/>
      <c r="N433" s="493"/>
    </row>
    <row r="434" spans="1:14" ht="18" customHeight="1" x14ac:dyDescent="0.25">
      <c r="A434" s="490" t="s">
        <v>57</v>
      </c>
      <c r="B434" s="490"/>
      <c r="C434" s="490"/>
      <c r="D434" s="490"/>
      <c r="E434" s="444" t="s">
        <v>420</v>
      </c>
      <c r="F434" s="492" t="s">
        <v>47</v>
      </c>
      <c r="G434" s="492"/>
      <c r="H434" s="492"/>
      <c r="I434" s="161"/>
      <c r="J434" s="161"/>
      <c r="K434" s="161"/>
      <c r="L434" s="492" t="s">
        <v>424</v>
      </c>
      <c r="M434" s="492"/>
      <c r="N434" s="492"/>
    </row>
  </sheetData>
  <mergeCells count="33"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  <mergeCell ref="B17:D17"/>
    <mergeCell ref="A426:D426"/>
    <mergeCell ref="A427:D427"/>
    <mergeCell ref="F427:H427"/>
    <mergeCell ref="L427:N427"/>
    <mergeCell ref="A425:D425"/>
    <mergeCell ref="L425:N425"/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</mergeCells>
  <printOptions horizontalCentered="1"/>
  <pageMargins left="0.19685039370078741" right="0.19685039370078741" top="0.39370078740157483" bottom="0.19685039370078741" header="0.31496062992125984" footer="0.31496062992125984"/>
  <pageSetup paperSize="300" scale="56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U434"/>
  <sheetViews>
    <sheetView showGridLines="0" view="pageBreakPreview" zoomScale="90" zoomScaleNormal="85" zoomScaleSheetLayoutView="90" workbookViewId="0">
      <pane xSplit="4" ySplit="16" topLeftCell="E386" activePane="bottomRight" state="frozen"/>
      <selection activeCell="E13" sqref="E13:E14"/>
      <selection pane="topRight" activeCell="E13" sqref="E13:E14"/>
      <selection pane="bottomLeft" activeCell="E13" sqref="E13:E14"/>
      <selection pane="bottomRight" activeCell="D388" sqref="D388"/>
    </sheetView>
  </sheetViews>
  <sheetFormatPr defaultRowHeight="15" customHeight="1" x14ac:dyDescent="0.25"/>
  <cols>
    <col min="1" max="1" width="6" style="293" customWidth="1"/>
    <col min="2" max="2" width="11.5703125" style="293" customWidth="1"/>
    <col min="3" max="3" width="13.7109375" style="293" customWidth="1"/>
    <col min="4" max="4" width="15.85546875" style="293" customWidth="1"/>
    <col min="5" max="5" width="68.5703125" style="293" customWidth="1"/>
    <col min="6" max="6" width="18.140625" style="293" customWidth="1"/>
    <col min="7" max="7" width="16.85546875" style="293" customWidth="1"/>
    <col min="8" max="8" width="15.85546875" style="293" customWidth="1"/>
    <col min="9" max="9" width="18.7109375" style="293" customWidth="1"/>
    <col min="10" max="10" width="15" style="293" customWidth="1"/>
    <col min="11" max="11" width="14" style="293" customWidth="1"/>
    <col min="12" max="12" width="15.140625" style="293" customWidth="1"/>
    <col min="13" max="13" width="16.7109375" style="293" customWidth="1"/>
    <col min="14" max="14" width="19.28515625" style="293" customWidth="1"/>
    <col min="15" max="15" width="4.28515625" style="293" customWidth="1"/>
    <col min="16" max="16" width="18.42578125" style="294" customWidth="1"/>
    <col min="17" max="17" width="14.85546875" style="293" customWidth="1"/>
    <col min="18" max="18" width="15.42578125" style="293" customWidth="1"/>
    <col min="19" max="19" width="20.140625" style="295" customWidth="1"/>
    <col min="20" max="20" width="25.7109375" style="295" customWidth="1"/>
    <col min="21" max="21" width="26.140625" style="293" customWidth="1"/>
    <col min="22" max="16384" width="9.140625" style="293"/>
  </cols>
  <sheetData>
    <row r="1" spans="1:18" s="295" customFormat="1" ht="15" customHeight="1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293"/>
      <c r="P1" s="294"/>
      <c r="Q1" s="293"/>
      <c r="R1" s="293"/>
    </row>
    <row r="2" spans="1:18" s="295" customFormat="1" ht="15" customHeight="1" x14ac:dyDescent="0.25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293"/>
      <c r="P2" s="294"/>
      <c r="Q2" s="293"/>
      <c r="R2" s="293"/>
    </row>
    <row r="3" spans="1:18" s="295" customFormat="1" ht="15" customHeight="1" x14ac:dyDescent="0.25">
      <c r="A3" s="522" t="s">
        <v>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293"/>
      <c r="P3" s="294"/>
      <c r="Q3" s="293"/>
      <c r="R3" s="293"/>
    </row>
    <row r="4" spans="1:18" s="295" customFormat="1" ht="15" customHeight="1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  <c r="Q4" s="293"/>
      <c r="R4" s="293"/>
    </row>
    <row r="5" spans="1:18" s="295" customFormat="1" ht="15" customHeight="1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4"/>
      <c r="Q5" s="293"/>
      <c r="R5" s="293"/>
    </row>
    <row r="6" spans="1:18" s="295" customFormat="1" ht="15" customHeight="1" x14ac:dyDescent="0.25">
      <c r="A6" s="293" t="s">
        <v>3</v>
      </c>
      <c r="B6" s="293"/>
      <c r="C6" s="293"/>
      <c r="D6" s="293" t="s">
        <v>45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Q6" s="293"/>
      <c r="R6" s="293"/>
    </row>
    <row r="7" spans="1:18" s="295" customFormat="1" ht="15" customHeight="1" x14ac:dyDescent="0.25">
      <c r="A7" s="293" t="s">
        <v>4</v>
      </c>
      <c r="B7" s="293"/>
      <c r="C7" s="293"/>
      <c r="D7" s="293" t="s">
        <v>55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4"/>
      <c r="Q7" s="293"/>
      <c r="R7" s="293"/>
    </row>
    <row r="8" spans="1:18" s="295" customFormat="1" ht="15" customHeight="1" x14ac:dyDescent="0.25">
      <c r="A8" s="293" t="s">
        <v>5</v>
      </c>
      <c r="B8" s="293"/>
      <c r="C8" s="293"/>
      <c r="D8" s="504" t="s">
        <v>50</v>
      </c>
      <c r="E8" s="504"/>
      <c r="F8" s="504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293"/>
      <c r="R8" s="293"/>
    </row>
    <row r="9" spans="1:18" s="295" customFormat="1" ht="15" customHeight="1" x14ac:dyDescent="0.25">
      <c r="A9" s="293" t="s">
        <v>6</v>
      </c>
      <c r="B9" s="293"/>
      <c r="C9" s="293"/>
      <c r="D9" s="293" t="s">
        <v>449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4"/>
      <c r="Q9" s="293"/>
      <c r="R9" s="296"/>
    </row>
    <row r="10" spans="1:18" s="295" customFormat="1" ht="15" customHeight="1" x14ac:dyDescent="0.25">
      <c r="A10" s="293" t="s">
        <v>7</v>
      </c>
      <c r="B10" s="293"/>
      <c r="C10" s="293"/>
      <c r="D10" s="293" t="s">
        <v>485</v>
      </c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4"/>
      <c r="Q10" s="293"/>
      <c r="R10" s="296"/>
    </row>
    <row r="11" spans="1:18" s="295" customFormat="1" ht="15" customHeight="1" x14ac:dyDescent="0.25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4"/>
      <c r="Q11" s="293"/>
      <c r="R11" s="296"/>
    </row>
    <row r="12" spans="1:18" s="295" customFormat="1" ht="15" customHeight="1" x14ac:dyDescent="0.25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4"/>
      <c r="Q12" s="293"/>
      <c r="R12" s="296"/>
    </row>
    <row r="13" spans="1:18" s="295" customFormat="1" ht="15" customHeight="1" x14ac:dyDescent="0.25">
      <c r="A13" s="523" t="s">
        <v>37</v>
      </c>
      <c r="B13" s="525" t="s">
        <v>10</v>
      </c>
      <c r="C13" s="526"/>
      <c r="D13" s="527"/>
      <c r="E13" s="531" t="s">
        <v>8</v>
      </c>
      <c r="F13" s="531" t="s">
        <v>9</v>
      </c>
      <c r="G13" s="533" t="s">
        <v>14</v>
      </c>
      <c r="H13" s="533"/>
      <c r="I13" s="533"/>
      <c r="J13" s="533" t="s">
        <v>15</v>
      </c>
      <c r="K13" s="533"/>
      <c r="L13" s="533"/>
      <c r="M13" s="531" t="s">
        <v>17</v>
      </c>
      <c r="N13" s="531" t="s">
        <v>16</v>
      </c>
      <c r="O13" s="293"/>
      <c r="P13" s="294"/>
      <c r="Q13" s="293"/>
      <c r="R13" s="296"/>
    </row>
    <row r="14" spans="1:18" s="295" customFormat="1" ht="15" customHeight="1" x14ac:dyDescent="0.25">
      <c r="A14" s="524"/>
      <c r="B14" s="528"/>
      <c r="C14" s="529"/>
      <c r="D14" s="530"/>
      <c r="E14" s="531"/>
      <c r="F14" s="532"/>
      <c r="G14" s="487" t="s">
        <v>11</v>
      </c>
      <c r="H14" s="487" t="s">
        <v>12</v>
      </c>
      <c r="I14" s="487" t="s">
        <v>13</v>
      </c>
      <c r="J14" s="487" t="s">
        <v>11</v>
      </c>
      <c r="K14" s="487" t="s">
        <v>12</v>
      </c>
      <c r="L14" s="487" t="s">
        <v>13</v>
      </c>
      <c r="M14" s="531"/>
      <c r="N14" s="531"/>
      <c r="O14" s="293"/>
      <c r="P14" s="294"/>
      <c r="Q14" s="293"/>
      <c r="R14" s="298"/>
    </row>
    <row r="15" spans="1:18" s="295" customFormat="1" ht="15" customHeight="1" x14ac:dyDescent="0.25">
      <c r="A15" s="299"/>
      <c r="B15" s="516">
        <v>1</v>
      </c>
      <c r="C15" s="517"/>
      <c r="D15" s="518"/>
      <c r="E15" s="488">
        <v>2</v>
      </c>
      <c r="F15" s="488">
        <v>3</v>
      </c>
      <c r="G15" s="488">
        <v>7</v>
      </c>
      <c r="H15" s="488">
        <v>8</v>
      </c>
      <c r="I15" s="488" t="s">
        <v>18</v>
      </c>
      <c r="J15" s="488">
        <v>10</v>
      </c>
      <c r="K15" s="488">
        <v>11</v>
      </c>
      <c r="L15" s="488" t="s">
        <v>19</v>
      </c>
      <c r="M15" s="488" t="s">
        <v>155</v>
      </c>
      <c r="N15" s="488" t="s">
        <v>36</v>
      </c>
      <c r="O15" s="293"/>
      <c r="P15" s="294"/>
      <c r="Q15" s="293"/>
      <c r="R15" s="293"/>
    </row>
    <row r="16" spans="1:18" s="295" customFormat="1" ht="15" customHeight="1" x14ac:dyDescent="0.25">
      <c r="A16" s="301"/>
      <c r="B16" s="519"/>
      <c r="C16" s="520"/>
      <c r="D16" s="521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293"/>
      <c r="P16" s="294"/>
      <c r="Q16" s="293"/>
      <c r="R16" s="293"/>
    </row>
    <row r="17" spans="1:21" ht="17.100000000000001" customHeight="1" x14ac:dyDescent="0.25">
      <c r="A17" s="303"/>
      <c r="B17" s="534" t="s">
        <v>20</v>
      </c>
      <c r="C17" s="535"/>
      <c r="D17" s="536"/>
      <c r="E17" s="303"/>
      <c r="F17" s="304">
        <f>+F18+F47+F122+F138+F239+F247+F298+F350</f>
        <v>428263811167</v>
      </c>
      <c r="G17" s="304">
        <f>+G18+G47+G122+G138+G239+G247+G298+G350</f>
        <v>9805797967</v>
      </c>
      <c r="H17" s="304">
        <f>+H18+H47+H122+H138+H239+H247+H298+H350</f>
        <v>9782812369</v>
      </c>
      <c r="I17" s="304">
        <f>+G17+H17</f>
        <v>19588610336</v>
      </c>
      <c r="J17" s="304">
        <f>+J18+J47+J122+J138+J239+J247+J298+J350</f>
        <v>114284700</v>
      </c>
      <c r="K17" s="304">
        <f>+K18+K47+K122+K138+K239+K247+K298+K350</f>
        <v>345746731</v>
      </c>
      <c r="L17" s="304">
        <f>+J17+K17</f>
        <v>460031431</v>
      </c>
      <c r="M17" s="304">
        <f>+I17+L17</f>
        <v>20048641767</v>
      </c>
      <c r="N17" s="304">
        <f>+F17-M17</f>
        <v>408215169400</v>
      </c>
      <c r="R17" s="298"/>
      <c r="U17" s="294">
        <f>178000000+33460000+79728000+22342995000+29162378+3014333670+6242819000+179060000+4822000000+316799545+177216575</f>
        <v>37415574168</v>
      </c>
    </row>
    <row r="18" spans="1:21" s="309" customFormat="1" ht="18" customHeight="1" x14ac:dyDescent="0.25">
      <c r="A18" s="276"/>
      <c r="B18" s="305" t="s">
        <v>336</v>
      </c>
      <c r="C18" s="305"/>
      <c r="D18" s="305"/>
      <c r="E18" s="306" t="s">
        <v>335</v>
      </c>
      <c r="F18" s="307">
        <f>+F19+F32</f>
        <v>276269500</v>
      </c>
      <c r="G18" s="308">
        <f>+G19+G32</f>
        <v>0</v>
      </c>
      <c r="H18" s="308">
        <f>+H19+H32</f>
        <v>0</v>
      </c>
      <c r="I18" s="308">
        <f>+G18+H18</f>
        <v>0</v>
      </c>
      <c r="J18" s="308">
        <f>+J19+J32</f>
        <v>8490000</v>
      </c>
      <c r="K18" s="308">
        <f>+K19+K32</f>
        <v>40077500</v>
      </c>
      <c r="L18" s="308">
        <f>+J18+K18</f>
        <v>48567500</v>
      </c>
      <c r="M18" s="308">
        <f>+I18+L18</f>
        <v>48567500</v>
      </c>
      <c r="N18" s="307">
        <f>+F18-M18</f>
        <v>227702000</v>
      </c>
      <c r="P18" s="310">
        <f>+N19+N32+N48+N113+N123+N139+N165+N173+N184+N206+N240+N248+N256+N269+N278+N299+N312+N331+N337+N343+N351+N357+N369+N375</f>
        <v>408215169400</v>
      </c>
      <c r="Q18" s="309" t="s">
        <v>332</v>
      </c>
      <c r="R18" s="311"/>
      <c r="S18" s="312" t="s">
        <v>427</v>
      </c>
      <c r="T18" s="313"/>
    </row>
    <row r="19" spans="1:21" s="319" customFormat="1" ht="18" customHeight="1" x14ac:dyDescent="0.25">
      <c r="A19" s="275">
        <v>1</v>
      </c>
      <c r="B19" s="314"/>
      <c r="C19" s="314" t="s">
        <v>61</v>
      </c>
      <c r="D19" s="315"/>
      <c r="E19" s="316" t="s">
        <v>62</v>
      </c>
      <c r="F19" s="317">
        <f t="shared" ref="F19:H20" si="0">+F20</f>
        <v>117975500</v>
      </c>
      <c r="G19" s="318">
        <f t="shared" si="0"/>
        <v>0</v>
      </c>
      <c r="H19" s="318">
        <f t="shared" si="0"/>
        <v>0</v>
      </c>
      <c r="I19" s="318">
        <f>+G19+H19</f>
        <v>0</v>
      </c>
      <c r="J19" s="318">
        <f>+J20</f>
        <v>4190000</v>
      </c>
      <c r="K19" s="318">
        <f>+K20</f>
        <v>35777500</v>
      </c>
      <c r="L19" s="318">
        <f>+J19+K19</f>
        <v>39967500</v>
      </c>
      <c r="M19" s="318">
        <f>+I19+L19</f>
        <v>39967500</v>
      </c>
      <c r="N19" s="317">
        <f>+F19-M19</f>
        <v>78008000</v>
      </c>
      <c r="P19" s="320"/>
      <c r="R19" s="321"/>
      <c r="S19" s="322">
        <f>SUM(S24:S361)</f>
        <v>345746731</v>
      </c>
      <c r="T19" s="322">
        <f>SUM(T24:T434)</f>
        <v>9782812369</v>
      </c>
    </row>
    <row r="20" spans="1:21" s="329" customFormat="1" ht="18" customHeight="1" x14ac:dyDescent="0.25">
      <c r="A20" s="323"/>
      <c r="B20" s="324"/>
      <c r="C20" s="324"/>
      <c r="D20" s="325" t="s">
        <v>207</v>
      </c>
      <c r="E20" s="326" t="s">
        <v>262</v>
      </c>
      <c r="F20" s="327">
        <f t="shared" si="0"/>
        <v>117975500</v>
      </c>
      <c r="G20" s="328">
        <f t="shared" si="0"/>
        <v>0</v>
      </c>
      <c r="H20" s="328">
        <f t="shared" si="0"/>
        <v>0</v>
      </c>
      <c r="I20" s="328">
        <f>+G20+H20</f>
        <v>0</v>
      </c>
      <c r="J20" s="328">
        <f>+J21</f>
        <v>4190000</v>
      </c>
      <c r="K20" s="328">
        <f>+K21</f>
        <v>35777500</v>
      </c>
      <c r="L20" s="328">
        <f t="shared" ref="L20:L28" si="1">+J20+K20</f>
        <v>39967500</v>
      </c>
      <c r="M20" s="328">
        <f>+I20+L20</f>
        <v>39967500</v>
      </c>
      <c r="N20" s="327">
        <f>+F20-M20</f>
        <v>78008000</v>
      </c>
      <c r="P20" s="330"/>
      <c r="R20" s="331"/>
      <c r="S20" s="332"/>
      <c r="T20" s="332"/>
      <c r="U20" s="333"/>
    </row>
    <row r="21" spans="1:21" s="339" customFormat="1" ht="18" customHeight="1" x14ac:dyDescent="0.25">
      <c r="A21" s="334"/>
      <c r="B21" s="335"/>
      <c r="C21" s="335"/>
      <c r="D21" s="335" t="s">
        <v>63</v>
      </c>
      <c r="E21" s="336" t="s">
        <v>30</v>
      </c>
      <c r="F21" s="337">
        <f>+F22+F29</f>
        <v>117975500</v>
      </c>
      <c r="G21" s="338">
        <f>+G22+G29</f>
        <v>0</v>
      </c>
      <c r="H21" s="338">
        <f>+H22+H29</f>
        <v>0</v>
      </c>
      <c r="I21" s="338">
        <f>+G21+H21</f>
        <v>0</v>
      </c>
      <c r="J21" s="338">
        <f>+J22+J29</f>
        <v>4190000</v>
      </c>
      <c r="K21" s="338">
        <f>+K22+K29</f>
        <v>35777500</v>
      </c>
      <c r="L21" s="338">
        <f>+J21+K21</f>
        <v>39967500</v>
      </c>
      <c r="M21" s="338">
        <f>+I21+L21</f>
        <v>39967500</v>
      </c>
      <c r="N21" s="337">
        <f>+F21-M21</f>
        <v>78008000</v>
      </c>
      <c r="P21" s="340">
        <f>H386+H387+K386+K387</f>
        <v>10286209821</v>
      </c>
      <c r="Q21" s="339" t="s">
        <v>334</v>
      </c>
      <c r="S21" s="341"/>
      <c r="T21" s="341"/>
      <c r="U21" s="342"/>
    </row>
    <row r="22" spans="1:21" s="339" customFormat="1" ht="18" customHeight="1" x14ac:dyDescent="0.25">
      <c r="A22" s="334"/>
      <c r="B22" s="335"/>
      <c r="C22" s="335"/>
      <c r="D22" s="335" t="s">
        <v>263</v>
      </c>
      <c r="E22" s="336" t="s">
        <v>264</v>
      </c>
      <c r="F22" s="337">
        <f>+F23</f>
        <v>65295500</v>
      </c>
      <c r="G22" s="338">
        <f>+G23</f>
        <v>0</v>
      </c>
      <c r="H22" s="338">
        <f>+H23</f>
        <v>0</v>
      </c>
      <c r="I22" s="338">
        <f t="shared" ref="I22:I31" si="2">+G22+H22</f>
        <v>0</v>
      </c>
      <c r="J22" s="338">
        <f>+J23</f>
        <v>0</v>
      </c>
      <c r="K22" s="338">
        <f>+K23</f>
        <v>31587500</v>
      </c>
      <c r="L22" s="338">
        <f t="shared" si="1"/>
        <v>31587500</v>
      </c>
      <c r="M22" s="338">
        <f t="shared" ref="M22:M31" si="3">+I22+L22</f>
        <v>31587500</v>
      </c>
      <c r="N22" s="337">
        <f t="shared" ref="N22:N31" si="4">+F22-M22</f>
        <v>33708000</v>
      </c>
      <c r="P22" s="343">
        <f>+H17+K17</f>
        <v>10128559100</v>
      </c>
      <c r="Q22" s="339" t="s">
        <v>333</v>
      </c>
      <c r="S22" s="341"/>
      <c r="T22" s="341"/>
      <c r="U22" s="342"/>
    </row>
    <row r="23" spans="1:21" s="339" customFormat="1" ht="18" customHeight="1" x14ac:dyDescent="0.25">
      <c r="A23" s="334"/>
      <c r="B23" s="335"/>
      <c r="C23" s="335"/>
      <c r="D23" s="335" t="s">
        <v>64</v>
      </c>
      <c r="E23" s="335" t="s">
        <v>65</v>
      </c>
      <c r="F23" s="337">
        <f>SUM(F24:F28)</f>
        <v>65295500</v>
      </c>
      <c r="G23" s="344">
        <f>SUM(G24:G28)</f>
        <v>0</v>
      </c>
      <c r="H23" s="344">
        <f>SUM(H24:H28)</f>
        <v>0</v>
      </c>
      <c r="I23" s="338">
        <f>+G23+H23</f>
        <v>0</v>
      </c>
      <c r="J23" s="338">
        <f>+SUM(J24:J28)</f>
        <v>0</v>
      </c>
      <c r="K23" s="338">
        <f>+SUM(K24:K28)</f>
        <v>31587500</v>
      </c>
      <c r="L23" s="338">
        <f>+J23+K23</f>
        <v>31587500</v>
      </c>
      <c r="M23" s="338">
        <f>+I23+L23</f>
        <v>31587500</v>
      </c>
      <c r="N23" s="337">
        <f>+F23-M23</f>
        <v>33708000</v>
      </c>
      <c r="P23" s="340"/>
      <c r="S23" s="341"/>
      <c r="T23" s="341"/>
      <c r="U23" s="342"/>
    </row>
    <row r="24" spans="1:21" s="339" customFormat="1" ht="18" customHeight="1" x14ac:dyDescent="0.25">
      <c r="A24" s="334"/>
      <c r="B24" s="335"/>
      <c r="C24" s="335"/>
      <c r="D24" s="335" t="s">
        <v>66</v>
      </c>
      <c r="E24" s="335" t="s">
        <v>67</v>
      </c>
      <c r="F24" s="337">
        <v>7554500</v>
      </c>
      <c r="G24" s="338"/>
      <c r="H24" s="338"/>
      <c r="I24" s="338">
        <f t="shared" si="2"/>
        <v>0</v>
      </c>
      <c r="J24" s="338"/>
      <c r="K24" s="338">
        <v>7554500</v>
      </c>
      <c r="L24" s="338">
        <f t="shared" si="1"/>
        <v>7554500</v>
      </c>
      <c r="M24" s="338">
        <f>+I24+L24</f>
        <v>7554500</v>
      </c>
      <c r="N24" s="337">
        <f t="shared" si="4"/>
        <v>0</v>
      </c>
      <c r="P24" s="340"/>
      <c r="S24" s="455">
        <v>7554500</v>
      </c>
      <c r="T24" s="345"/>
      <c r="U24" s="342"/>
    </row>
    <row r="25" spans="1:21" s="339" customFormat="1" ht="18" customHeight="1" x14ac:dyDescent="0.25">
      <c r="A25" s="334"/>
      <c r="B25" s="335"/>
      <c r="C25" s="335"/>
      <c r="D25" s="335" t="s">
        <v>337</v>
      </c>
      <c r="E25" s="335" t="s">
        <v>338</v>
      </c>
      <c r="F25" s="337">
        <v>6408000</v>
      </c>
      <c r="G25" s="338"/>
      <c r="H25" s="338"/>
      <c r="I25" s="338">
        <f>+G25+H25</f>
        <v>0</v>
      </c>
      <c r="J25" s="338"/>
      <c r="K25" s="338">
        <v>6408000</v>
      </c>
      <c r="L25" s="338">
        <f t="shared" si="1"/>
        <v>6408000</v>
      </c>
      <c r="M25" s="338">
        <f t="shared" si="3"/>
        <v>6408000</v>
      </c>
      <c r="N25" s="337">
        <f t="shared" si="4"/>
        <v>0</v>
      </c>
      <c r="P25" s="340"/>
      <c r="S25" s="455">
        <v>6408000</v>
      </c>
      <c r="T25" s="345"/>
      <c r="U25" s="342"/>
    </row>
    <row r="26" spans="1:21" s="339" customFormat="1" ht="18" customHeight="1" x14ac:dyDescent="0.25">
      <c r="A26" s="334"/>
      <c r="B26" s="335"/>
      <c r="C26" s="335"/>
      <c r="D26" s="335" t="s">
        <v>68</v>
      </c>
      <c r="E26" s="335" t="s">
        <v>69</v>
      </c>
      <c r="F26" s="337">
        <v>44208000</v>
      </c>
      <c r="G26" s="338"/>
      <c r="H26" s="338"/>
      <c r="I26" s="338">
        <f t="shared" si="2"/>
        <v>0</v>
      </c>
      <c r="J26" s="338"/>
      <c r="K26" s="338">
        <f>16875000+750000</f>
        <v>17625000</v>
      </c>
      <c r="L26" s="338">
        <f t="shared" si="1"/>
        <v>17625000</v>
      </c>
      <c r="M26" s="338">
        <f t="shared" si="3"/>
        <v>17625000</v>
      </c>
      <c r="N26" s="337">
        <f t="shared" si="4"/>
        <v>26583000</v>
      </c>
      <c r="P26" s="340">
        <f>5440000000+63000000+730000000+7470000000+6242819000+3024665072+31328939+4570000000+12239500000+3046850000+197720000+310724118</f>
        <v>43366607129</v>
      </c>
      <c r="Q26" s="339" t="s">
        <v>428</v>
      </c>
      <c r="S26" s="455">
        <f>750000+16875000</f>
        <v>17625000</v>
      </c>
      <c r="T26" s="345"/>
      <c r="U26" s="342"/>
    </row>
    <row r="27" spans="1:21" s="339" customFormat="1" ht="18" customHeight="1" x14ac:dyDescent="0.25">
      <c r="A27" s="334"/>
      <c r="B27" s="335"/>
      <c r="C27" s="335"/>
      <c r="D27" s="335" t="s">
        <v>339</v>
      </c>
      <c r="E27" s="335" t="s">
        <v>340</v>
      </c>
      <c r="F27" s="337">
        <v>2125000</v>
      </c>
      <c r="G27" s="338"/>
      <c r="H27" s="338"/>
      <c r="I27" s="338"/>
      <c r="J27" s="338"/>
      <c r="K27" s="338"/>
      <c r="L27" s="338">
        <f t="shared" si="1"/>
        <v>0</v>
      </c>
      <c r="M27" s="338">
        <f t="shared" si="3"/>
        <v>0</v>
      </c>
      <c r="N27" s="337">
        <f t="shared" si="4"/>
        <v>2125000</v>
      </c>
      <c r="P27" s="340"/>
      <c r="S27" s="455"/>
      <c r="T27" s="345"/>
      <c r="U27" s="342"/>
    </row>
    <row r="28" spans="1:21" s="339" customFormat="1" ht="18" customHeight="1" x14ac:dyDescent="0.25">
      <c r="A28" s="334"/>
      <c r="B28" s="335"/>
      <c r="C28" s="335"/>
      <c r="D28" s="335" t="s">
        <v>70</v>
      </c>
      <c r="E28" s="335" t="s">
        <v>33</v>
      </c>
      <c r="F28" s="337">
        <v>5000000</v>
      </c>
      <c r="G28" s="338"/>
      <c r="H28" s="338"/>
      <c r="I28" s="338"/>
      <c r="J28" s="338"/>
      <c r="K28" s="338"/>
      <c r="L28" s="338">
        <f t="shared" si="1"/>
        <v>0</v>
      </c>
      <c r="M28" s="338">
        <f t="shared" si="3"/>
        <v>0</v>
      </c>
      <c r="N28" s="337">
        <f t="shared" si="4"/>
        <v>5000000</v>
      </c>
      <c r="P28" s="340"/>
      <c r="S28" s="455"/>
      <c r="T28" s="345"/>
      <c r="U28" s="342"/>
    </row>
    <row r="29" spans="1:21" s="339" customFormat="1" ht="18" customHeight="1" x14ac:dyDescent="0.25">
      <c r="A29" s="334"/>
      <c r="B29" s="335"/>
      <c r="C29" s="335"/>
      <c r="D29" s="335" t="s">
        <v>271</v>
      </c>
      <c r="E29" s="336" t="s">
        <v>272</v>
      </c>
      <c r="F29" s="337">
        <f>+F30</f>
        <v>52680000</v>
      </c>
      <c r="G29" s="338">
        <f>+G30</f>
        <v>0</v>
      </c>
      <c r="H29" s="338">
        <f>+H30</f>
        <v>0</v>
      </c>
      <c r="I29" s="338">
        <f>+G29+H29</f>
        <v>0</v>
      </c>
      <c r="J29" s="338">
        <f>+J30</f>
        <v>4190000</v>
      </c>
      <c r="K29" s="338">
        <f>+K30</f>
        <v>4190000</v>
      </c>
      <c r="L29" s="338">
        <f>+J29+K29</f>
        <v>8380000</v>
      </c>
      <c r="M29" s="338">
        <f>+I29+L29</f>
        <v>8380000</v>
      </c>
      <c r="N29" s="337">
        <f t="shared" si="4"/>
        <v>44300000</v>
      </c>
      <c r="P29" s="340"/>
      <c r="S29" s="456"/>
      <c r="T29" s="341"/>
      <c r="U29" s="342"/>
    </row>
    <row r="30" spans="1:21" s="339" customFormat="1" ht="18" customHeight="1" x14ac:dyDescent="0.25">
      <c r="A30" s="334"/>
      <c r="B30" s="335"/>
      <c r="C30" s="335"/>
      <c r="D30" s="335" t="s">
        <v>81</v>
      </c>
      <c r="E30" s="335" t="s">
        <v>31</v>
      </c>
      <c r="F30" s="337">
        <f>SUM(F31:F31)</f>
        <v>52680000</v>
      </c>
      <c r="G30" s="344">
        <f>+G31</f>
        <v>0</v>
      </c>
      <c r="H30" s="338">
        <f>+SUM(H31:H31)</f>
        <v>0</v>
      </c>
      <c r="I30" s="338">
        <f t="shared" si="2"/>
        <v>0</v>
      </c>
      <c r="J30" s="338">
        <f>+SUM(J31:J31)</f>
        <v>4190000</v>
      </c>
      <c r="K30" s="338">
        <f>+SUM(K31:K31)</f>
        <v>4190000</v>
      </c>
      <c r="L30" s="338">
        <f>+J30+K30</f>
        <v>8380000</v>
      </c>
      <c r="M30" s="338">
        <f t="shared" si="3"/>
        <v>8380000</v>
      </c>
      <c r="N30" s="337">
        <f t="shared" si="4"/>
        <v>44300000</v>
      </c>
      <c r="P30" s="340"/>
      <c r="S30" s="456"/>
      <c r="T30" s="341"/>
      <c r="U30" s="342"/>
    </row>
    <row r="31" spans="1:21" s="339" customFormat="1" ht="18" customHeight="1" x14ac:dyDescent="0.25">
      <c r="A31" s="334"/>
      <c r="B31" s="335"/>
      <c r="C31" s="335"/>
      <c r="D31" s="335" t="s">
        <v>82</v>
      </c>
      <c r="E31" s="335" t="s">
        <v>83</v>
      </c>
      <c r="F31" s="337">
        <v>52680000</v>
      </c>
      <c r="G31" s="338"/>
      <c r="H31" s="338"/>
      <c r="I31" s="338">
        <f t="shared" si="2"/>
        <v>0</v>
      </c>
      <c r="J31" s="338">
        <v>4190000</v>
      </c>
      <c r="K31" s="338">
        <v>4190000</v>
      </c>
      <c r="L31" s="338">
        <f t="shared" ref="L31" si="5">+J31+K31</f>
        <v>8380000</v>
      </c>
      <c r="M31" s="338">
        <f t="shared" si="3"/>
        <v>8380000</v>
      </c>
      <c r="N31" s="337">
        <f t="shared" si="4"/>
        <v>44300000</v>
      </c>
      <c r="P31" s="340"/>
      <c r="S31" s="455">
        <v>4190000</v>
      </c>
      <c r="T31" s="347"/>
      <c r="U31" s="342"/>
    </row>
    <row r="32" spans="1:21" s="319" customFormat="1" ht="32.25" customHeight="1" x14ac:dyDescent="0.25">
      <c r="A32" s="275">
        <v>2</v>
      </c>
      <c r="B32" s="314"/>
      <c r="C32" s="314" t="s">
        <v>79</v>
      </c>
      <c r="D32" s="315"/>
      <c r="E32" s="348" t="s">
        <v>80</v>
      </c>
      <c r="F32" s="317">
        <f t="shared" ref="F32:H33" si="6">+F33</f>
        <v>158294000</v>
      </c>
      <c r="G32" s="318">
        <f t="shared" si="6"/>
        <v>0</v>
      </c>
      <c r="H32" s="318">
        <f t="shared" si="6"/>
        <v>0</v>
      </c>
      <c r="I32" s="318">
        <f>+G32+H32</f>
        <v>0</v>
      </c>
      <c r="J32" s="318">
        <f>+J33</f>
        <v>4300000</v>
      </c>
      <c r="K32" s="318">
        <f>+K33</f>
        <v>4300000</v>
      </c>
      <c r="L32" s="318">
        <f>+J32+K32</f>
        <v>8600000</v>
      </c>
      <c r="M32" s="318">
        <f>+I32+L32</f>
        <v>8600000</v>
      </c>
      <c r="N32" s="317">
        <f>+F32-M32</f>
        <v>149694000</v>
      </c>
      <c r="P32" s="320"/>
      <c r="R32" s="321"/>
      <c r="S32" s="349"/>
      <c r="T32" s="349"/>
      <c r="U32" s="350"/>
    </row>
    <row r="33" spans="1:21" s="329" customFormat="1" ht="18" customHeight="1" x14ac:dyDescent="0.25">
      <c r="A33" s="323"/>
      <c r="B33" s="324"/>
      <c r="C33" s="324"/>
      <c r="D33" s="325" t="s">
        <v>207</v>
      </c>
      <c r="E33" s="326" t="s">
        <v>262</v>
      </c>
      <c r="F33" s="327">
        <f t="shared" si="6"/>
        <v>158294000</v>
      </c>
      <c r="G33" s="328">
        <f t="shared" si="6"/>
        <v>0</v>
      </c>
      <c r="H33" s="328">
        <f t="shared" si="6"/>
        <v>0</v>
      </c>
      <c r="I33" s="328">
        <f t="shared" ref="I33:I37" si="7">+G33+H33</f>
        <v>0</v>
      </c>
      <c r="J33" s="328">
        <f>+J34</f>
        <v>4300000</v>
      </c>
      <c r="K33" s="328">
        <f>+K34</f>
        <v>4300000</v>
      </c>
      <c r="L33" s="328">
        <f t="shared" ref="L33:L35" si="8">+J33+K33</f>
        <v>8600000</v>
      </c>
      <c r="M33" s="328">
        <f>+I33+L33</f>
        <v>8600000</v>
      </c>
      <c r="N33" s="327">
        <f t="shared" ref="N33:N36" si="9">+F33-M33</f>
        <v>149694000</v>
      </c>
      <c r="P33" s="330"/>
      <c r="R33" s="331"/>
      <c r="S33" s="351"/>
      <c r="T33" s="351"/>
      <c r="U33" s="333"/>
    </row>
    <row r="34" spans="1:21" s="339" customFormat="1" ht="18" customHeight="1" x14ac:dyDescent="0.25">
      <c r="A34" s="334"/>
      <c r="B34" s="335"/>
      <c r="C34" s="335"/>
      <c r="D34" s="335" t="s">
        <v>63</v>
      </c>
      <c r="E34" s="336" t="s">
        <v>30</v>
      </c>
      <c r="F34" s="337">
        <f>+F35+F42</f>
        <v>158294000</v>
      </c>
      <c r="G34" s="338">
        <f>+G35+G42</f>
        <v>0</v>
      </c>
      <c r="H34" s="338">
        <f>+H35+H42</f>
        <v>0</v>
      </c>
      <c r="I34" s="338">
        <f t="shared" si="7"/>
        <v>0</v>
      </c>
      <c r="J34" s="338">
        <f>+J35+J42</f>
        <v>4300000</v>
      </c>
      <c r="K34" s="338">
        <f>+K35+K42</f>
        <v>4300000</v>
      </c>
      <c r="L34" s="338">
        <f t="shared" si="8"/>
        <v>8600000</v>
      </c>
      <c r="M34" s="338">
        <f t="shared" ref="M34:M35" si="10">+I34+L34</f>
        <v>8600000</v>
      </c>
      <c r="N34" s="337">
        <f t="shared" si="9"/>
        <v>149694000</v>
      </c>
      <c r="P34" s="340"/>
      <c r="S34" s="347"/>
      <c r="T34" s="347"/>
      <c r="U34" s="342"/>
    </row>
    <row r="35" spans="1:21" s="339" customFormat="1" ht="18" customHeight="1" x14ac:dyDescent="0.25">
      <c r="A35" s="334"/>
      <c r="B35" s="335"/>
      <c r="C35" s="335"/>
      <c r="D35" s="335" t="s">
        <v>263</v>
      </c>
      <c r="E35" s="336" t="s">
        <v>264</v>
      </c>
      <c r="F35" s="337">
        <f t="shared" ref="F35" si="11">+F36</f>
        <v>76694000</v>
      </c>
      <c r="G35" s="338">
        <f>+G36</f>
        <v>0</v>
      </c>
      <c r="H35" s="338">
        <f>+H36</f>
        <v>0</v>
      </c>
      <c r="I35" s="338">
        <f t="shared" si="7"/>
        <v>0</v>
      </c>
      <c r="J35" s="338">
        <f>+J36</f>
        <v>0</v>
      </c>
      <c r="K35" s="338">
        <f>+K36</f>
        <v>0</v>
      </c>
      <c r="L35" s="338">
        <f t="shared" si="8"/>
        <v>0</v>
      </c>
      <c r="M35" s="338">
        <f t="shared" si="10"/>
        <v>0</v>
      </c>
      <c r="N35" s="337">
        <f t="shared" si="9"/>
        <v>76694000</v>
      </c>
      <c r="P35" s="340"/>
      <c r="S35" s="347"/>
      <c r="T35" s="347"/>
      <c r="U35" s="342"/>
    </row>
    <row r="36" spans="1:21" s="339" customFormat="1" ht="18" customHeight="1" x14ac:dyDescent="0.25">
      <c r="A36" s="334"/>
      <c r="B36" s="335"/>
      <c r="C36" s="335"/>
      <c r="D36" s="335" t="s">
        <v>64</v>
      </c>
      <c r="E36" s="335" t="s">
        <v>65</v>
      </c>
      <c r="F36" s="337">
        <f>SUM(F37:F41)</f>
        <v>76694000</v>
      </c>
      <c r="G36" s="344">
        <f>SUM(G37:G41)</f>
        <v>0</v>
      </c>
      <c r="H36" s="344">
        <f>SUM(H37:H41)</f>
        <v>0</v>
      </c>
      <c r="I36" s="338">
        <f t="shared" si="7"/>
        <v>0</v>
      </c>
      <c r="J36" s="338">
        <f>SUM(J37:J41)</f>
        <v>0</v>
      </c>
      <c r="K36" s="338">
        <f>SUM(K37:K41)</f>
        <v>0</v>
      </c>
      <c r="L36" s="338">
        <f>+J36+K36</f>
        <v>0</v>
      </c>
      <c r="M36" s="338">
        <f>+I36+L36</f>
        <v>0</v>
      </c>
      <c r="N36" s="337">
        <f t="shared" si="9"/>
        <v>76694000</v>
      </c>
      <c r="P36" s="340"/>
      <c r="S36" s="347"/>
      <c r="T36" s="347"/>
      <c r="U36" s="342"/>
    </row>
    <row r="37" spans="1:21" s="339" customFormat="1" ht="18" customHeight="1" x14ac:dyDescent="0.25">
      <c r="A37" s="334"/>
      <c r="B37" s="352"/>
      <c r="C37" s="335"/>
      <c r="D37" s="335" t="s">
        <v>66</v>
      </c>
      <c r="E37" s="335" t="s">
        <v>67</v>
      </c>
      <c r="F37" s="337">
        <v>8160000</v>
      </c>
      <c r="G37" s="338"/>
      <c r="H37" s="338"/>
      <c r="I37" s="338">
        <f t="shared" si="7"/>
        <v>0</v>
      </c>
      <c r="J37" s="338"/>
      <c r="K37" s="338"/>
      <c r="L37" s="338">
        <f t="shared" ref="L37" si="12">+J37+K37</f>
        <v>0</v>
      </c>
      <c r="M37" s="338">
        <f t="shared" ref="M37" si="13">+I37+L37</f>
        <v>0</v>
      </c>
      <c r="N37" s="337">
        <f>+F37-M37</f>
        <v>8160000</v>
      </c>
      <c r="P37" s="340"/>
      <c r="S37" s="346"/>
      <c r="T37" s="347"/>
      <c r="U37" s="342"/>
    </row>
    <row r="38" spans="1:21" s="339" customFormat="1" ht="18" customHeight="1" x14ac:dyDescent="0.25">
      <c r="A38" s="334"/>
      <c r="B38" s="352"/>
      <c r="C38" s="335"/>
      <c r="D38" s="335" t="s">
        <v>337</v>
      </c>
      <c r="E38" s="335" t="s">
        <v>338</v>
      </c>
      <c r="F38" s="337">
        <v>5112000</v>
      </c>
      <c r="G38" s="338"/>
      <c r="H38" s="338"/>
      <c r="I38" s="338"/>
      <c r="J38" s="338"/>
      <c r="K38" s="338"/>
      <c r="L38" s="338">
        <f>+J38+K38</f>
        <v>0</v>
      </c>
      <c r="M38" s="338">
        <f>+I38+L38</f>
        <v>0</v>
      </c>
      <c r="N38" s="337">
        <f>+F38-M38</f>
        <v>5112000</v>
      </c>
      <c r="P38" s="340"/>
      <c r="S38" s="346"/>
      <c r="T38" s="347"/>
      <c r="U38" s="342"/>
    </row>
    <row r="39" spans="1:21" s="339" customFormat="1" ht="18" customHeight="1" x14ac:dyDescent="0.25">
      <c r="A39" s="334"/>
      <c r="B39" s="352"/>
      <c r="C39" s="335"/>
      <c r="D39" s="335" t="s">
        <v>68</v>
      </c>
      <c r="E39" s="335" t="s">
        <v>69</v>
      </c>
      <c r="F39" s="337">
        <v>36414000</v>
      </c>
      <c r="G39" s="338"/>
      <c r="H39" s="338"/>
      <c r="I39" s="338"/>
      <c r="J39" s="338"/>
      <c r="K39" s="338"/>
      <c r="L39" s="338">
        <f t="shared" ref="L39:L41" si="14">+J39+K39</f>
        <v>0</v>
      </c>
      <c r="M39" s="338">
        <f t="shared" ref="M39:M41" si="15">+I39+L39</f>
        <v>0</v>
      </c>
      <c r="N39" s="337">
        <f t="shared" ref="N39:N45" si="16">+F39-M39</f>
        <v>36414000</v>
      </c>
      <c r="P39" s="340"/>
      <c r="S39" s="346"/>
      <c r="T39" s="347"/>
      <c r="U39" s="342"/>
    </row>
    <row r="40" spans="1:21" s="339" customFormat="1" ht="18" customHeight="1" x14ac:dyDescent="0.25">
      <c r="A40" s="334"/>
      <c r="B40" s="352"/>
      <c r="C40" s="335"/>
      <c r="D40" s="335" t="s">
        <v>339</v>
      </c>
      <c r="E40" s="335" t="s">
        <v>340</v>
      </c>
      <c r="F40" s="337">
        <v>12008000</v>
      </c>
      <c r="G40" s="338"/>
      <c r="H40" s="338"/>
      <c r="I40" s="338"/>
      <c r="J40" s="338"/>
      <c r="K40" s="338"/>
      <c r="L40" s="338">
        <f t="shared" si="14"/>
        <v>0</v>
      </c>
      <c r="M40" s="338">
        <f t="shared" si="15"/>
        <v>0</v>
      </c>
      <c r="N40" s="337">
        <f t="shared" si="16"/>
        <v>12008000</v>
      </c>
      <c r="P40" s="340"/>
      <c r="S40" s="346"/>
      <c r="T40" s="347"/>
      <c r="U40" s="342"/>
    </row>
    <row r="41" spans="1:21" s="339" customFormat="1" ht="18" customHeight="1" x14ac:dyDescent="0.25">
      <c r="A41" s="334"/>
      <c r="B41" s="352"/>
      <c r="C41" s="335"/>
      <c r="D41" s="335" t="s">
        <v>70</v>
      </c>
      <c r="E41" s="335" t="s">
        <v>33</v>
      </c>
      <c r="F41" s="337">
        <v>15000000</v>
      </c>
      <c r="G41" s="338"/>
      <c r="H41" s="338"/>
      <c r="I41" s="338">
        <f>+G41+H41</f>
        <v>0</v>
      </c>
      <c r="J41" s="338"/>
      <c r="K41" s="338"/>
      <c r="L41" s="338">
        <f t="shared" si="14"/>
        <v>0</v>
      </c>
      <c r="M41" s="338">
        <f t="shared" si="15"/>
        <v>0</v>
      </c>
      <c r="N41" s="337">
        <f t="shared" si="16"/>
        <v>15000000</v>
      </c>
      <c r="P41" s="340"/>
      <c r="S41" s="346"/>
      <c r="T41" s="347"/>
      <c r="U41" s="342"/>
    </row>
    <row r="42" spans="1:21" s="339" customFormat="1" ht="18" customHeight="1" x14ac:dyDescent="0.25">
      <c r="A42" s="334"/>
      <c r="B42" s="335"/>
      <c r="C42" s="335"/>
      <c r="D42" s="335" t="s">
        <v>271</v>
      </c>
      <c r="E42" s="336" t="s">
        <v>272</v>
      </c>
      <c r="F42" s="337">
        <f>+F43</f>
        <v>81600000</v>
      </c>
      <c r="G42" s="338">
        <f>+G43</f>
        <v>0</v>
      </c>
      <c r="H42" s="338">
        <f>+H43</f>
        <v>0</v>
      </c>
      <c r="I42" s="338">
        <f t="shared" ref="I42:I45" si="17">+G42+H42</f>
        <v>0</v>
      </c>
      <c r="J42" s="338">
        <f>+J43</f>
        <v>4300000</v>
      </c>
      <c r="K42" s="338">
        <f>+K43</f>
        <v>4300000</v>
      </c>
      <c r="L42" s="338">
        <f>+J42+K42</f>
        <v>8600000</v>
      </c>
      <c r="M42" s="338">
        <f>+I42+L42</f>
        <v>8600000</v>
      </c>
      <c r="N42" s="337">
        <f t="shared" si="16"/>
        <v>73000000</v>
      </c>
      <c r="P42" s="340"/>
      <c r="S42" s="346"/>
      <c r="T42" s="347"/>
      <c r="U42" s="342"/>
    </row>
    <row r="43" spans="1:21" s="339" customFormat="1" ht="18" customHeight="1" x14ac:dyDescent="0.25">
      <c r="A43" s="334"/>
      <c r="B43" s="335"/>
      <c r="C43" s="335"/>
      <c r="D43" s="335" t="s">
        <v>81</v>
      </c>
      <c r="E43" s="335" t="s">
        <v>31</v>
      </c>
      <c r="F43" s="337">
        <f>SUM(F44:F45)</f>
        <v>81600000</v>
      </c>
      <c r="G43" s="344">
        <f>+G45</f>
        <v>0</v>
      </c>
      <c r="H43" s="338">
        <f>+SUM(H45:H45)</f>
        <v>0</v>
      </c>
      <c r="I43" s="338">
        <f t="shared" si="17"/>
        <v>0</v>
      </c>
      <c r="J43" s="338">
        <f>+SUM(J45:J45)</f>
        <v>4300000</v>
      </c>
      <c r="K43" s="338">
        <f>+SUM(K45:K45)</f>
        <v>4300000</v>
      </c>
      <c r="L43" s="338">
        <f t="shared" ref="L43:L45" si="18">+J43+K43</f>
        <v>8600000</v>
      </c>
      <c r="M43" s="338">
        <f t="shared" ref="M43:M45" si="19">+I43+L43</f>
        <v>8600000</v>
      </c>
      <c r="N43" s="337">
        <f t="shared" si="16"/>
        <v>73000000</v>
      </c>
      <c r="P43" s="340"/>
      <c r="S43" s="346"/>
      <c r="T43" s="347"/>
      <c r="U43" s="342"/>
    </row>
    <row r="44" spans="1:21" s="339" customFormat="1" ht="18" customHeight="1" x14ac:dyDescent="0.25">
      <c r="A44" s="334"/>
      <c r="B44" s="335"/>
      <c r="C44" s="335"/>
      <c r="D44" s="335" t="s">
        <v>451</v>
      </c>
      <c r="E44" s="335" t="s">
        <v>452</v>
      </c>
      <c r="F44" s="337">
        <v>30000000</v>
      </c>
      <c r="G44" s="338"/>
      <c r="H44" s="338"/>
      <c r="I44" s="338">
        <f t="shared" si="17"/>
        <v>0</v>
      </c>
      <c r="J44" s="338"/>
      <c r="K44" s="338"/>
      <c r="L44" s="338">
        <f t="shared" si="18"/>
        <v>0</v>
      </c>
      <c r="M44" s="338">
        <f t="shared" si="19"/>
        <v>0</v>
      </c>
      <c r="N44" s="337">
        <f t="shared" si="16"/>
        <v>30000000</v>
      </c>
      <c r="P44" s="340"/>
      <c r="S44" s="346"/>
      <c r="T44" s="347"/>
      <c r="U44" s="342"/>
    </row>
    <row r="45" spans="1:21" s="339" customFormat="1" ht="18" customHeight="1" x14ac:dyDescent="0.25">
      <c r="A45" s="334"/>
      <c r="B45" s="335"/>
      <c r="C45" s="335"/>
      <c r="D45" s="335" t="s">
        <v>82</v>
      </c>
      <c r="E45" s="335" t="s">
        <v>83</v>
      </c>
      <c r="F45" s="337">
        <v>51600000</v>
      </c>
      <c r="G45" s="338"/>
      <c r="H45" s="338"/>
      <c r="I45" s="338">
        <f t="shared" si="17"/>
        <v>0</v>
      </c>
      <c r="J45" s="338">
        <v>4300000</v>
      </c>
      <c r="K45" s="338">
        <v>4300000</v>
      </c>
      <c r="L45" s="338">
        <f t="shared" si="18"/>
        <v>8600000</v>
      </c>
      <c r="M45" s="338">
        <f t="shared" si="19"/>
        <v>8600000</v>
      </c>
      <c r="N45" s="337">
        <f t="shared" si="16"/>
        <v>43000000</v>
      </c>
      <c r="P45" s="340"/>
      <c r="S45" s="455">
        <v>4300000</v>
      </c>
      <c r="T45" s="347"/>
      <c r="U45" s="342"/>
    </row>
    <row r="46" spans="1:21" s="153" customFormat="1" ht="18" customHeight="1" x14ac:dyDescent="0.25">
      <c r="A46" s="353"/>
      <c r="B46" s="354"/>
      <c r="C46" s="354"/>
      <c r="D46" s="355"/>
      <c r="E46" s="355"/>
      <c r="F46" s="356"/>
      <c r="G46" s="357"/>
      <c r="H46" s="357"/>
      <c r="I46" s="357"/>
      <c r="J46" s="357"/>
      <c r="K46" s="357"/>
      <c r="L46" s="357"/>
      <c r="M46" s="357"/>
      <c r="N46" s="356"/>
      <c r="P46" s="200"/>
      <c r="S46" s="358"/>
      <c r="T46" s="221"/>
      <c r="U46" s="254"/>
    </row>
    <row r="47" spans="1:21" s="319" customFormat="1" ht="18" customHeight="1" x14ac:dyDescent="0.25">
      <c r="A47" s="276"/>
      <c r="B47" s="305" t="s">
        <v>407</v>
      </c>
      <c r="C47" s="305"/>
      <c r="D47" s="305"/>
      <c r="E47" s="305" t="s">
        <v>408</v>
      </c>
      <c r="F47" s="359">
        <f>+F48+F113</f>
        <v>27970445142</v>
      </c>
      <c r="G47" s="360">
        <f>+G48</f>
        <v>592026147</v>
      </c>
      <c r="H47" s="360">
        <f>+H48+H113</f>
        <v>322803781</v>
      </c>
      <c r="I47" s="360">
        <f>+G47+H47</f>
        <v>914829928</v>
      </c>
      <c r="J47" s="360">
        <f>+J114</f>
        <v>0</v>
      </c>
      <c r="K47" s="360">
        <f>+K114</f>
        <v>2990625</v>
      </c>
      <c r="L47" s="360">
        <f>+J47+K47</f>
        <v>2990625</v>
      </c>
      <c r="M47" s="360">
        <f>+I47+L47</f>
        <v>917820553</v>
      </c>
      <c r="N47" s="359">
        <f>+F47-M47</f>
        <v>27052624589</v>
      </c>
      <c r="P47" s="361"/>
      <c r="R47" s="321"/>
      <c r="S47" s="362"/>
      <c r="T47" s="362"/>
      <c r="U47" s="350"/>
    </row>
    <row r="48" spans="1:21" s="319" customFormat="1" ht="18" customHeight="1" x14ac:dyDescent="0.25">
      <c r="A48" s="276">
        <v>3</v>
      </c>
      <c r="B48" s="305"/>
      <c r="C48" s="305" t="s">
        <v>156</v>
      </c>
      <c r="D48" s="363"/>
      <c r="E48" s="364" t="s">
        <v>157</v>
      </c>
      <c r="F48" s="307">
        <f>+F49</f>
        <v>27939292142</v>
      </c>
      <c r="G48" s="308">
        <f>+G49</f>
        <v>592026147</v>
      </c>
      <c r="H48" s="308">
        <f>+H49</f>
        <v>322803781</v>
      </c>
      <c r="I48" s="308">
        <f>+G48+H48</f>
        <v>914829928</v>
      </c>
      <c r="J48" s="308">
        <f>+J49</f>
        <v>0</v>
      </c>
      <c r="K48" s="308">
        <f>+K49</f>
        <v>0</v>
      </c>
      <c r="L48" s="308">
        <f>+J48+K48</f>
        <v>0</v>
      </c>
      <c r="M48" s="308">
        <f>+I48+L48</f>
        <v>914829928</v>
      </c>
      <c r="N48" s="307">
        <f>+F48-M48</f>
        <v>27024462214</v>
      </c>
      <c r="P48" s="320"/>
      <c r="R48" s="321"/>
      <c r="S48" s="349"/>
      <c r="T48" s="349"/>
      <c r="U48" s="350"/>
    </row>
    <row r="49" spans="1:21" s="329" customFormat="1" ht="18" customHeight="1" x14ac:dyDescent="0.25">
      <c r="A49" s="323"/>
      <c r="B49" s="324"/>
      <c r="C49" s="324"/>
      <c r="D49" s="325" t="s">
        <v>207</v>
      </c>
      <c r="E49" s="326" t="s">
        <v>262</v>
      </c>
      <c r="F49" s="327">
        <f t="shared" ref="F49" si="20">+F50</f>
        <v>27939292142</v>
      </c>
      <c r="G49" s="328">
        <f>+G50</f>
        <v>592026147</v>
      </c>
      <c r="H49" s="328">
        <f>+H50</f>
        <v>322803781</v>
      </c>
      <c r="I49" s="328">
        <f t="shared" ref="I49:I50" si="21">+G49+H49</f>
        <v>914829928</v>
      </c>
      <c r="J49" s="328"/>
      <c r="K49" s="328">
        <f>+K50</f>
        <v>0</v>
      </c>
      <c r="L49" s="328">
        <f t="shared" ref="L49:L112" si="22">+J49+K49</f>
        <v>0</v>
      </c>
      <c r="M49" s="328">
        <f t="shared" ref="M49:M72" si="23">+I49+L49</f>
        <v>914829928</v>
      </c>
      <c r="N49" s="327">
        <f t="shared" ref="N49:N54" si="24">+F49-M49</f>
        <v>27024462214</v>
      </c>
      <c r="P49" s="330"/>
      <c r="R49" s="331"/>
      <c r="S49" s="351"/>
      <c r="T49" s="351"/>
      <c r="U49" s="333"/>
    </row>
    <row r="50" spans="1:21" s="339" customFormat="1" ht="18" customHeight="1" x14ac:dyDescent="0.25">
      <c r="A50" s="334"/>
      <c r="B50" s="335"/>
      <c r="C50" s="335"/>
      <c r="D50" s="365" t="s">
        <v>158</v>
      </c>
      <c r="E50" s="335" t="s">
        <v>159</v>
      </c>
      <c r="F50" s="337">
        <f>F51+F76+F83+F101</f>
        <v>27939292142</v>
      </c>
      <c r="G50" s="344">
        <f>+G51+G83+G101+G76</f>
        <v>592026147</v>
      </c>
      <c r="H50" s="344">
        <f>+H51+H83+H101+H76</f>
        <v>322803781</v>
      </c>
      <c r="I50" s="344">
        <f t="shared" si="21"/>
        <v>914829928</v>
      </c>
      <c r="J50" s="344"/>
      <c r="K50" s="344">
        <f>+K51+K76+K83+K101</f>
        <v>0</v>
      </c>
      <c r="L50" s="344">
        <f t="shared" si="22"/>
        <v>0</v>
      </c>
      <c r="M50" s="344">
        <f t="shared" si="23"/>
        <v>914829928</v>
      </c>
      <c r="N50" s="337">
        <f t="shared" si="24"/>
        <v>27024462214</v>
      </c>
      <c r="P50" s="340"/>
      <c r="S50" s="347"/>
      <c r="T50" s="347"/>
      <c r="U50" s="342"/>
    </row>
    <row r="51" spans="1:21" s="339" customFormat="1" ht="18" customHeight="1" x14ac:dyDescent="0.25">
      <c r="A51" s="334"/>
      <c r="B51" s="335"/>
      <c r="C51" s="335"/>
      <c r="D51" s="365" t="s">
        <v>208</v>
      </c>
      <c r="E51" s="335" t="s">
        <v>209</v>
      </c>
      <c r="F51" s="337">
        <f>F52+F54+F56+F58+F60+F62+F64+F66+F68+F70+F72+F74</f>
        <v>15098272502</v>
      </c>
      <c r="G51" s="344">
        <f>+G52+G54+G56+G58+G60+G62+G64+G66+G68+G70+G72+G74</f>
        <v>321607359</v>
      </c>
      <c r="H51" s="344">
        <f>+H52+H54+H56+H58+H60+H62+H64+H66+H68+H70+H72+H74</f>
        <v>322803781</v>
      </c>
      <c r="I51" s="344">
        <f>+G51+H51</f>
        <v>644411140</v>
      </c>
      <c r="J51" s="344"/>
      <c r="K51" s="344">
        <f>+K52+K54+K56+K58+K60+K62+K64+K66+K68+K70+K72+K74</f>
        <v>0</v>
      </c>
      <c r="L51" s="344">
        <f t="shared" si="22"/>
        <v>0</v>
      </c>
      <c r="M51" s="344">
        <f t="shared" si="23"/>
        <v>644411140</v>
      </c>
      <c r="N51" s="337">
        <f t="shared" si="24"/>
        <v>14453861362</v>
      </c>
      <c r="P51" s="340"/>
      <c r="S51" s="347"/>
      <c r="T51" s="347"/>
      <c r="U51" s="342"/>
    </row>
    <row r="52" spans="1:21" s="339" customFormat="1" ht="18" customHeight="1" x14ac:dyDescent="0.25">
      <c r="A52" s="334"/>
      <c r="B52" s="335"/>
      <c r="C52" s="335"/>
      <c r="D52" s="365" t="s">
        <v>160</v>
      </c>
      <c r="E52" s="335" t="s">
        <v>162</v>
      </c>
      <c r="F52" s="337">
        <f>+F53</f>
        <v>13525507924</v>
      </c>
      <c r="G52" s="344">
        <f>+G53</f>
        <v>241934700</v>
      </c>
      <c r="H52" s="344">
        <f>+H53</f>
        <v>242954900</v>
      </c>
      <c r="I52" s="344">
        <f t="shared" ref="I52" si="25">+G52+H52</f>
        <v>484889600</v>
      </c>
      <c r="J52" s="344"/>
      <c r="K52" s="344">
        <f>+K53</f>
        <v>0</v>
      </c>
      <c r="L52" s="344">
        <f>+J52+K52</f>
        <v>0</v>
      </c>
      <c r="M52" s="344">
        <f t="shared" si="23"/>
        <v>484889600</v>
      </c>
      <c r="N52" s="337">
        <f t="shared" si="24"/>
        <v>13040618324</v>
      </c>
      <c r="P52" s="340"/>
      <c r="S52" s="347"/>
      <c r="T52" s="347"/>
      <c r="U52" s="342"/>
    </row>
    <row r="53" spans="1:21" s="339" customFormat="1" ht="18" customHeight="1" x14ac:dyDescent="0.25">
      <c r="A53" s="334"/>
      <c r="B53" s="335"/>
      <c r="C53" s="335"/>
      <c r="D53" s="365" t="s">
        <v>161</v>
      </c>
      <c r="E53" s="335" t="s">
        <v>163</v>
      </c>
      <c r="F53" s="337">
        <v>13525507924</v>
      </c>
      <c r="G53" s="344">
        <v>241934700</v>
      </c>
      <c r="H53" s="344">
        <v>242954900</v>
      </c>
      <c r="I53" s="344">
        <f>+G53+H53</f>
        <v>484889600</v>
      </c>
      <c r="J53" s="344"/>
      <c r="K53" s="344"/>
      <c r="L53" s="344">
        <f t="shared" si="22"/>
        <v>0</v>
      </c>
      <c r="M53" s="344">
        <f t="shared" si="23"/>
        <v>484889600</v>
      </c>
      <c r="N53" s="337">
        <f t="shared" si="24"/>
        <v>13040618324</v>
      </c>
      <c r="P53" s="340"/>
      <c r="S53" s="347"/>
      <c r="T53" s="346">
        <v>242954900</v>
      </c>
      <c r="U53" s="342"/>
    </row>
    <row r="54" spans="1:21" s="339" customFormat="1" ht="18" customHeight="1" x14ac:dyDescent="0.25">
      <c r="A54" s="334"/>
      <c r="B54" s="335"/>
      <c r="C54" s="335"/>
      <c r="D54" s="365" t="s">
        <v>164</v>
      </c>
      <c r="E54" s="335" t="s">
        <v>166</v>
      </c>
      <c r="F54" s="337">
        <f>+F55</f>
        <v>401878814</v>
      </c>
      <c r="G54" s="344">
        <f>+G55</f>
        <v>24447544</v>
      </c>
      <c r="H54" s="344">
        <f>+H55</f>
        <v>24563352</v>
      </c>
      <c r="I54" s="344">
        <f t="shared" ref="I54:I73" si="26">+G54+H54</f>
        <v>49010896</v>
      </c>
      <c r="J54" s="344"/>
      <c r="K54" s="344">
        <f>+K55</f>
        <v>0</v>
      </c>
      <c r="L54" s="344">
        <f>+J54+K54</f>
        <v>0</v>
      </c>
      <c r="M54" s="344">
        <f t="shared" si="23"/>
        <v>49010896</v>
      </c>
      <c r="N54" s="337">
        <f t="shared" si="24"/>
        <v>352867918</v>
      </c>
      <c r="P54" s="340"/>
      <c r="S54" s="347"/>
      <c r="T54" s="346"/>
      <c r="U54" s="342"/>
    </row>
    <row r="55" spans="1:21" s="339" customFormat="1" ht="18" customHeight="1" x14ac:dyDescent="0.25">
      <c r="A55" s="334"/>
      <c r="B55" s="335"/>
      <c r="C55" s="335"/>
      <c r="D55" s="365" t="s">
        <v>165</v>
      </c>
      <c r="E55" s="335" t="s">
        <v>167</v>
      </c>
      <c r="F55" s="337">
        <v>401878814</v>
      </c>
      <c r="G55" s="344">
        <v>24447544</v>
      </c>
      <c r="H55" s="344">
        <v>24563352</v>
      </c>
      <c r="I55" s="344">
        <f t="shared" si="26"/>
        <v>49010896</v>
      </c>
      <c r="J55" s="344"/>
      <c r="K55" s="344"/>
      <c r="L55" s="344">
        <f t="shared" si="22"/>
        <v>0</v>
      </c>
      <c r="M55" s="344">
        <f t="shared" si="23"/>
        <v>49010896</v>
      </c>
      <c r="N55" s="337">
        <f>+F55-M55</f>
        <v>352867918</v>
      </c>
      <c r="P55" s="340"/>
      <c r="S55" s="347"/>
      <c r="T55" s="346">
        <v>24563352</v>
      </c>
      <c r="U55" s="342"/>
    </row>
    <row r="56" spans="1:21" s="339" customFormat="1" ht="18" customHeight="1" x14ac:dyDescent="0.25">
      <c r="A56" s="334"/>
      <c r="B56" s="335"/>
      <c r="C56" s="335"/>
      <c r="D56" s="365" t="s">
        <v>168</v>
      </c>
      <c r="E56" s="335" t="s">
        <v>170</v>
      </c>
      <c r="F56" s="337">
        <f>+F57</f>
        <v>290052000</v>
      </c>
      <c r="G56" s="344">
        <f>+G57</f>
        <v>17805000</v>
      </c>
      <c r="H56" s="344">
        <f>+H57</f>
        <v>17805000</v>
      </c>
      <c r="I56" s="344">
        <f t="shared" si="26"/>
        <v>35610000</v>
      </c>
      <c r="J56" s="344"/>
      <c r="K56" s="344">
        <f>+K57</f>
        <v>0</v>
      </c>
      <c r="L56" s="344">
        <f t="shared" si="22"/>
        <v>0</v>
      </c>
      <c r="M56" s="344">
        <f t="shared" si="23"/>
        <v>35610000</v>
      </c>
      <c r="N56" s="337">
        <f t="shared" ref="N56:N58" si="27">+F56-M56</f>
        <v>254442000</v>
      </c>
      <c r="P56" s="340"/>
      <c r="S56" s="347"/>
      <c r="T56" s="346"/>
      <c r="U56" s="342"/>
    </row>
    <row r="57" spans="1:21" s="339" customFormat="1" ht="18" customHeight="1" x14ac:dyDescent="0.25">
      <c r="A57" s="334"/>
      <c r="B57" s="335"/>
      <c r="C57" s="335"/>
      <c r="D57" s="365" t="s">
        <v>169</v>
      </c>
      <c r="E57" s="335" t="s">
        <v>171</v>
      </c>
      <c r="F57" s="337">
        <v>290052000</v>
      </c>
      <c r="G57" s="344">
        <v>17805000</v>
      </c>
      <c r="H57" s="344">
        <v>17805000</v>
      </c>
      <c r="I57" s="344">
        <f t="shared" si="26"/>
        <v>35610000</v>
      </c>
      <c r="J57" s="344"/>
      <c r="K57" s="344"/>
      <c r="L57" s="344">
        <f t="shared" si="22"/>
        <v>0</v>
      </c>
      <c r="M57" s="344">
        <f t="shared" si="23"/>
        <v>35610000</v>
      </c>
      <c r="N57" s="337">
        <f t="shared" si="27"/>
        <v>254442000</v>
      </c>
      <c r="P57" s="340"/>
      <c r="S57" s="347"/>
      <c r="T57" s="346">
        <v>17805000</v>
      </c>
      <c r="U57" s="342"/>
    </row>
    <row r="58" spans="1:21" s="339" customFormat="1" ht="18" customHeight="1" x14ac:dyDescent="0.25">
      <c r="A58" s="334"/>
      <c r="B58" s="335"/>
      <c r="C58" s="335"/>
      <c r="D58" s="365" t="s">
        <v>172</v>
      </c>
      <c r="E58" s="335" t="s">
        <v>174</v>
      </c>
      <c r="F58" s="337">
        <f>+F59</f>
        <v>62496000</v>
      </c>
      <c r="G58" s="344">
        <f>+G59</f>
        <v>960000</v>
      </c>
      <c r="H58" s="344">
        <f>+H59</f>
        <v>960000</v>
      </c>
      <c r="I58" s="344">
        <f t="shared" si="26"/>
        <v>1920000</v>
      </c>
      <c r="J58" s="344"/>
      <c r="K58" s="344">
        <f>+K59</f>
        <v>0</v>
      </c>
      <c r="L58" s="344">
        <f t="shared" si="22"/>
        <v>0</v>
      </c>
      <c r="M58" s="344">
        <f t="shared" si="23"/>
        <v>1920000</v>
      </c>
      <c r="N58" s="337">
        <f t="shared" si="27"/>
        <v>60576000</v>
      </c>
      <c r="P58" s="340"/>
      <c r="S58" s="347"/>
      <c r="T58" s="346"/>
      <c r="U58" s="342"/>
    </row>
    <row r="59" spans="1:21" s="339" customFormat="1" ht="18" customHeight="1" x14ac:dyDescent="0.25">
      <c r="A59" s="334"/>
      <c r="B59" s="335"/>
      <c r="C59" s="335"/>
      <c r="D59" s="365" t="s">
        <v>173</v>
      </c>
      <c r="E59" s="335" t="s">
        <v>175</v>
      </c>
      <c r="F59" s="337">
        <v>62496000</v>
      </c>
      <c r="G59" s="344">
        <v>960000</v>
      </c>
      <c r="H59" s="344">
        <v>960000</v>
      </c>
      <c r="I59" s="344">
        <f t="shared" si="26"/>
        <v>1920000</v>
      </c>
      <c r="J59" s="344"/>
      <c r="K59" s="344"/>
      <c r="L59" s="344">
        <f t="shared" si="22"/>
        <v>0</v>
      </c>
      <c r="M59" s="344">
        <f t="shared" si="23"/>
        <v>1920000</v>
      </c>
      <c r="N59" s="337">
        <f>+F59-M59</f>
        <v>60576000</v>
      </c>
      <c r="P59" s="340"/>
      <c r="S59" s="347"/>
      <c r="T59" s="346">
        <v>960000</v>
      </c>
      <c r="U59" s="342"/>
    </row>
    <row r="60" spans="1:21" s="339" customFormat="1" ht="18" customHeight="1" x14ac:dyDescent="0.25">
      <c r="A60" s="334"/>
      <c r="B60" s="335"/>
      <c r="C60" s="335"/>
      <c r="D60" s="365" t="s">
        <v>176</v>
      </c>
      <c r="E60" s="335" t="s">
        <v>178</v>
      </c>
      <c r="F60" s="337">
        <f>+F61</f>
        <v>126672000</v>
      </c>
      <c r="G60" s="344">
        <f>+G61</f>
        <v>7730000</v>
      </c>
      <c r="H60" s="344">
        <f>+H61</f>
        <v>7735000</v>
      </c>
      <c r="I60" s="344">
        <f t="shared" si="26"/>
        <v>15465000</v>
      </c>
      <c r="J60" s="344"/>
      <c r="K60" s="344">
        <f>+K61</f>
        <v>0</v>
      </c>
      <c r="L60" s="344">
        <f t="shared" si="22"/>
        <v>0</v>
      </c>
      <c r="M60" s="344">
        <f t="shared" si="23"/>
        <v>15465000</v>
      </c>
      <c r="N60" s="337">
        <f t="shared" ref="N60:N72" si="28">+F60-M60</f>
        <v>111207000</v>
      </c>
      <c r="P60" s="340"/>
      <c r="S60" s="347"/>
      <c r="T60" s="346"/>
      <c r="U60" s="342"/>
    </row>
    <row r="61" spans="1:21" s="339" customFormat="1" ht="18" customHeight="1" x14ac:dyDescent="0.25">
      <c r="A61" s="334"/>
      <c r="B61" s="335"/>
      <c r="C61" s="335"/>
      <c r="D61" s="365" t="s">
        <v>177</v>
      </c>
      <c r="E61" s="335" t="s">
        <v>179</v>
      </c>
      <c r="F61" s="337">
        <v>126672000</v>
      </c>
      <c r="G61" s="344">
        <v>7730000</v>
      </c>
      <c r="H61" s="344">
        <v>7735000</v>
      </c>
      <c r="I61" s="344">
        <f t="shared" si="26"/>
        <v>15465000</v>
      </c>
      <c r="J61" s="344"/>
      <c r="K61" s="344"/>
      <c r="L61" s="344">
        <f t="shared" si="22"/>
        <v>0</v>
      </c>
      <c r="M61" s="344">
        <f t="shared" si="23"/>
        <v>15465000</v>
      </c>
      <c r="N61" s="337">
        <f t="shared" si="28"/>
        <v>111207000</v>
      </c>
      <c r="P61" s="340"/>
      <c r="S61" s="347"/>
      <c r="T61" s="346">
        <v>7735000</v>
      </c>
      <c r="U61" s="342"/>
    </row>
    <row r="62" spans="1:21" s="339" customFormat="1" ht="18" customHeight="1" x14ac:dyDescent="0.25">
      <c r="A62" s="334"/>
      <c r="B62" s="335"/>
      <c r="C62" s="335"/>
      <c r="D62" s="365" t="s">
        <v>180</v>
      </c>
      <c r="E62" s="335" t="s">
        <v>182</v>
      </c>
      <c r="F62" s="337">
        <f>+F63</f>
        <v>237247920</v>
      </c>
      <c r="G62" s="344">
        <f>+G63</f>
        <v>14411580</v>
      </c>
      <c r="H62" s="344">
        <f>+H63</f>
        <v>14411580</v>
      </c>
      <c r="I62" s="344">
        <f t="shared" si="26"/>
        <v>28823160</v>
      </c>
      <c r="J62" s="344"/>
      <c r="K62" s="344">
        <f>+K63</f>
        <v>0</v>
      </c>
      <c r="L62" s="344">
        <f t="shared" si="22"/>
        <v>0</v>
      </c>
      <c r="M62" s="344">
        <f t="shared" si="23"/>
        <v>28823160</v>
      </c>
      <c r="N62" s="337">
        <f t="shared" si="28"/>
        <v>208424760</v>
      </c>
      <c r="P62" s="340"/>
      <c r="S62" s="347"/>
      <c r="T62" s="347"/>
      <c r="U62" s="342"/>
    </row>
    <row r="63" spans="1:21" s="339" customFormat="1" ht="18" customHeight="1" x14ac:dyDescent="0.25">
      <c r="A63" s="334"/>
      <c r="B63" s="335"/>
      <c r="C63" s="335"/>
      <c r="D63" s="365" t="s">
        <v>181</v>
      </c>
      <c r="E63" s="335" t="s">
        <v>183</v>
      </c>
      <c r="F63" s="337">
        <v>237247920</v>
      </c>
      <c r="G63" s="344">
        <v>14411580</v>
      </c>
      <c r="H63" s="344">
        <v>14411580</v>
      </c>
      <c r="I63" s="344">
        <f t="shared" si="26"/>
        <v>28823160</v>
      </c>
      <c r="J63" s="344"/>
      <c r="K63" s="344"/>
      <c r="L63" s="344">
        <f t="shared" si="22"/>
        <v>0</v>
      </c>
      <c r="M63" s="344">
        <f t="shared" si="23"/>
        <v>28823160</v>
      </c>
      <c r="N63" s="337">
        <f t="shared" si="28"/>
        <v>208424760</v>
      </c>
      <c r="P63" s="340"/>
      <c r="S63" s="347"/>
      <c r="T63" s="346">
        <v>14411580</v>
      </c>
      <c r="U63" s="342"/>
    </row>
    <row r="64" spans="1:21" s="339" customFormat="1" ht="18" customHeight="1" x14ac:dyDescent="0.25">
      <c r="A64" s="334"/>
      <c r="B64" s="335"/>
      <c r="C64" s="335"/>
      <c r="D64" s="365" t="s">
        <v>184</v>
      </c>
      <c r="E64" s="335" t="s">
        <v>186</v>
      </c>
      <c r="F64" s="337">
        <f>+F65</f>
        <v>202631050</v>
      </c>
      <c r="G64" s="344">
        <f>+G65</f>
        <v>277647</v>
      </c>
      <c r="H64" s="344">
        <f>+H65</f>
        <v>277647</v>
      </c>
      <c r="I64" s="344">
        <f t="shared" si="26"/>
        <v>555294</v>
      </c>
      <c r="J64" s="344"/>
      <c r="K64" s="344">
        <f>+K65</f>
        <v>0</v>
      </c>
      <c r="L64" s="344">
        <f t="shared" si="22"/>
        <v>0</v>
      </c>
      <c r="M64" s="344">
        <f t="shared" si="23"/>
        <v>555294</v>
      </c>
      <c r="N64" s="337">
        <f t="shared" si="28"/>
        <v>202075756</v>
      </c>
      <c r="P64" s="340"/>
      <c r="S64" s="347"/>
      <c r="T64" s="346"/>
      <c r="U64" s="342"/>
    </row>
    <row r="65" spans="1:21" s="339" customFormat="1" ht="18" customHeight="1" x14ac:dyDescent="0.25">
      <c r="A65" s="334"/>
      <c r="B65" s="335"/>
      <c r="C65" s="335"/>
      <c r="D65" s="365" t="s">
        <v>185</v>
      </c>
      <c r="E65" s="335" t="s">
        <v>187</v>
      </c>
      <c r="F65" s="337">
        <v>202631050</v>
      </c>
      <c r="G65" s="344">
        <v>277647</v>
      </c>
      <c r="H65" s="344">
        <v>277647</v>
      </c>
      <c r="I65" s="344">
        <f t="shared" si="26"/>
        <v>555294</v>
      </c>
      <c r="J65" s="344"/>
      <c r="K65" s="344"/>
      <c r="L65" s="344">
        <f t="shared" si="22"/>
        <v>0</v>
      </c>
      <c r="M65" s="344">
        <f t="shared" si="23"/>
        <v>555294</v>
      </c>
      <c r="N65" s="337">
        <f t="shared" si="28"/>
        <v>202075756</v>
      </c>
      <c r="P65" s="340"/>
      <c r="S65" s="347"/>
      <c r="T65" s="346">
        <v>277647</v>
      </c>
      <c r="U65" s="342"/>
    </row>
    <row r="66" spans="1:21" s="339" customFormat="1" ht="18" customHeight="1" x14ac:dyDescent="0.25">
      <c r="A66" s="334"/>
      <c r="B66" s="335"/>
      <c r="C66" s="335"/>
      <c r="D66" s="365" t="s">
        <v>188</v>
      </c>
      <c r="E66" s="335" t="s">
        <v>190</v>
      </c>
      <c r="F66" s="337">
        <f t="shared" ref="F66" si="29">+F67</f>
        <v>51845</v>
      </c>
      <c r="G66" s="344">
        <f>+G67</f>
        <v>3223</v>
      </c>
      <c r="H66" s="344">
        <f>+H67</f>
        <v>3205</v>
      </c>
      <c r="I66" s="344">
        <f t="shared" si="26"/>
        <v>6428</v>
      </c>
      <c r="J66" s="344"/>
      <c r="K66" s="344">
        <f>+K67</f>
        <v>0</v>
      </c>
      <c r="L66" s="344">
        <f t="shared" si="22"/>
        <v>0</v>
      </c>
      <c r="M66" s="344">
        <f t="shared" si="23"/>
        <v>6428</v>
      </c>
      <c r="N66" s="337">
        <f t="shared" si="28"/>
        <v>45417</v>
      </c>
      <c r="P66" s="340"/>
      <c r="S66" s="347"/>
      <c r="T66" s="346"/>
      <c r="U66" s="342"/>
    </row>
    <row r="67" spans="1:21" s="339" customFormat="1" ht="18" customHeight="1" x14ac:dyDescent="0.25">
      <c r="A67" s="334"/>
      <c r="B67" s="335"/>
      <c r="C67" s="335"/>
      <c r="D67" s="365" t="s">
        <v>189</v>
      </c>
      <c r="E67" s="335" t="s">
        <v>329</v>
      </c>
      <c r="F67" s="337">
        <v>51845</v>
      </c>
      <c r="G67" s="344">
        <v>3223</v>
      </c>
      <c r="H67" s="344">
        <v>3205</v>
      </c>
      <c r="I67" s="344">
        <f t="shared" si="26"/>
        <v>6428</v>
      </c>
      <c r="J67" s="344"/>
      <c r="K67" s="344"/>
      <c r="L67" s="344">
        <f t="shared" si="22"/>
        <v>0</v>
      </c>
      <c r="M67" s="344">
        <f t="shared" si="23"/>
        <v>6428</v>
      </c>
      <c r="N67" s="337">
        <f t="shared" si="28"/>
        <v>45417</v>
      </c>
      <c r="P67" s="340"/>
      <c r="S67" s="347"/>
      <c r="T67" s="346">
        <v>3205</v>
      </c>
      <c r="U67" s="342"/>
    </row>
    <row r="68" spans="1:21" s="339" customFormat="1" ht="18" customHeight="1" x14ac:dyDescent="0.25">
      <c r="A68" s="334"/>
      <c r="B68" s="335"/>
      <c r="C68" s="335"/>
      <c r="D68" s="365" t="s">
        <v>191</v>
      </c>
      <c r="E68" s="335" t="s">
        <v>193</v>
      </c>
      <c r="F68" s="337">
        <f t="shared" ref="F68" si="30">+F69</f>
        <v>190139023</v>
      </c>
      <c r="G68" s="344">
        <f>+G69</f>
        <v>11715091</v>
      </c>
      <c r="H68" s="344">
        <f>+H69</f>
        <v>11760731</v>
      </c>
      <c r="I68" s="344">
        <f t="shared" si="26"/>
        <v>23475822</v>
      </c>
      <c r="J68" s="344"/>
      <c r="K68" s="344">
        <f>+K69</f>
        <v>0</v>
      </c>
      <c r="L68" s="344">
        <f t="shared" si="22"/>
        <v>0</v>
      </c>
      <c r="M68" s="344">
        <f t="shared" si="23"/>
        <v>23475822</v>
      </c>
      <c r="N68" s="337">
        <f t="shared" si="28"/>
        <v>166663201</v>
      </c>
      <c r="P68" s="340"/>
      <c r="S68" s="347"/>
      <c r="T68" s="346"/>
      <c r="U68" s="342"/>
    </row>
    <row r="69" spans="1:21" s="339" customFormat="1" ht="18" customHeight="1" x14ac:dyDescent="0.25">
      <c r="A69" s="334"/>
      <c r="B69" s="335"/>
      <c r="C69" s="335"/>
      <c r="D69" s="365" t="s">
        <v>192</v>
      </c>
      <c r="E69" s="335" t="s">
        <v>194</v>
      </c>
      <c r="F69" s="337">
        <v>190139023</v>
      </c>
      <c r="G69" s="344">
        <v>11715091</v>
      </c>
      <c r="H69" s="344">
        <v>11760731</v>
      </c>
      <c r="I69" s="344">
        <f t="shared" si="26"/>
        <v>23475822</v>
      </c>
      <c r="J69" s="344"/>
      <c r="K69" s="344"/>
      <c r="L69" s="344">
        <f t="shared" si="22"/>
        <v>0</v>
      </c>
      <c r="M69" s="344">
        <f t="shared" si="23"/>
        <v>23475822</v>
      </c>
      <c r="N69" s="337">
        <f t="shared" si="28"/>
        <v>166663201</v>
      </c>
      <c r="P69" s="340"/>
      <c r="S69" s="347"/>
      <c r="T69" s="346">
        <v>11760731</v>
      </c>
      <c r="U69" s="342"/>
    </row>
    <row r="70" spans="1:21" s="339" customFormat="1" ht="18" customHeight="1" x14ac:dyDescent="0.25">
      <c r="A70" s="334"/>
      <c r="B70" s="335"/>
      <c r="C70" s="335"/>
      <c r="D70" s="365" t="s">
        <v>195</v>
      </c>
      <c r="E70" s="335" t="s">
        <v>197</v>
      </c>
      <c r="F70" s="337">
        <f t="shared" ref="F70" si="31">+F71</f>
        <v>9404942</v>
      </c>
      <c r="G70" s="344">
        <f>+G71</f>
        <v>580644</v>
      </c>
      <c r="H70" s="344">
        <f>+H71</f>
        <v>583091</v>
      </c>
      <c r="I70" s="344">
        <f t="shared" si="26"/>
        <v>1163735</v>
      </c>
      <c r="J70" s="344"/>
      <c r="K70" s="344">
        <f>+K71</f>
        <v>0</v>
      </c>
      <c r="L70" s="344">
        <f t="shared" si="22"/>
        <v>0</v>
      </c>
      <c r="M70" s="344">
        <f t="shared" si="23"/>
        <v>1163735</v>
      </c>
      <c r="N70" s="337">
        <f t="shared" si="28"/>
        <v>8241207</v>
      </c>
      <c r="P70" s="340"/>
      <c r="S70" s="347"/>
      <c r="T70" s="346"/>
      <c r="U70" s="342"/>
    </row>
    <row r="71" spans="1:21" s="339" customFormat="1" ht="18" customHeight="1" x14ac:dyDescent="0.25">
      <c r="A71" s="334"/>
      <c r="B71" s="335"/>
      <c r="C71" s="335"/>
      <c r="D71" s="365" t="s">
        <v>196</v>
      </c>
      <c r="E71" s="335" t="s">
        <v>198</v>
      </c>
      <c r="F71" s="337">
        <v>9404942</v>
      </c>
      <c r="G71" s="344">
        <v>580644</v>
      </c>
      <c r="H71" s="344">
        <v>583091</v>
      </c>
      <c r="I71" s="344">
        <f t="shared" si="26"/>
        <v>1163735</v>
      </c>
      <c r="J71" s="344"/>
      <c r="K71" s="344"/>
      <c r="L71" s="344">
        <f t="shared" si="22"/>
        <v>0</v>
      </c>
      <c r="M71" s="344">
        <f t="shared" si="23"/>
        <v>1163735</v>
      </c>
      <c r="N71" s="337">
        <f t="shared" si="28"/>
        <v>8241207</v>
      </c>
      <c r="P71" s="340"/>
      <c r="S71" s="347"/>
      <c r="T71" s="346">
        <v>583091</v>
      </c>
      <c r="U71" s="342"/>
    </row>
    <row r="72" spans="1:21" s="339" customFormat="1" ht="18" customHeight="1" x14ac:dyDescent="0.25">
      <c r="A72" s="334"/>
      <c r="B72" s="335"/>
      <c r="C72" s="335"/>
      <c r="D72" s="365" t="s">
        <v>199</v>
      </c>
      <c r="E72" s="335" t="s">
        <v>201</v>
      </c>
      <c r="F72" s="337">
        <f>+F73</f>
        <v>28215046</v>
      </c>
      <c r="G72" s="344">
        <f>+G73</f>
        <v>1741930</v>
      </c>
      <c r="H72" s="344">
        <f>+H73</f>
        <v>1749275</v>
      </c>
      <c r="I72" s="344">
        <f t="shared" si="26"/>
        <v>3491205</v>
      </c>
      <c r="J72" s="344"/>
      <c r="K72" s="344">
        <f>+K73</f>
        <v>0</v>
      </c>
      <c r="L72" s="344">
        <f t="shared" si="22"/>
        <v>0</v>
      </c>
      <c r="M72" s="344">
        <f t="shared" si="23"/>
        <v>3491205</v>
      </c>
      <c r="N72" s="337">
        <f t="shared" si="28"/>
        <v>24723841</v>
      </c>
      <c r="P72" s="340"/>
      <c r="S72" s="347"/>
      <c r="T72" s="347"/>
      <c r="U72" s="342"/>
    </row>
    <row r="73" spans="1:21" s="339" customFormat="1" ht="18" customHeight="1" x14ac:dyDescent="0.25">
      <c r="A73" s="334"/>
      <c r="B73" s="335"/>
      <c r="C73" s="335"/>
      <c r="D73" s="365" t="s">
        <v>200</v>
      </c>
      <c r="E73" s="335" t="s">
        <v>202</v>
      </c>
      <c r="F73" s="337">
        <v>28215046</v>
      </c>
      <c r="G73" s="344">
        <v>1741930</v>
      </c>
      <c r="H73" s="344">
        <v>1749275</v>
      </c>
      <c r="I73" s="344">
        <f t="shared" si="26"/>
        <v>3491205</v>
      </c>
      <c r="J73" s="344"/>
      <c r="K73" s="344"/>
      <c r="L73" s="344">
        <f t="shared" si="22"/>
        <v>0</v>
      </c>
      <c r="M73" s="344">
        <f>+I73+L73</f>
        <v>3491205</v>
      </c>
      <c r="N73" s="337">
        <f>+F73-M73</f>
        <v>24723841</v>
      </c>
      <c r="P73" s="340"/>
      <c r="S73" s="347"/>
      <c r="T73" s="346">
        <v>1749275</v>
      </c>
      <c r="U73" s="342"/>
    </row>
    <row r="74" spans="1:21" s="339" customFormat="1" ht="18" customHeight="1" x14ac:dyDescent="0.25">
      <c r="A74" s="334"/>
      <c r="B74" s="335"/>
      <c r="C74" s="335"/>
      <c r="D74" s="365" t="s">
        <v>203</v>
      </c>
      <c r="E74" s="335" t="s">
        <v>205</v>
      </c>
      <c r="F74" s="337">
        <f>+F75</f>
        <v>23975938</v>
      </c>
      <c r="G74" s="344">
        <f>G75</f>
        <v>0</v>
      </c>
      <c r="H74" s="344">
        <f>+H75</f>
        <v>0</v>
      </c>
      <c r="I74" s="344">
        <f>+I75</f>
        <v>0</v>
      </c>
      <c r="J74" s="344"/>
      <c r="K74" s="344">
        <f>+K75</f>
        <v>0</v>
      </c>
      <c r="L74" s="344">
        <f t="shared" si="22"/>
        <v>0</v>
      </c>
      <c r="M74" s="344">
        <f t="shared" ref="M74:M101" si="32">+I74+L74</f>
        <v>0</v>
      </c>
      <c r="N74" s="337">
        <f t="shared" ref="N74:N84" si="33">+F74-M74</f>
        <v>23975938</v>
      </c>
      <c r="P74" s="340"/>
      <c r="S74" s="347"/>
      <c r="T74" s="347"/>
      <c r="U74" s="342"/>
    </row>
    <row r="75" spans="1:21" s="339" customFormat="1" ht="18" customHeight="1" x14ac:dyDescent="0.25">
      <c r="A75" s="334"/>
      <c r="B75" s="335"/>
      <c r="C75" s="335"/>
      <c r="D75" s="365" t="s">
        <v>204</v>
      </c>
      <c r="E75" s="335" t="s">
        <v>206</v>
      </c>
      <c r="F75" s="337">
        <v>23975938</v>
      </c>
      <c r="G75" s="344"/>
      <c r="H75" s="344"/>
      <c r="I75" s="344">
        <f t="shared" ref="I75:I100" si="34">+G75+H75</f>
        <v>0</v>
      </c>
      <c r="J75" s="344"/>
      <c r="K75" s="344"/>
      <c r="L75" s="344">
        <f t="shared" si="22"/>
        <v>0</v>
      </c>
      <c r="M75" s="344">
        <f t="shared" si="32"/>
        <v>0</v>
      </c>
      <c r="N75" s="337">
        <f t="shared" si="33"/>
        <v>23975938</v>
      </c>
      <c r="P75" s="340"/>
      <c r="S75" s="347"/>
      <c r="T75" s="347"/>
      <c r="U75" s="342"/>
    </row>
    <row r="76" spans="1:21" s="339" customFormat="1" ht="18" customHeight="1" x14ac:dyDescent="0.25">
      <c r="A76" s="334"/>
      <c r="B76" s="335"/>
      <c r="C76" s="335"/>
      <c r="D76" s="365" t="s">
        <v>210</v>
      </c>
      <c r="E76" s="335" t="s">
        <v>211</v>
      </c>
      <c r="F76" s="337">
        <f>+F77+F79+F81</f>
        <v>2044369640</v>
      </c>
      <c r="G76" s="344">
        <f>+G77+G79+G81</f>
        <v>194118788</v>
      </c>
      <c r="H76" s="344">
        <f>+H77+H79+H81</f>
        <v>0</v>
      </c>
      <c r="I76" s="344">
        <f>+G76+H76</f>
        <v>194118788</v>
      </c>
      <c r="J76" s="344"/>
      <c r="K76" s="344">
        <f>+K77</f>
        <v>0</v>
      </c>
      <c r="L76" s="344">
        <f t="shared" si="22"/>
        <v>0</v>
      </c>
      <c r="M76" s="344">
        <f t="shared" si="32"/>
        <v>194118788</v>
      </c>
      <c r="N76" s="337">
        <f t="shared" si="33"/>
        <v>1850250852</v>
      </c>
      <c r="P76" s="340"/>
      <c r="S76" s="347"/>
      <c r="T76" s="347"/>
      <c r="U76" s="342"/>
    </row>
    <row r="77" spans="1:21" s="339" customFormat="1" ht="18" customHeight="1" x14ac:dyDescent="0.25">
      <c r="A77" s="334"/>
      <c r="B77" s="335"/>
      <c r="C77" s="335"/>
      <c r="D77" s="365" t="s">
        <v>212</v>
      </c>
      <c r="E77" s="335" t="s">
        <v>214</v>
      </c>
      <c r="F77" s="337">
        <f>+F78</f>
        <v>180000000</v>
      </c>
      <c r="G77" s="344">
        <f>+G78</f>
        <v>179148911</v>
      </c>
      <c r="H77" s="344">
        <f t="shared" ref="G77:H81" si="35">+H78</f>
        <v>0</v>
      </c>
      <c r="I77" s="344">
        <f t="shared" si="34"/>
        <v>179148911</v>
      </c>
      <c r="J77" s="344"/>
      <c r="K77" s="344">
        <f>+K78</f>
        <v>0</v>
      </c>
      <c r="L77" s="344">
        <f t="shared" si="22"/>
        <v>0</v>
      </c>
      <c r="M77" s="344">
        <f t="shared" si="32"/>
        <v>179148911</v>
      </c>
      <c r="N77" s="337">
        <f t="shared" si="33"/>
        <v>851089</v>
      </c>
      <c r="P77" s="340"/>
      <c r="S77" s="347"/>
      <c r="T77" s="347"/>
      <c r="U77" s="342"/>
    </row>
    <row r="78" spans="1:21" s="339" customFormat="1" ht="18" customHeight="1" x14ac:dyDescent="0.25">
      <c r="A78" s="334"/>
      <c r="B78" s="335"/>
      <c r="C78" s="335"/>
      <c r="D78" s="365" t="s">
        <v>213</v>
      </c>
      <c r="E78" s="335" t="s">
        <v>215</v>
      </c>
      <c r="F78" s="337">
        <v>180000000</v>
      </c>
      <c r="G78" s="344">
        <v>179148911</v>
      </c>
      <c r="H78" s="344"/>
      <c r="I78" s="344">
        <f t="shared" si="34"/>
        <v>179148911</v>
      </c>
      <c r="J78" s="344"/>
      <c r="K78" s="344"/>
      <c r="L78" s="344">
        <f t="shared" si="22"/>
        <v>0</v>
      </c>
      <c r="M78" s="344">
        <f t="shared" si="32"/>
        <v>179148911</v>
      </c>
      <c r="N78" s="337">
        <f t="shared" si="33"/>
        <v>851089</v>
      </c>
      <c r="P78" s="340"/>
      <c r="S78" s="347"/>
      <c r="T78" s="347"/>
      <c r="U78" s="342"/>
    </row>
    <row r="79" spans="1:21" s="339" customFormat="1" ht="18" customHeight="1" x14ac:dyDescent="0.25">
      <c r="A79" s="334"/>
      <c r="B79" s="335"/>
      <c r="C79" s="335"/>
      <c r="D79" s="365" t="s">
        <v>431</v>
      </c>
      <c r="E79" s="335" t="s">
        <v>432</v>
      </c>
      <c r="F79" s="337">
        <f>+F80</f>
        <v>123544200</v>
      </c>
      <c r="G79" s="344">
        <f t="shared" si="35"/>
        <v>9969877</v>
      </c>
      <c r="H79" s="344">
        <f t="shared" si="35"/>
        <v>0</v>
      </c>
      <c r="I79" s="344">
        <f>+G79+H79</f>
        <v>9969877</v>
      </c>
      <c r="J79" s="344"/>
      <c r="K79" s="344">
        <f>+K80</f>
        <v>0</v>
      </c>
      <c r="L79" s="344">
        <f t="shared" si="22"/>
        <v>0</v>
      </c>
      <c r="M79" s="344">
        <f t="shared" si="32"/>
        <v>9969877</v>
      </c>
      <c r="N79" s="337">
        <f t="shared" si="33"/>
        <v>113574323</v>
      </c>
      <c r="P79" s="340"/>
      <c r="S79" s="347"/>
      <c r="T79" s="347"/>
      <c r="U79" s="342"/>
    </row>
    <row r="80" spans="1:21" s="339" customFormat="1" ht="18" customHeight="1" x14ac:dyDescent="0.25">
      <c r="A80" s="334"/>
      <c r="B80" s="335"/>
      <c r="C80" s="335"/>
      <c r="D80" s="365" t="s">
        <v>429</v>
      </c>
      <c r="E80" s="335" t="s">
        <v>430</v>
      </c>
      <c r="F80" s="337">
        <v>123544200</v>
      </c>
      <c r="G80" s="344">
        <v>9969877</v>
      </c>
      <c r="H80" s="344"/>
      <c r="I80" s="344">
        <f>+G80+H80</f>
        <v>9969877</v>
      </c>
      <c r="J80" s="344"/>
      <c r="K80" s="344"/>
      <c r="L80" s="344"/>
      <c r="M80" s="344">
        <f t="shared" si="32"/>
        <v>9969877</v>
      </c>
      <c r="N80" s="337">
        <f>+F80-M80</f>
        <v>113574323</v>
      </c>
      <c r="P80" s="340"/>
      <c r="S80" s="347"/>
      <c r="T80" s="347"/>
      <c r="U80" s="342"/>
    </row>
    <row r="81" spans="1:21" s="339" customFormat="1" ht="18" customHeight="1" x14ac:dyDescent="0.25">
      <c r="A81" s="334"/>
      <c r="B81" s="335"/>
      <c r="C81" s="335"/>
      <c r="D81" s="365" t="s">
        <v>453</v>
      </c>
      <c r="E81" s="335" t="s">
        <v>456</v>
      </c>
      <c r="F81" s="337">
        <f>+F82</f>
        <v>1740825440</v>
      </c>
      <c r="G81" s="344">
        <f t="shared" si="35"/>
        <v>5000000</v>
      </c>
      <c r="H81" s="344">
        <f t="shared" si="35"/>
        <v>0</v>
      </c>
      <c r="I81" s="344">
        <f>+G81+H81</f>
        <v>5000000</v>
      </c>
      <c r="J81" s="344"/>
      <c r="K81" s="344">
        <f>+K82</f>
        <v>0</v>
      </c>
      <c r="L81" s="344">
        <f t="shared" ref="L81" si="36">+J81+K81</f>
        <v>0</v>
      </c>
      <c r="M81" s="344">
        <f t="shared" si="32"/>
        <v>5000000</v>
      </c>
      <c r="N81" s="337">
        <f t="shared" ref="N81" si="37">+F81-M81</f>
        <v>1735825440</v>
      </c>
      <c r="P81" s="340"/>
      <c r="S81" s="347"/>
      <c r="T81" s="347"/>
      <c r="U81" s="342"/>
    </row>
    <row r="82" spans="1:21" s="339" customFormat="1" ht="18" customHeight="1" x14ac:dyDescent="0.25">
      <c r="A82" s="334"/>
      <c r="B82" s="335"/>
      <c r="C82" s="335"/>
      <c r="D82" s="365" t="s">
        <v>454</v>
      </c>
      <c r="E82" s="335" t="s">
        <v>455</v>
      </c>
      <c r="F82" s="337">
        <v>1740825440</v>
      </c>
      <c r="G82" s="344">
        <v>5000000</v>
      </c>
      <c r="H82" s="344"/>
      <c r="I82" s="344">
        <f>+G82+H82</f>
        <v>5000000</v>
      </c>
      <c r="J82" s="344"/>
      <c r="K82" s="344"/>
      <c r="L82" s="344"/>
      <c r="M82" s="344">
        <f t="shared" si="32"/>
        <v>5000000</v>
      </c>
      <c r="N82" s="337">
        <f>+F82-M82</f>
        <v>1735825440</v>
      </c>
      <c r="P82" s="340"/>
      <c r="S82" s="347"/>
      <c r="T82" s="347"/>
      <c r="U82" s="342"/>
    </row>
    <row r="83" spans="1:21" s="339" customFormat="1" ht="18" customHeight="1" x14ac:dyDescent="0.25">
      <c r="A83" s="334"/>
      <c r="B83" s="335"/>
      <c r="C83" s="335"/>
      <c r="D83" s="365" t="s">
        <v>216</v>
      </c>
      <c r="E83" s="335" t="s">
        <v>219</v>
      </c>
      <c r="F83" s="337">
        <f>+F84+F95+F99</f>
        <v>10039198750</v>
      </c>
      <c r="G83" s="344">
        <f>+G84+G95+G99</f>
        <v>76300000</v>
      </c>
      <c r="H83" s="344">
        <f>+H84+H95+H99</f>
        <v>0</v>
      </c>
      <c r="I83" s="344">
        <f>+G83+H83</f>
        <v>76300000</v>
      </c>
      <c r="J83" s="344"/>
      <c r="K83" s="344">
        <f>+K84</f>
        <v>0</v>
      </c>
      <c r="L83" s="344">
        <f t="shared" si="22"/>
        <v>0</v>
      </c>
      <c r="M83" s="344">
        <f t="shared" si="32"/>
        <v>76300000</v>
      </c>
      <c r="N83" s="337">
        <f t="shared" si="33"/>
        <v>9962898750</v>
      </c>
      <c r="P83" s="340"/>
      <c r="S83" s="347"/>
      <c r="T83" s="347"/>
      <c r="U83" s="342"/>
    </row>
    <row r="84" spans="1:21" s="339" customFormat="1" ht="18" customHeight="1" x14ac:dyDescent="0.25">
      <c r="A84" s="334"/>
      <c r="B84" s="335"/>
      <c r="C84" s="335"/>
      <c r="D84" s="365" t="s">
        <v>217</v>
      </c>
      <c r="E84" s="335" t="s">
        <v>220</v>
      </c>
      <c r="F84" s="337">
        <f>SUM(F85:F94)</f>
        <v>8593798750</v>
      </c>
      <c r="G84" s="344">
        <f>SUM(G85:G94)</f>
        <v>0</v>
      </c>
      <c r="H84" s="344">
        <f>SUM(H85:H94)</f>
        <v>0</v>
      </c>
      <c r="I84" s="344">
        <f t="shared" si="34"/>
        <v>0</v>
      </c>
      <c r="J84" s="344"/>
      <c r="K84" s="344">
        <f>+SUM(K85:K94)</f>
        <v>0</v>
      </c>
      <c r="L84" s="344">
        <f t="shared" si="22"/>
        <v>0</v>
      </c>
      <c r="M84" s="344">
        <f t="shared" si="32"/>
        <v>0</v>
      </c>
      <c r="N84" s="337">
        <f t="shared" si="33"/>
        <v>8593798750</v>
      </c>
      <c r="P84" s="340"/>
      <c r="S84" s="347"/>
      <c r="T84" s="347"/>
      <c r="U84" s="342"/>
    </row>
    <row r="85" spans="1:21" s="339" customFormat="1" ht="18" customHeight="1" x14ac:dyDescent="0.25">
      <c r="A85" s="334"/>
      <c r="B85" s="335"/>
      <c r="C85" s="335"/>
      <c r="D85" s="365" t="s">
        <v>218</v>
      </c>
      <c r="E85" s="335" t="s">
        <v>221</v>
      </c>
      <c r="F85" s="337">
        <v>356112500</v>
      </c>
      <c r="G85" s="344"/>
      <c r="H85" s="344"/>
      <c r="I85" s="344">
        <f t="shared" si="34"/>
        <v>0</v>
      </c>
      <c r="J85" s="344"/>
      <c r="K85" s="344"/>
      <c r="L85" s="344">
        <f t="shared" si="22"/>
        <v>0</v>
      </c>
      <c r="M85" s="344">
        <f t="shared" si="32"/>
        <v>0</v>
      </c>
      <c r="N85" s="337">
        <f>+F85-M85</f>
        <v>356112500</v>
      </c>
      <c r="P85" s="340"/>
      <c r="S85" s="347"/>
      <c r="T85" s="347"/>
      <c r="U85" s="342"/>
    </row>
    <row r="86" spans="1:21" s="339" customFormat="1" ht="18" customHeight="1" x14ac:dyDescent="0.25">
      <c r="A86" s="334"/>
      <c r="B86" s="335"/>
      <c r="C86" s="335"/>
      <c r="D86" s="365" t="s">
        <v>222</v>
      </c>
      <c r="E86" s="335" t="s">
        <v>223</v>
      </c>
      <c r="F86" s="337">
        <v>413550000</v>
      </c>
      <c r="G86" s="344"/>
      <c r="H86" s="344"/>
      <c r="I86" s="344">
        <f t="shared" si="34"/>
        <v>0</v>
      </c>
      <c r="J86" s="344"/>
      <c r="K86" s="344"/>
      <c r="L86" s="344">
        <f t="shared" si="22"/>
        <v>0</v>
      </c>
      <c r="M86" s="344">
        <f t="shared" si="32"/>
        <v>0</v>
      </c>
      <c r="N86" s="337">
        <f t="shared" ref="N86:N100" si="38">+F86-M86</f>
        <v>413550000</v>
      </c>
      <c r="P86" s="340"/>
      <c r="S86" s="347"/>
      <c r="T86" s="347"/>
      <c r="U86" s="342"/>
    </row>
    <row r="87" spans="1:21" s="339" customFormat="1" ht="18" customHeight="1" x14ac:dyDescent="0.25">
      <c r="A87" s="334"/>
      <c r="B87" s="335"/>
      <c r="C87" s="335"/>
      <c r="D87" s="365" t="s">
        <v>224</v>
      </c>
      <c r="E87" s="335" t="s">
        <v>225</v>
      </c>
      <c r="F87" s="337">
        <v>45950000</v>
      </c>
      <c r="G87" s="344"/>
      <c r="H87" s="344"/>
      <c r="I87" s="344">
        <f t="shared" si="34"/>
        <v>0</v>
      </c>
      <c r="J87" s="344"/>
      <c r="K87" s="344"/>
      <c r="L87" s="344">
        <f t="shared" si="22"/>
        <v>0</v>
      </c>
      <c r="M87" s="344">
        <f t="shared" si="32"/>
        <v>0</v>
      </c>
      <c r="N87" s="337">
        <f t="shared" si="38"/>
        <v>45950000</v>
      </c>
      <c r="P87" s="340"/>
      <c r="S87" s="347"/>
      <c r="T87" s="347"/>
      <c r="U87" s="342"/>
    </row>
    <row r="88" spans="1:21" s="339" customFormat="1" ht="18" customHeight="1" x14ac:dyDescent="0.25">
      <c r="A88" s="334"/>
      <c r="B88" s="335"/>
      <c r="C88" s="335"/>
      <c r="D88" s="365" t="s">
        <v>226</v>
      </c>
      <c r="E88" s="335" t="s">
        <v>227</v>
      </c>
      <c r="F88" s="337">
        <v>252725000</v>
      </c>
      <c r="G88" s="344"/>
      <c r="H88" s="344"/>
      <c r="I88" s="344">
        <f t="shared" si="34"/>
        <v>0</v>
      </c>
      <c r="J88" s="344"/>
      <c r="K88" s="344"/>
      <c r="L88" s="344">
        <f t="shared" si="22"/>
        <v>0</v>
      </c>
      <c r="M88" s="344">
        <f t="shared" si="32"/>
        <v>0</v>
      </c>
      <c r="N88" s="337">
        <f t="shared" si="38"/>
        <v>252725000</v>
      </c>
      <c r="P88" s="340"/>
      <c r="S88" s="347"/>
      <c r="T88" s="347"/>
      <c r="U88" s="342"/>
    </row>
    <row r="89" spans="1:21" s="339" customFormat="1" ht="18" customHeight="1" x14ac:dyDescent="0.25">
      <c r="A89" s="334"/>
      <c r="B89" s="335"/>
      <c r="C89" s="335"/>
      <c r="D89" s="365" t="s">
        <v>228</v>
      </c>
      <c r="E89" s="335" t="s">
        <v>229</v>
      </c>
      <c r="F89" s="337">
        <v>3101625000</v>
      </c>
      <c r="G89" s="344"/>
      <c r="H89" s="344"/>
      <c r="I89" s="344">
        <f t="shared" si="34"/>
        <v>0</v>
      </c>
      <c r="J89" s="344"/>
      <c r="K89" s="344"/>
      <c r="L89" s="344">
        <f t="shared" si="22"/>
        <v>0</v>
      </c>
      <c r="M89" s="344">
        <f t="shared" si="32"/>
        <v>0</v>
      </c>
      <c r="N89" s="337">
        <f t="shared" si="38"/>
        <v>3101625000</v>
      </c>
      <c r="P89" s="340"/>
      <c r="S89" s="347"/>
      <c r="T89" s="347"/>
      <c r="U89" s="342"/>
    </row>
    <row r="90" spans="1:21" s="339" customFormat="1" ht="18" customHeight="1" x14ac:dyDescent="0.25">
      <c r="A90" s="334"/>
      <c r="B90" s="335"/>
      <c r="C90" s="335"/>
      <c r="D90" s="365" t="s">
        <v>230</v>
      </c>
      <c r="E90" s="335" t="s">
        <v>231</v>
      </c>
      <c r="F90" s="337">
        <v>13785000</v>
      </c>
      <c r="G90" s="344"/>
      <c r="H90" s="344"/>
      <c r="I90" s="344">
        <f t="shared" si="34"/>
        <v>0</v>
      </c>
      <c r="J90" s="344"/>
      <c r="K90" s="344"/>
      <c r="L90" s="344">
        <f t="shared" si="22"/>
        <v>0</v>
      </c>
      <c r="M90" s="344">
        <f t="shared" si="32"/>
        <v>0</v>
      </c>
      <c r="N90" s="337">
        <f t="shared" si="38"/>
        <v>13785000</v>
      </c>
      <c r="P90" s="340"/>
      <c r="S90" s="347"/>
      <c r="T90" s="347"/>
      <c r="U90" s="342"/>
    </row>
    <row r="91" spans="1:21" s="339" customFormat="1" ht="18" customHeight="1" x14ac:dyDescent="0.25">
      <c r="A91" s="334"/>
      <c r="B91" s="335"/>
      <c r="C91" s="335"/>
      <c r="D91" s="365" t="s">
        <v>232</v>
      </c>
      <c r="E91" s="335" t="s">
        <v>233</v>
      </c>
      <c r="F91" s="337">
        <v>126362500</v>
      </c>
      <c r="G91" s="344"/>
      <c r="H91" s="344"/>
      <c r="I91" s="344">
        <f t="shared" si="34"/>
        <v>0</v>
      </c>
      <c r="J91" s="344"/>
      <c r="K91" s="344"/>
      <c r="L91" s="344">
        <f t="shared" si="22"/>
        <v>0</v>
      </c>
      <c r="M91" s="344">
        <f t="shared" si="32"/>
        <v>0</v>
      </c>
      <c r="N91" s="337">
        <f t="shared" si="38"/>
        <v>126362500</v>
      </c>
      <c r="P91" s="340"/>
      <c r="S91" s="347"/>
      <c r="T91" s="347"/>
      <c r="U91" s="342"/>
    </row>
    <row r="92" spans="1:21" s="339" customFormat="1" ht="19.5" customHeight="1" x14ac:dyDescent="0.25">
      <c r="A92" s="366"/>
      <c r="B92" s="367"/>
      <c r="C92" s="367"/>
      <c r="D92" s="368" t="s">
        <v>234</v>
      </c>
      <c r="E92" s="369" t="s">
        <v>235</v>
      </c>
      <c r="F92" s="370">
        <v>2297500</v>
      </c>
      <c r="G92" s="371"/>
      <c r="H92" s="371"/>
      <c r="I92" s="371">
        <f t="shared" si="34"/>
        <v>0</v>
      </c>
      <c r="J92" s="371"/>
      <c r="K92" s="371"/>
      <c r="L92" s="371">
        <f t="shared" si="22"/>
        <v>0</v>
      </c>
      <c r="M92" s="371">
        <f t="shared" si="32"/>
        <v>0</v>
      </c>
      <c r="N92" s="370">
        <f t="shared" si="38"/>
        <v>2297500</v>
      </c>
      <c r="P92" s="340"/>
      <c r="S92" s="347"/>
      <c r="T92" s="347"/>
      <c r="U92" s="342"/>
    </row>
    <row r="93" spans="1:21" s="339" customFormat="1" ht="30.75" customHeight="1" x14ac:dyDescent="0.25">
      <c r="A93" s="366"/>
      <c r="B93" s="367"/>
      <c r="C93" s="367"/>
      <c r="D93" s="368" t="s">
        <v>236</v>
      </c>
      <c r="E93" s="369" t="s">
        <v>237</v>
      </c>
      <c r="F93" s="370">
        <v>1156791250</v>
      </c>
      <c r="G93" s="371"/>
      <c r="H93" s="371"/>
      <c r="I93" s="371">
        <f t="shared" si="34"/>
        <v>0</v>
      </c>
      <c r="J93" s="371"/>
      <c r="K93" s="371"/>
      <c r="L93" s="371">
        <f t="shared" si="22"/>
        <v>0</v>
      </c>
      <c r="M93" s="371">
        <f t="shared" si="32"/>
        <v>0</v>
      </c>
      <c r="N93" s="370">
        <f t="shared" si="38"/>
        <v>1156791250</v>
      </c>
      <c r="P93" s="340"/>
      <c r="S93" s="347"/>
      <c r="T93" s="347"/>
      <c r="U93" s="342"/>
    </row>
    <row r="94" spans="1:21" s="339" customFormat="1" ht="31.5" x14ac:dyDescent="0.25">
      <c r="A94" s="366"/>
      <c r="B94" s="367"/>
      <c r="C94" s="367"/>
      <c r="D94" s="368" t="s">
        <v>238</v>
      </c>
      <c r="E94" s="369" t="s">
        <v>239</v>
      </c>
      <c r="F94" s="370">
        <v>3124600000</v>
      </c>
      <c r="G94" s="371"/>
      <c r="H94" s="371"/>
      <c r="I94" s="371">
        <f t="shared" si="34"/>
        <v>0</v>
      </c>
      <c r="J94" s="371"/>
      <c r="K94" s="371"/>
      <c r="L94" s="371">
        <f t="shared" si="22"/>
        <v>0</v>
      </c>
      <c r="M94" s="371">
        <f t="shared" si="32"/>
        <v>0</v>
      </c>
      <c r="N94" s="370">
        <f t="shared" si="38"/>
        <v>3124600000</v>
      </c>
      <c r="P94" s="340"/>
      <c r="S94" s="347"/>
      <c r="T94" s="347"/>
      <c r="U94" s="342"/>
    </row>
    <row r="95" spans="1:21" s="339" customFormat="1" ht="18" customHeight="1" x14ac:dyDescent="0.25">
      <c r="A95" s="334"/>
      <c r="B95" s="335"/>
      <c r="C95" s="335"/>
      <c r="D95" s="365" t="s">
        <v>433</v>
      </c>
      <c r="E95" s="335" t="s">
        <v>434</v>
      </c>
      <c r="F95" s="337">
        <f>+F96+F97+F98</f>
        <v>984100000</v>
      </c>
      <c r="G95" s="344">
        <f>+G96+G97</f>
        <v>42050000</v>
      </c>
      <c r="H95" s="344">
        <f>+H96+H97</f>
        <v>0</v>
      </c>
      <c r="I95" s="344">
        <f>+G95+H95</f>
        <v>42050000</v>
      </c>
      <c r="J95" s="344">
        <f>+J96+J97</f>
        <v>0</v>
      </c>
      <c r="K95" s="344">
        <f>+SUM(K101:K110)</f>
        <v>0</v>
      </c>
      <c r="L95" s="344">
        <f>+J95+K95</f>
        <v>0</v>
      </c>
      <c r="M95" s="344">
        <f t="shared" si="32"/>
        <v>42050000</v>
      </c>
      <c r="N95" s="337">
        <f t="shared" si="38"/>
        <v>942050000</v>
      </c>
      <c r="P95" s="340"/>
      <c r="S95" s="347"/>
      <c r="T95" s="347"/>
      <c r="U95" s="342"/>
    </row>
    <row r="96" spans="1:21" s="339" customFormat="1" ht="18" customHeight="1" x14ac:dyDescent="0.25">
      <c r="A96" s="334"/>
      <c r="B96" s="335"/>
      <c r="C96" s="335"/>
      <c r="D96" s="365" t="s">
        <v>435</v>
      </c>
      <c r="E96" s="335" t="s">
        <v>437</v>
      </c>
      <c r="F96" s="337">
        <v>516750000</v>
      </c>
      <c r="G96" s="344">
        <v>40950000</v>
      </c>
      <c r="H96" s="344"/>
      <c r="I96" s="344">
        <f t="shared" si="34"/>
        <v>40950000</v>
      </c>
      <c r="J96" s="344"/>
      <c r="K96" s="344"/>
      <c r="L96" s="344">
        <f t="shared" si="22"/>
        <v>0</v>
      </c>
      <c r="M96" s="344">
        <f t="shared" si="32"/>
        <v>40950000</v>
      </c>
      <c r="N96" s="337">
        <f t="shared" si="38"/>
        <v>475800000</v>
      </c>
      <c r="P96" s="340"/>
      <c r="S96" s="347"/>
      <c r="T96" s="347"/>
      <c r="U96" s="342"/>
    </row>
    <row r="97" spans="1:21" s="339" customFormat="1" ht="18" customHeight="1" x14ac:dyDescent="0.25">
      <c r="A97" s="334"/>
      <c r="B97" s="335"/>
      <c r="C97" s="335"/>
      <c r="D97" s="365" t="s">
        <v>436</v>
      </c>
      <c r="E97" s="335" t="s">
        <v>438</v>
      </c>
      <c r="F97" s="337">
        <v>19500000</v>
      </c>
      <c r="G97" s="344">
        <v>1100000</v>
      </c>
      <c r="H97" s="344"/>
      <c r="I97" s="344">
        <f t="shared" si="34"/>
        <v>1100000</v>
      </c>
      <c r="J97" s="344"/>
      <c r="K97" s="344"/>
      <c r="L97" s="344">
        <f t="shared" si="22"/>
        <v>0</v>
      </c>
      <c r="M97" s="344">
        <f t="shared" si="32"/>
        <v>1100000</v>
      </c>
      <c r="N97" s="337">
        <f t="shared" si="38"/>
        <v>18400000</v>
      </c>
      <c r="P97" s="340"/>
      <c r="S97" s="347"/>
      <c r="T97" s="347"/>
      <c r="U97" s="342"/>
    </row>
    <row r="98" spans="1:21" s="339" customFormat="1" ht="18" customHeight="1" x14ac:dyDescent="0.25">
      <c r="A98" s="334"/>
      <c r="B98" s="335"/>
      <c r="C98" s="335"/>
      <c r="D98" s="365" t="s">
        <v>457</v>
      </c>
      <c r="E98" s="335" t="s">
        <v>458</v>
      </c>
      <c r="F98" s="337">
        <v>447850000</v>
      </c>
      <c r="G98" s="344"/>
      <c r="H98" s="344"/>
      <c r="I98" s="344">
        <f t="shared" si="34"/>
        <v>0</v>
      </c>
      <c r="J98" s="344"/>
      <c r="K98" s="344"/>
      <c r="L98" s="344">
        <f t="shared" si="22"/>
        <v>0</v>
      </c>
      <c r="M98" s="344">
        <f t="shared" si="32"/>
        <v>0</v>
      </c>
      <c r="N98" s="337">
        <f t="shared" si="38"/>
        <v>447850000</v>
      </c>
      <c r="P98" s="340"/>
      <c r="S98" s="347"/>
      <c r="T98" s="347"/>
      <c r="U98" s="342"/>
    </row>
    <row r="99" spans="1:21" s="339" customFormat="1" ht="18" customHeight="1" x14ac:dyDescent="0.25">
      <c r="A99" s="334"/>
      <c r="B99" s="335"/>
      <c r="C99" s="335"/>
      <c r="D99" s="365" t="s">
        <v>439</v>
      </c>
      <c r="E99" s="335" t="s">
        <v>442</v>
      </c>
      <c r="F99" s="337">
        <f>+F100</f>
        <v>461300000</v>
      </c>
      <c r="G99" s="344">
        <f>+G100</f>
        <v>34250000</v>
      </c>
      <c r="H99" s="344">
        <f>+H100</f>
        <v>0</v>
      </c>
      <c r="I99" s="344">
        <f t="shared" si="34"/>
        <v>34250000</v>
      </c>
      <c r="J99" s="344"/>
      <c r="K99" s="344">
        <f>+SUM(K104:K113)</f>
        <v>2990625</v>
      </c>
      <c r="L99" s="344">
        <f t="shared" si="22"/>
        <v>2990625</v>
      </c>
      <c r="M99" s="344">
        <f t="shared" si="32"/>
        <v>37240625</v>
      </c>
      <c r="N99" s="337">
        <f t="shared" si="38"/>
        <v>424059375</v>
      </c>
      <c r="P99" s="340"/>
      <c r="S99" s="347"/>
      <c r="T99" s="347"/>
      <c r="U99" s="342"/>
    </row>
    <row r="100" spans="1:21" s="339" customFormat="1" ht="18" customHeight="1" x14ac:dyDescent="0.25">
      <c r="A100" s="334"/>
      <c r="B100" s="335"/>
      <c r="C100" s="335"/>
      <c r="D100" s="365" t="s">
        <v>440</v>
      </c>
      <c r="E100" s="335" t="s">
        <v>441</v>
      </c>
      <c r="F100" s="337">
        <v>461300000</v>
      </c>
      <c r="G100" s="344">
        <v>34250000</v>
      </c>
      <c r="H100" s="344"/>
      <c r="I100" s="344">
        <f t="shared" si="34"/>
        <v>34250000</v>
      </c>
      <c r="J100" s="344"/>
      <c r="K100" s="344"/>
      <c r="L100" s="344">
        <f t="shared" si="22"/>
        <v>0</v>
      </c>
      <c r="M100" s="344">
        <f t="shared" si="32"/>
        <v>34250000</v>
      </c>
      <c r="N100" s="337">
        <f t="shared" si="38"/>
        <v>427050000</v>
      </c>
      <c r="P100" s="340"/>
      <c r="S100" s="347"/>
      <c r="T100" s="347"/>
      <c r="U100" s="342"/>
    </row>
    <row r="101" spans="1:21" s="339" customFormat="1" ht="18" customHeight="1" x14ac:dyDescent="0.25">
      <c r="A101" s="334"/>
      <c r="B101" s="335"/>
      <c r="C101" s="335"/>
      <c r="D101" s="365" t="s">
        <v>240</v>
      </c>
      <c r="E101" s="335" t="s">
        <v>241</v>
      </c>
      <c r="F101" s="337">
        <f>+F102</f>
        <v>757451250</v>
      </c>
      <c r="G101" s="344">
        <f>+G102</f>
        <v>0</v>
      </c>
      <c r="H101" s="344">
        <f>+H102</f>
        <v>0</v>
      </c>
      <c r="I101" s="344">
        <f>+G101+H101</f>
        <v>0</v>
      </c>
      <c r="J101" s="344">
        <f>+J102</f>
        <v>0</v>
      </c>
      <c r="K101" s="344">
        <f>+K102</f>
        <v>0</v>
      </c>
      <c r="L101" s="344">
        <f>+J101+K101</f>
        <v>0</v>
      </c>
      <c r="M101" s="344">
        <f t="shared" si="32"/>
        <v>0</v>
      </c>
      <c r="N101" s="337">
        <f>+F101-M101</f>
        <v>757451250</v>
      </c>
      <c r="P101" s="340"/>
      <c r="S101" s="347"/>
      <c r="T101" s="347"/>
      <c r="U101" s="342"/>
    </row>
    <row r="102" spans="1:21" s="339" customFormat="1" ht="18" customHeight="1" x14ac:dyDescent="0.25">
      <c r="A102" s="334"/>
      <c r="B102" s="335"/>
      <c r="C102" s="335"/>
      <c r="D102" s="365" t="s">
        <v>242</v>
      </c>
      <c r="E102" s="335" t="s">
        <v>409</v>
      </c>
      <c r="F102" s="337">
        <f>SUM(F103:F112)</f>
        <v>757451250</v>
      </c>
      <c r="G102" s="344">
        <f>SUM(G103:G112)</f>
        <v>0</v>
      </c>
      <c r="H102" s="344">
        <f>SUM(H103:H112)</f>
        <v>0</v>
      </c>
      <c r="I102" s="344">
        <f>+G102+H102</f>
        <v>0</v>
      </c>
      <c r="J102" s="344">
        <f>SUM(J103:J112)</f>
        <v>0</v>
      </c>
      <c r="K102" s="344">
        <f>SUM(K103:K112)</f>
        <v>0</v>
      </c>
      <c r="L102" s="344">
        <f>+J102+K102</f>
        <v>0</v>
      </c>
      <c r="M102" s="344">
        <f>+I102+L102</f>
        <v>0</v>
      </c>
      <c r="N102" s="337">
        <f>+F102-M102</f>
        <v>757451250</v>
      </c>
      <c r="P102" s="340"/>
      <c r="S102" s="347"/>
      <c r="T102" s="347"/>
      <c r="U102" s="342"/>
    </row>
    <row r="103" spans="1:21" s="339" customFormat="1" ht="18" customHeight="1" x14ac:dyDescent="0.25">
      <c r="A103" s="334"/>
      <c r="B103" s="335"/>
      <c r="C103" s="335"/>
      <c r="D103" s="365" t="s">
        <v>243</v>
      </c>
      <c r="E103" s="335" t="s">
        <v>331</v>
      </c>
      <c r="F103" s="337">
        <v>31387500</v>
      </c>
      <c r="G103" s="344"/>
      <c r="H103" s="344"/>
      <c r="I103" s="344">
        <f t="shared" ref="I103:I110" si="39">+G103+H103</f>
        <v>0</v>
      </c>
      <c r="J103" s="344"/>
      <c r="K103" s="344"/>
      <c r="L103" s="344">
        <f t="shared" si="22"/>
        <v>0</v>
      </c>
      <c r="M103" s="344">
        <f t="shared" ref="M103:M112" si="40">+I103+L103</f>
        <v>0</v>
      </c>
      <c r="N103" s="337">
        <f t="shared" ref="N103:N108" si="41">+F103-M103</f>
        <v>31387500</v>
      </c>
      <c r="P103" s="340"/>
      <c r="S103" s="347"/>
      <c r="T103" s="347"/>
      <c r="U103" s="342"/>
    </row>
    <row r="104" spans="1:21" s="339" customFormat="1" ht="18" customHeight="1" x14ac:dyDescent="0.25">
      <c r="A104" s="334"/>
      <c r="B104" s="335"/>
      <c r="C104" s="335"/>
      <c r="D104" s="365" t="s">
        <v>244</v>
      </c>
      <c r="E104" s="335" t="s">
        <v>245</v>
      </c>
      <c r="F104" s="337">
        <v>36450000</v>
      </c>
      <c r="G104" s="344"/>
      <c r="H104" s="344"/>
      <c r="I104" s="344">
        <f t="shared" si="39"/>
        <v>0</v>
      </c>
      <c r="J104" s="344"/>
      <c r="K104" s="344"/>
      <c r="L104" s="344">
        <f t="shared" si="22"/>
        <v>0</v>
      </c>
      <c r="M104" s="344">
        <f t="shared" si="40"/>
        <v>0</v>
      </c>
      <c r="N104" s="337">
        <f t="shared" si="41"/>
        <v>36450000</v>
      </c>
      <c r="P104" s="340"/>
      <c r="S104" s="347"/>
      <c r="T104" s="347"/>
      <c r="U104" s="342"/>
    </row>
    <row r="105" spans="1:21" s="339" customFormat="1" ht="18" customHeight="1" x14ac:dyDescent="0.25">
      <c r="A105" s="334"/>
      <c r="B105" s="335"/>
      <c r="C105" s="335"/>
      <c r="D105" s="365" t="s">
        <v>246</v>
      </c>
      <c r="E105" s="335" t="s">
        <v>247</v>
      </c>
      <c r="F105" s="337">
        <v>4050000</v>
      </c>
      <c r="G105" s="344"/>
      <c r="H105" s="344"/>
      <c r="I105" s="344">
        <f t="shared" si="39"/>
        <v>0</v>
      </c>
      <c r="J105" s="344"/>
      <c r="K105" s="344"/>
      <c r="L105" s="344">
        <f t="shared" si="22"/>
        <v>0</v>
      </c>
      <c r="M105" s="344">
        <f t="shared" si="40"/>
        <v>0</v>
      </c>
      <c r="N105" s="337">
        <f t="shared" si="41"/>
        <v>4050000</v>
      </c>
      <c r="P105" s="340"/>
      <c r="S105" s="347"/>
      <c r="T105" s="347"/>
      <c r="U105" s="342"/>
    </row>
    <row r="106" spans="1:21" s="339" customFormat="1" ht="18" customHeight="1" x14ac:dyDescent="0.25">
      <c r="A106" s="334"/>
      <c r="B106" s="335"/>
      <c r="C106" s="335"/>
      <c r="D106" s="365" t="s">
        <v>248</v>
      </c>
      <c r="E106" s="335" t="s">
        <v>249</v>
      </c>
      <c r="F106" s="337">
        <v>22275000</v>
      </c>
      <c r="G106" s="344"/>
      <c r="H106" s="344"/>
      <c r="I106" s="344">
        <f t="shared" si="39"/>
        <v>0</v>
      </c>
      <c r="J106" s="344"/>
      <c r="K106" s="344"/>
      <c r="L106" s="344">
        <f t="shared" si="22"/>
        <v>0</v>
      </c>
      <c r="M106" s="344">
        <f t="shared" si="40"/>
        <v>0</v>
      </c>
      <c r="N106" s="337">
        <f t="shared" si="41"/>
        <v>22275000</v>
      </c>
      <c r="P106" s="340"/>
      <c r="S106" s="347"/>
      <c r="T106" s="347"/>
      <c r="U106" s="342"/>
    </row>
    <row r="107" spans="1:21" s="339" customFormat="1" ht="18" customHeight="1" x14ac:dyDescent="0.25">
      <c r="A107" s="334"/>
      <c r="B107" s="335"/>
      <c r="C107" s="335"/>
      <c r="D107" s="365" t="s">
        <v>250</v>
      </c>
      <c r="E107" s="335" t="s">
        <v>251</v>
      </c>
      <c r="F107" s="337">
        <v>273375000</v>
      </c>
      <c r="G107" s="344"/>
      <c r="H107" s="344"/>
      <c r="I107" s="344">
        <f t="shared" si="39"/>
        <v>0</v>
      </c>
      <c r="J107" s="344"/>
      <c r="K107" s="344"/>
      <c r="L107" s="344">
        <f t="shared" si="22"/>
        <v>0</v>
      </c>
      <c r="M107" s="344">
        <f t="shared" si="40"/>
        <v>0</v>
      </c>
      <c r="N107" s="337">
        <f t="shared" si="41"/>
        <v>273375000</v>
      </c>
      <c r="P107" s="340"/>
      <c r="S107" s="347"/>
      <c r="T107" s="347"/>
      <c r="U107" s="342"/>
    </row>
    <row r="108" spans="1:21" s="339" customFormat="1" ht="18" customHeight="1" x14ac:dyDescent="0.25">
      <c r="A108" s="334"/>
      <c r="B108" s="335"/>
      <c r="C108" s="335"/>
      <c r="D108" s="365" t="s">
        <v>252</v>
      </c>
      <c r="E108" s="335" t="s">
        <v>253</v>
      </c>
      <c r="F108" s="337">
        <v>1215000</v>
      </c>
      <c r="G108" s="344"/>
      <c r="H108" s="344"/>
      <c r="I108" s="344">
        <f t="shared" si="39"/>
        <v>0</v>
      </c>
      <c r="J108" s="344"/>
      <c r="K108" s="344"/>
      <c r="L108" s="344">
        <f t="shared" si="22"/>
        <v>0</v>
      </c>
      <c r="M108" s="344">
        <f t="shared" si="40"/>
        <v>0</v>
      </c>
      <c r="N108" s="337">
        <f t="shared" si="41"/>
        <v>1215000</v>
      </c>
      <c r="P108" s="340"/>
      <c r="S108" s="347"/>
      <c r="T108" s="347"/>
      <c r="U108" s="342"/>
    </row>
    <row r="109" spans="1:21" s="339" customFormat="1" ht="18" customHeight="1" x14ac:dyDescent="0.25">
      <c r="A109" s="334"/>
      <c r="B109" s="335"/>
      <c r="C109" s="335"/>
      <c r="D109" s="365" t="s">
        <v>254</v>
      </c>
      <c r="E109" s="335" t="s">
        <v>255</v>
      </c>
      <c r="F109" s="337">
        <v>11137500</v>
      </c>
      <c r="G109" s="344"/>
      <c r="H109" s="344"/>
      <c r="I109" s="344">
        <f t="shared" si="39"/>
        <v>0</v>
      </c>
      <c r="J109" s="344"/>
      <c r="K109" s="344"/>
      <c r="L109" s="344">
        <f t="shared" si="22"/>
        <v>0</v>
      </c>
      <c r="M109" s="344">
        <f t="shared" si="40"/>
        <v>0</v>
      </c>
      <c r="N109" s="337">
        <f>+F109-M109</f>
        <v>11137500</v>
      </c>
      <c r="P109" s="340"/>
      <c r="S109" s="347"/>
      <c r="T109" s="347"/>
      <c r="U109" s="342"/>
    </row>
    <row r="110" spans="1:21" s="339" customFormat="1" ht="32.25" customHeight="1" x14ac:dyDescent="0.25">
      <c r="A110" s="366"/>
      <c r="B110" s="367"/>
      <c r="C110" s="367"/>
      <c r="D110" s="368" t="s">
        <v>256</v>
      </c>
      <c r="E110" s="369" t="s">
        <v>257</v>
      </c>
      <c r="F110" s="370">
        <v>202500</v>
      </c>
      <c r="G110" s="371"/>
      <c r="H110" s="371"/>
      <c r="I110" s="371">
        <f t="shared" si="39"/>
        <v>0</v>
      </c>
      <c r="J110" s="371"/>
      <c r="K110" s="371"/>
      <c r="L110" s="371">
        <f t="shared" si="22"/>
        <v>0</v>
      </c>
      <c r="M110" s="371">
        <f t="shared" si="40"/>
        <v>0</v>
      </c>
      <c r="N110" s="370">
        <f>+F110-M110</f>
        <v>202500</v>
      </c>
      <c r="P110" s="340"/>
      <c r="S110" s="347"/>
      <c r="T110" s="347"/>
      <c r="U110" s="342"/>
    </row>
    <row r="111" spans="1:21" s="339" customFormat="1" ht="31.5" x14ac:dyDescent="0.25">
      <c r="A111" s="366"/>
      <c r="B111" s="367"/>
      <c r="C111" s="367"/>
      <c r="D111" s="368" t="s">
        <v>258</v>
      </c>
      <c r="E111" s="369" t="s">
        <v>259</v>
      </c>
      <c r="F111" s="370">
        <v>101958750</v>
      </c>
      <c r="G111" s="371"/>
      <c r="H111" s="371"/>
      <c r="I111" s="371">
        <f>+G111+H111</f>
        <v>0</v>
      </c>
      <c r="J111" s="371"/>
      <c r="K111" s="371"/>
      <c r="L111" s="371">
        <f t="shared" si="22"/>
        <v>0</v>
      </c>
      <c r="M111" s="371">
        <f t="shared" si="40"/>
        <v>0</v>
      </c>
      <c r="N111" s="370">
        <f>+F111-M111</f>
        <v>101958750</v>
      </c>
      <c r="P111" s="340"/>
      <c r="S111" s="347"/>
      <c r="T111" s="347"/>
      <c r="U111" s="342"/>
    </row>
    <row r="112" spans="1:21" s="153" customFormat="1" ht="31.5" x14ac:dyDescent="0.25">
      <c r="A112" s="372"/>
      <c r="B112" s="373"/>
      <c r="C112" s="373"/>
      <c r="D112" s="374" t="s">
        <v>260</v>
      </c>
      <c r="E112" s="375" t="s">
        <v>261</v>
      </c>
      <c r="F112" s="376">
        <v>275400000</v>
      </c>
      <c r="G112" s="377"/>
      <c r="H112" s="377"/>
      <c r="I112" s="377">
        <f t="shared" ref="I112" si="42">+G112+H112</f>
        <v>0</v>
      </c>
      <c r="J112" s="377"/>
      <c r="K112" s="377"/>
      <c r="L112" s="377">
        <f t="shared" si="22"/>
        <v>0</v>
      </c>
      <c r="M112" s="377">
        <f t="shared" si="40"/>
        <v>0</v>
      </c>
      <c r="N112" s="376">
        <f>+F112-M112</f>
        <v>275400000</v>
      </c>
      <c r="P112" s="200"/>
      <c r="S112" s="221"/>
      <c r="T112" s="221"/>
      <c r="U112" s="254"/>
    </row>
    <row r="113" spans="1:21" s="319" customFormat="1" ht="18" customHeight="1" x14ac:dyDescent="0.25">
      <c r="A113" s="276">
        <v>4</v>
      </c>
      <c r="B113" s="305"/>
      <c r="C113" s="305" t="s">
        <v>84</v>
      </c>
      <c r="D113" s="363"/>
      <c r="E113" s="364" t="s">
        <v>85</v>
      </c>
      <c r="F113" s="307">
        <f>+F114</f>
        <v>31153000</v>
      </c>
      <c r="G113" s="308">
        <f t="shared" ref="F113:H114" si="43">+G114</f>
        <v>0</v>
      </c>
      <c r="H113" s="308">
        <f t="shared" si="43"/>
        <v>0</v>
      </c>
      <c r="I113" s="308">
        <f>+G113+H113</f>
        <v>0</v>
      </c>
      <c r="J113" s="308">
        <f>+J114</f>
        <v>0</v>
      </c>
      <c r="K113" s="308">
        <f>+K114</f>
        <v>2990625</v>
      </c>
      <c r="L113" s="308">
        <f>+J113+K113</f>
        <v>2990625</v>
      </c>
      <c r="M113" s="308">
        <f>+I113+L113</f>
        <v>2990625</v>
      </c>
      <c r="N113" s="307">
        <f>+F113-M113</f>
        <v>28162375</v>
      </c>
      <c r="P113" s="320"/>
      <c r="R113" s="321"/>
      <c r="S113" s="349"/>
      <c r="T113" s="349"/>
      <c r="U113" s="350"/>
    </row>
    <row r="114" spans="1:21" s="329" customFormat="1" ht="18" customHeight="1" x14ac:dyDescent="0.25">
      <c r="A114" s="323"/>
      <c r="B114" s="324"/>
      <c r="C114" s="324"/>
      <c r="D114" s="325" t="s">
        <v>207</v>
      </c>
      <c r="E114" s="326" t="s">
        <v>262</v>
      </c>
      <c r="F114" s="327">
        <f t="shared" si="43"/>
        <v>31153000</v>
      </c>
      <c r="G114" s="328">
        <f t="shared" si="43"/>
        <v>0</v>
      </c>
      <c r="H114" s="328">
        <f t="shared" si="43"/>
        <v>0</v>
      </c>
      <c r="I114" s="328">
        <f>+G114+H114</f>
        <v>0</v>
      </c>
      <c r="J114" s="328">
        <f t="shared" ref="J114:K116" si="44">+J115</f>
        <v>0</v>
      </c>
      <c r="K114" s="328">
        <f t="shared" si="44"/>
        <v>2990625</v>
      </c>
      <c r="L114" s="328">
        <f>+J114+K114</f>
        <v>2990625</v>
      </c>
      <c r="M114" s="328">
        <f t="shared" ref="M114:M120" si="45">+I114+L114</f>
        <v>2990625</v>
      </c>
      <c r="N114" s="327">
        <f t="shared" ref="N114:N117" si="46">+F114-M114</f>
        <v>28162375</v>
      </c>
      <c r="P114" s="330"/>
      <c r="R114" s="331"/>
      <c r="S114" s="351"/>
      <c r="T114" s="351"/>
      <c r="U114" s="333"/>
    </row>
    <row r="115" spans="1:21" s="339" customFormat="1" ht="18" customHeight="1" x14ac:dyDescent="0.25">
      <c r="A115" s="334"/>
      <c r="B115" s="378"/>
      <c r="C115" s="378"/>
      <c r="D115" s="335" t="s">
        <v>63</v>
      </c>
      <c r="E115" s="335" t="s">
        <v>30</v>
      </c>
      <c r="F115" s="337">
        <f>F116</f>
        <v>31153000</v>
      </c>
      <c r="G115" s="344">
        <f>+G116</f>
        <v>0</v>
      </c>
      <c r="H115" s="344">
        <f>+H116</f>
        <v>0</v>
      </c>
      <c r="I115" s="344">
        <f>+G115+H115</f>
        <v>0</v>
      </c>
      <c r="J115" s="344">
        <f>+J116</f>
        <v>0</v>
      </c>
      <c r="K115" s="344">
        <f t="shared" si="44"/>
        <v>2990625</v>
      </c>
      <c r="L115" s="344">
        <f>+J115+K115</f>
        <v>2990625</v>
      </c>
      <c r="M115" s="344">
        <f t="shared" si="45"/>
        <v>2990625</v>
      </c>
      <c r="N115" s="337">
        <f t="shared" si="46"/>
        <v>28162375</v>
      </c>
      <c r="P115" s="340"/>
      <c r="S115" s="347"/>
      <c r="T115" s="347"/>
      <c r="U115" s="342"/>
    </row>
    <row r="116" spans="1:21" s="339" customFormat="1" ht="18" customHeight="1" x14ac:dyDescent="0.25">
      <c r="A116" s="334"/>
      <c r="B116" s="335"/>
      <c r="C116" s="335"/>
      <c r="D116" s="335" t="s">
        <v>263</v>
      </c>
      <c r="E116" s="336" t="s">
        <v>264</v>
      </c>
      <c r="F116" s="337">
        <f>+F117</f>
        <v>31153000</v>
      </c>
      <c r="G116" s="338">
        <f>+G117</f>
        <v>0</v>
      </c>
      <c r="H116" s="338">
        <f>+H117</f>
        <v>0</v>
      </c>
      <c r="I116" s="338">
        <f>+G116+H116</f>
        <v>0</v>
      </c>
      <c r="J116" s="338">
        <f t="shared" si="44"/>
        <v>0</v>
      </c>
      <c r="K116" s="338">
        <f t="shared" si="44"/>
        <v>2990625</v>
      </c>
      <c r="L116" s="338">
        <f>+J116+K116</f>
        <v>2990625</v>
      </c>
      <c r="M116" s="338">
        <f t="shared" si="45"/>
        <v>2990625</v>
      </c>
      <c r="N116" s="337">
        <f t="shared" si="46"/>
        <v>28162375</v>
      </c>
      <c r="P116" s="340"/>
      <c r="S116" s="347"/>
      <c r="T116" s="347"/>
      <c r="U116" s="342"/>
    </row>
    <row r="117" spans="1:21" s="339" customFormat="1" ht="18" customHeight="1" x14ac:dyDescent="0.25">
      <c r="A117" s="334"/>
      <c r="B117" s="378"/>
      <c r="C117" s="378"/>
      <c r="D117" s="335" t="s">
        <v>64</v>
      </c>
      <c r="E117" s="335" t="s">
        <v>65</v>
      </c>
      <c r="F117" s="337">
        <f>F118+F119+F120</f>
        <v>31153000</v>
      </c>
      <c r="G117" s="344">
        <f>SUM(G118:G120)</f>
        <v>0</v>
      </c>
      <c r="H117" s="344">
        <f>SUM(H118:H120)</f>
        <v>0</v>
      </c>
      <c r="I117" s="344">
        <f>+G117+H117</f>
        <v>0</v>
      </c>
      <c r="J117" s="344">
        <f>SUM(J118:J120)</f>
        <v>0</v>
      </c>
      <c r="K117" s="344">
        <f>SUM(K118:K120)</f>
        <v>2990625</v>
      </c>
      <c r="L117" s="344">
        <f>+J117+K117</f>
        <v>2990625</v>
      </c>
      <c r="M117" s="344">
        <f t="shared" si="45"/>
        <v>2990625</v>
      </c>
      <c r="N117" s="337">
        <f t="shared" si="46"/>
        <v>28162375</v>
      </c>
      <c r="P117" s="340"/>
      <c r="S117" s="347"/>
      <c r="T117" s="347"/>
      <c r="U117" s="342"/>
    </row>
    <row r="118" spans="1:21" s="339" customFormat="1" ht="18" customHeight="1" x14ac:dyDescent="0.25">
      <c r="A118" s="334"/>
      <c r="B118" s="378"/>
      <c r="C118" s="378"/>
      <c r="D118" s="335" t="s">
        <v>66</v>
      </c>
      <c r="E118" s="335" t="s">
        <v>67</v>
      </c>
      <c r="F118" s="337">
        <v>1447000</v>
      </c>
      <c r="G118" s="344"/>
      <c r="H118" s="344"/>
      <c r="I118" s="344">
        <f t="shared" ref="I118:I120" si="47">+G118+H118</f>
        <v>0</v>
      </c>
      <c r="J118" s="344"/>
      <c r="K118" s="344"/>
      <c r="L118" s="344">
        <f t="shared" ref="L118:L120" si="48">+J118+K118</f>
        <v>0</v>
      </c>
      <c r="M118" s="344">
        <f t="shared" si="45"/>
        <v>0</v>
      </c>
      <c r="N118" s="337">
        <f>+F118-M118</f>
        <v>1447000</v>
      </c>
      <c r="P118" s="340"/>
      <c r="S118" s="346">
        <f>999375+995625+995625</f>
        <v>2990625</v>
      </c>
      <c r="T118" s="347"/>
      <c r="U118" s="342"/>
    </row>
    <row r="119" spans="1:21" s="339" customFormat="1" ht="18" customHeight="1" x14ac:dyDescent="0.25">
      <c r="A119" s="334"/>
      <c r="B119" s="378"/>
      <c r="C119" s="378"/>
      <c r="D119" s="335" t="s">
        <v>337</v>
      </c>
      <c r="E119" s="335" t="s">
        <v>338</v>
      </c>
      <c r="F119" s="337">
        <v>3792000</v>
      </c>
      <c r="G119" s="344"/>
      <c r="H119" s="344"/>
      <c r="I119" s="344">
        <f t="shared" si="47"/>
        <v>0</v>
      </c>
      <c r="J119" s="344"/>
      <c r="K119" s="344"/>
      <c r="L119" s="344">
        <f t="shared" si="48"/>
        <v>0</v>
      </c>
      <c r="M119" s="344">
        <f t="shared" si="45"/>
        <v>0</v>
      </c>
      <c r="N119" s="337">
        <f t="shared" ref="N119:N120" si="49">+F119-M119</f>
        <v>3792000</v>
      </c>
      <c r="P119" s="340"/>
      <c r="S119" s="347"/>
      <c r="T119" s="347"/>
      <c r="U119" s="342"/>
    </row>
    <row r="120" spans="1:21" s="339" customFormat="1" ht="18" customHeight="1" x14ac:dyDescent="0.25">
      <c r="A120" s="334"/>
      <c r="B120" s="378"/>
      <c r="C120" s="378"/>
      <c r="D120" s="335" t="s">
        <v>68</v>
      </c>
      <c r="E120" s="335" t="s">
        <v>69</v>
      </c>
      <c r="F120" s="337">
        <v>25914000</v>
      </c>
      <c r="G120" s="344"/>
      <c r="H120" s="344"/>
      <c r="I120" s="344">
        <f t="shared" si="47"/>
        <v>0</v>
      </c>
      <c r="J120" s="344"/>
      <c r="K120" s="344">
        <v>2990625</v>
      </c>
      <c r="L120" s="344">
        <f t="shared" si="48"/>
        <v>2990625</v>
      </c>
      <c r="M120" s="344">
        <f t="shared" si="45"/>
        <v>2990625</v>
      </c>
      <c r="N120" s="337">
        <f t="shared" si="49"/>
        <v>22923375</v>
      </c>
      <c r="P120" s="340"/>
      <c r="S120" s="347"/>
      <c r="T120" s="347"/>
      <c r="U120" s="342"/>
    </row>
    <row r="121" spans="1:21" s="153" customFormat="1" ht="18" customHeight="1" x14ac:dyDescent="0.25">
      <c r="A121" s="353"/>
      <c r="B121" s="354"/>
      <c r="C121" s="354"/>
      <c r="D121" s="355"/>
      <c r="E121" s="355"/>
      <c r="F121" s="356"/>
      <c r="G121" s="357"/>
      <c r="H121" s="357"/>
      <c r="I121" s="357"/>
      <c r="J121" s="357"/>
      <c r="K121" s="357"/>
      <c r="L121" s="357"/>
      <c r="M121" s="357"/>
      <c r="N121" s="356"/>
      <c r="P121" s="200"/>
      <c r="S121" s="221"/>
      <c r="T121" s="221"/>
      <c r="U121" s="254"/>
    </row>
    <row r="122" spans="1:21" s="319" customFormat="1" ht="18" customHeight="1" x14ac:dyDescent="0.25">
      <c r="A122" s="276"/>
      <c r="B122" s="305" t="s">
        <v>405</v>
      </c>
      <c r="C122" s="305"/>
      <c r="D122" s="305"/>
      <c r="E122" s="305" t="s">
        <v>406</v>
      </c>
      <c r="F122" s="359">
        <f t="shared" ref="F122:G124" si="50">+F123</f>
        <v>654671250</v>
      </c>
      <c r="G122" s="360">
        <f t="shared" si="50"/>
        <v>0</v>
      </c>
      <c r="H122" s="360">
        <f>+H123</f>
        <v>0</v>
      </c>
      <c r="I122" s="360">
        <f t="shared" ref="I122:I136" si="51">+G122+H122</f>
        <v>0</v>
      </c>
      <c r="J122" s="360">
        <f>+J124</f>
        <v>0</v>
      </c>
      <c r="K122" s="360">
        <f>+K123</f>
        <v>150000</v>
      </c>
      <c r="L122" s="360">
        <f>+J122+K122</f>
        <v>150000</v>
      </c>
      <c r="M122" s="360">
        <f t="shared" ref="M122" si="52">+I122+L122</f>
        <v>150000</v>
      </c>
      <c r="N122" s="359">
        <f t="shared" ref="N122:N130" si="53">+F122-M122</f>
        <v>654521250</v>
      </c>
      <c r="P122" s="361"/>
      <c r="R122" s="321"/>
      <c r="S122" s="362"/>
      <c r="T122" s="362"/>
      <c r="U122" s="350"/>
    </row>
    <row r="123" spans="1:21" s="319" customFormat="1" ht="18" customHeight="1" x14ac:dyDescent="0.25">
      <c r="A123" s="277">
        <v>5</v>
      </c>
      <c r="B123" s="305"/>
      <c r="C123" s="305" t="s">
        <v>86</v>
      </c>
      <c r="D123" s="363"/>
      <c r="E123" s="364" t="s">
        <v>87</v>
      </c>
      <c r="F123" s="307">
        <f t="shared" si="50"/>
        <v>654671250</v>
      </c>
      <c r="G123" s="308">
        <f t="shared" si="50"/>
        <v>0</v>
      </c>
      <c r="H123" s="308">
        <f>+H124</f>
        <v>0</v>
      </c>
      <c r="I123" s="308">
        <f t="shared" si="51"/>
        <v>0</v>
      </c>
      <c r="J123" s="308">
        <f>+J124</f>
        <v>0</v>
      </c>
      <c r="K123" s="308">
        <f>+K124</f>
        <v>150000</v>
      </c>
      <c r="L123" s="308">
        <f>+J123+K123</f>
        <v>150000</v>
      </c>
      <c r="M123" s="308">
        <f>+I123+L123</f>
        <v>150000</v>
      </c>
      <c r="N123" s="307">
        <f t="shared" si="53"/>
        <v>654521250</v>
      </c>
      <c r="P123" s="320"/>
      <c r="R123" s="321"/>
      <c r="S123" s="349"/>
      <c r="T123" s="349"/>
      <c r="U123" s="350"/>
    </row>
    <row r="124" spans="1:21" s="329" customFormat="1" ht="18" customHeight="1" x14ac:dyDescent="0.25">
      <c r="A124" s="323"/>
      <c r="B124" s="324"/>
      <c r="C124" s="324"/>
      <c r="D124" s="325" t="s">
        <v>207</v>
      </c>
      <c r="E124" s="326" t="s">
        <v>262</v>
      </c>
      <c r="F124" s="327">
        <f t="shared" si="50"/>
        <v>654671250</v>
      </c>
      <c r="G124" s="328">
        <f t="shared" si="50"/>
        <v>0</v>
      </c>
      <c r="H124" s="328">
        <f>+H125</f>
        <v>0</v>
      </c>
      <c r="I124" s="328">
        <f t="shared" si="51"/>
        <v>0</v>
      </c>
      <c r="J124" s="328">
        <f>+J125</f>
        <v>0</v>
      </c>
      <c r="K124" s="328">
        <f>+K125</f>
        <v>150000</v>
      </c>
      <c r="L124" s="328">
        <f t="shared" ref="L124:L136" si="54">+J124+K124</f>
        <v>150000</v>
      </c>
      <c r="M124" s="328">
        <f t="shared" ref="M124:M127" si="55">+I124+L124</f>
        <v>150000</v>
      </c>
      <c r="N124" s="327">
        <f t="shared" si="53"/>
        <v>654521250</v>
      </c>
      <c r="P124" s="330"/>
      <c r="R124" s="331"/>
      <c r="S124" s="351"/>
      <c r="T124" s="351"/>
      <c r="U124" s="333"/>
    </row>
    <row r="125" spans="1:21" s="339" customFormat="1" ht="18" customHeight="1" x14ac:dyDescent="0.25">
      <c r="A125" s="334"/>
      <c r="B125" s="335"/>
      <c r="C125" s="335"/>
      <c r="D125" s="365" t="s">
        <v>63</v>
      </c>
      <c r="E125" s="335" t="s">
        <v>30</v>
      </c>
      <c r="F125" s="337">
        <f>F131+F126</f>
        <v>654671250</v>
      </c>
      <c r="G125" s="344">
        <f>+G126+G131</f>
        <v>0</v>
      </c>
      <c r="H125" s="344">
        <f>+H126+H131</f>
        <v>0</v>
      </c>
      <c r="I125" s="344">
        <f t="shared" si="51"/>
        <v>0</v>
      </c>
      <c r="J125" s="344">
        <f>+J126+J131</f>
        <v>0</v>
      </c>
      <c r="K125" s="344">
        <f>+K131+K126</f>
        <v>150000</v>
      </c>
      <c r="L125" s="344">
        <f t="shared" si="54"/>
        <v>150000</v>
      </c>
      <c r="M125" s="344">
        <f t="shared" si="55"/>
        <v>150000</v>
      </c>
      <c r="N125" s="337">
        <f t="shared" si="53"/>
        <v>654521250</v>
      </c>
      <c r="P125" s="340"/>
      <c r="S125" s="347"/>
      <c r="T125" s="347"/>
      <c r="U125" s="342"/>
    </row>
    <row r="126" spans="1:21" s="339" customFormat="1" ht="18" customHeight="1" x14ac:dyDescent="0.25">
      <c r="A126" s="334"/>
      <c r="B126" s="335"/>
      <c r="C126" s="335"/>
      <c r="D126" s="365" t="s">
        <v>263</v>
      </c>
      <c r="E126" s="336" t="s">
        <v>264</v>
      </c>
      <c r="F126" s="337">
        <f>+F127</f>
        <v>137486250</v>
      </c>
      <c r="G126" s="344">
        <f>+G127</f>
        <v>0</v>
      </c>
      <c r="H126" s="344">
        <f>+H127</f>
        <v>0</v>
      </c>
      <c r="I126" s="344">
        <f t="shared" si="51"/>
        <v>0</v>
      </c>
      <c r="J126" s="344">
        <f>+J127</f>
        <v>0</v>
      </c>
      <c r="K126" s="344">
        <f>+K127</f>
        <v>150000</v>
      </c>
      <c r="L126" s="344">
        <f t="shared" si="54"/>
        <v>150000</v>
      </c>
      <c r="M126" s="344">
        <f t="shared" si="55"/>
        <v>150000</v>
      </c>
      <c r="N126" s="337">
        <f t="shared" si="53"/>
        <v>137336250</v>
      </c>
      <c r="P126" s="340"/>
      <c r="S126" s="347"/>
      <c r="T126" s="347"/>
      <c r="U126" s="342"/>
    </row>
    <row r="127" spans="1:21" s="339" customFormat="1" ht="18" customHeight="1" x14ac:dyDescent="0.25">
      <c r="A127" s="334"/>
      <c r="B127" s="335"/>
      <c r="C127" s="335"/>
      <c r="D127" s="365" t="s">
        <v>64</v>
      </c>
      <c r="E127" s="335" t="s">
        <v>65</v>
      </c>
      <c r="F127" s="337">
        <f>+F128+F129+F130</f>
        <v>137486250</v>
      </c>
      <c r="G127" s="344">
        <f>SUM(G128:G129)</f>
        <v>0</v>
      </c>
      <c r="H127" s="344">
        <f>SUM(H128:H129)</f>
        <v>0</v>
      </c>
      <c r="I127" s="344">
        <f t="shared" si="51"/>
        <v>0</v>
      </c>
      <c r="J127" s="344">
        <f>SUM(J128:J130)</f>
        <v>0</v>
      </c>
      <c r="K127" s="344">
        <f>SUM(K128:K130)</f>
        <v>150000</v>
      </c>
      <c r="L127" s="344">
        <f t="shared" si="54"/>
        <v>150000</v>
      </c>
      <c r="M127" s="344">
        <f t="shared" si="55"/>
        <v>150000</v>
      </c>
      <c r="N127" s="337">
        <f t="shared" si="53"/>
        <v>137336250</v>
      </c>
      <c r="P127" s="340"/>
      <c r="S127" s="347"/>
      <c r="T127" s="347"/>
      <c r="U127" s="342"/>
    </row>
    <row r="128" spans="1:21" s="339" customFormat="1" ht="18" customHeight="1" x14ac:dyDescent="0.25">
      <c r="A128" s="334"/>
      <c r="B128" s="335"/>
      <c r="C128" s="335"/>
      <c r="D128" s="365" t="s">
        <v>66</v>
      </c>
      <c r="E128" s="335" t="s">
        <v>67</v>
      </c>
      <c r="F128" s="337">
        <v>2756250</v>
      </c>
      <c r="G128" s="344"/>
      <c r="H128" s="344"/>
      <c r="I128" s="344">
        <f t="shared" si="51"/>
        <v>0</v>
      </c>
      <c r="J128" s="344"/>
      <c r="K128" s="344">
        <v>150000</v>
      </c>
      <c r="L128" s="344">
        <f t="shared" si="54"/>
        <v>150000</v>
      </c>
      <c r="M128" s="344">
        <f>+I128+L128</f>
        <v>150000</v>
      </c>
      <c r="N128" s="337">
        <f t="shared" si="53"/>
        <v>2606250</v>
      </c>
      <c r="P128" s="340"/>
      <c r="S128" s="346">
        <v>150000</v>
      </c>
      <c r="T128" s="347"/>
      <c r="U128" s="342"/>
    </row>
    <row r="129" spans="1:21" s="339" customFormat="1" ht="18" customHeight="1" x14ac:dyDescent="0.25">
      <c r="A129" s="334"/>
      <c r="B129" s="335"/>
      <c r="C129" s="335"/>
      <c r="D129" s="365" t="s">
        <v>369</v>
      </c>
      <c r="E129" s="335" t="s">
        <v>370</v>
      </c>
      <c r="F129" s="337">
        <v>7230000</v>
      </c>
      <c r="G129" s="344"/>
      <c r="H129" s="344"/>
      <c r="I129" s="344">
        <f t="shared" si="51"/>
        <v>0</v>
      </c>
      <c r="J129" s="344"/>
      <c r="K129" s="344"/>
      <c r="L129" s="344">
        <f t="shared" si="54"/>
        <v>0</v>
      </c>
      <c r="M129" s="344">
        <f>+I129+L129</f>
        <v>0</v>
      </c>
      <c r="N129" s="337">
        <f t="shared" si="53"/>
        <v>7230000</v>
      </c>
      <c r="P129" s="340"/>
      <c r="S129" s="347"/>
      <c r="T129" s="347"/>
      <c r="U129" s="342"/>
    </row>
    <row r="130" spans="1:21" s="339" customFormat="1" ht="18" customHeight="1" x14ac:dyDescent="0.25">
      <c r="A130" s="334"/>
      <c r="B130" s="335"/>
      <c r="C130" s="335"/>
      <c r="D130" s="365" t="s">
        <v>447</v>
      </c>
      <c r="E130" s="335" t="s">
        <v>448</v>
      </c>
      <c r="F130" s="337">
        <v>127500000</v>
      </c>
      <c r="G130" s="344"/>
      <c r="H130" s="344"/>
      <c r="I130" s="344">
        <f t="shared" si="51"/>
        <v>0</v>
      </c>
      <c r="J130" s="344"/>
      <c r="K130" s="344"/>
      <c r="L130" s="344">
        <f t="shared" si="54"/>
        <v>0</v>
      </c>
      <c r="M130" s="344">
        <f>+I130+L130</f>
        <v>0</v>
      </c>
      <c r="N130" s="337">
        <f t="shared" si="53"/>
        <v>127500000</v>
      </c>
      <c r="P130" s="340"/>
      <c r="S130" s="347"/>
      <c r="T130" s="347"/>
      <c r="U130" s="342"/>
    </row>
    <row r="131" spans="1:21" s="339" customFormat="1" ht="18" customHeight="1" x14ac:dyDescent="0.25">
      <c r="A131" s="334"/>
      <c r="B131" s="335"/>
      <c r="C131" s="335"/>
      <c r="D131" s="365" t="s">
        <v>265</v>
      </c>
      <c r="E131" s="335" t="s">
        <v>266</v>
      </c>
      <c r="F131" s="337">
        <f>+F132</f>
        <v>517185000</v>
      </c>
      <c r="G131" s="344">
        <f>+G132</f>
        <v>0</v>
      </c>
      <c r="H131" s="344">
        <f>+H132</f>
        <v>0</v>
      </c>
      <c r="I131" s="344">
        <f t="shared" si="51"/>
        <v>0</v>
      </c>
      <c r="J131" s="344">
        <f>+J132</f>
        <v>0</v>
      </c>
      <c r="K131" s="344">
        <f>+K132</f>
        <v>0</v>
      </c>
      <c r="L131" s="344">
        <f t="shared" si="54"/>
        <v>0</v>
      </c>
      <c r="M131" s="344">
        <f t="shared" ref="M131:M132" si="56">+I131+L131</f>
        <v>0</v>
      </c>
      <c r="N131" s="337">
        <f>+F131-M131</f>
        <v>517185000</v>
      </c>
      <c r="P131" s="340"/>
      <c r="S131" s="347"/>
      <c r="T131" s="347"/>
      <c r="U131" s="342"/>
    </row>
    <row r="132" spans="1:21" s="339" customFormat="1" ht="18" customHeight="1" x14ac:dyDescent="0.25">
      <c r="A132" s="334"/>
      <c r="B132" s="335"/>
      <c r="C132" s="335"/>
      <c r="D132" s="365" t="s">
        <v>71</v>
      </c>
      <c r="E132" s="335" t="s">
        <v>72</v>
      </c>
      <c r="F132" s="337">
        <f>SUM(F133:F136)</f>
        <v>517185000</v>
      </c>
      <c r="G132" s="344">
        <f>SUM(G133:G134)</f>
        <v>0</v>
      </c>
      <c r="H132" s="344">
        <f>SUM(H133:H134)</f>
        <v>0</v>
      </c>
      <c r="I132" s="344">
        <f t="shared" si="51"/>
        <v>0</v>
      </c>
      <c r="J132" s="344">
        <f>SUM(J133:J136)</f>
        <v>0</v>
      </c>
      <c r="K132" s="344">
        <f>SUM(K133:K136)</f>
        <v>0</v>
      </c>
      <c r="L132" s="344">
        <f>+J132+K132</f>
        <v>0</v>
      </c>
      <c r="M132" s="344">
        <f t="shared" si="56"/>
        <v>0</v>
      </c>
      <c r="N132" s="337">
        <f>+F132-M132</f>
        <v>517185000</v>
      </c>
      <c r="P132" s="340"/>
      <c r="S132" s="347"/>
      <c r="T132" s="347"/>
      <c r="U132" s="342"/>
    </row>
    <row r="133" spans="1:21" s="339" customFormat="1" ht="18" customHeight="1" x14ac:dyDescent="0.25">
      <c r="A133" s="334"/>
      <c r="B133" s="335"/>
      <c r="C133" s="335"/>
      <c r="D133" s="365" t="s">
        <v>73</v>
      </c>
      <c r="E133" s="335" t="s">
        <v>74</v>
      </c>
      <c r="F133" s="337">
        <v>128100000</v>
      </c>
      <c r="G133" s="344"/>
      <c r="H133" s="344"/>
      <c r="I133" s="344">
        <f t="shared" si="51"/>
        <v>0</v>
      </c>
      <c r="J133" s="344"/>
      <c r="K133" s="344"/>
      <c r="L133" s="344">
        <f t="shared" si="54"/>
        <v>0</v>
      </c>
      <c r="M133" s="344">
        <f>+I133+L133</f>
        <v>0</v>
      </c>
      <c r="N133" s="337">
        <f t="shared" ref="N133:N136" si="57">+F133-M133</f>
        <v>128100000</v>
      </c>
      <c r="P133" s="340"/>
      <c r="S133" s="346"/>
      <c r="T133" s="347"/>
      <c r="U133" s="342"/>
    </row>
    <row r="134" spans="1:21" s="339" customFormat="1" ht="18" customHeight="1" x14ac:dyDescent="0.25">
      <c r="A134" s="334"/>
      <c r="B134" s="335"/>
      <c r="C134" s="335"/>
      <c r="D134" s="365" t="s">
        <v>88</v>
      </c>
      <c r="E134" s="335" t="s">
        <v>89</v>
      </c>
      <c r="F134" s="337">
        <v>79635000</v>
      </c>
      <c r="G134" s="344"/>
      <c r="H134" s="344"/>
      <c r="I134" s="344">
        <f t="shared" si="51"/>
        <v>0</v>
      </c>
      <c r="J134" s="344"/>
      <c r="K134" s="344"/>
      <c r="L134" s="344">
        <f t="shared" si="54"/>
        <v>0</v>
      </c>
      <c r="M134" s="344">
        <f t="shared" ref="M134" si="58">+I134+L134</f>
        <v>0</v>
      </c>
      <c r="N134" s="337">
        <f t="shared" si="57"/>
        <v>79635000</v>
      </c>
      <c r="P134" s="340"/>
      <c r="S134" s="346"/>
      <c r="T134" s="347"/>
      <c r="U134" s="342"/>
    </row>
    <row r="135" spans="1:21" s="339" customFormat="1" ht="18" customHeight="1" x14ac:dyDescent="0.25">
      <c r="A135" s="334"/>
      <c r="B135" s="335"/>
      <c r="C135" s="335"/>
      <c r="D135" s="365" t="s">
        <v>445</v>
      </c>
      <c r="E135" s="335" t="s">
        <v>446</v>
      </c>
      <c r="F135" s="337">
        <v>241950000</v>
      </c>
      <c r="G135" s="344"/>
      <c r="H135" s="344"/>
      <c r="I135" s="344">
        <f t="shared" si="51"/>
        <v>0</v>
      </c>
      <c r="J135" s="344"/>
      <c r="K135" s="344"/>
      <c r="L135" s="344">
        <f t="shared" si="54"/>
        <v>0</v>
      </c>
      <c r="M135" s="344">
        <f>+I135+L135</f>
        <v>0</v>
      </c>
      <c r="N135" s="337">
        <f t="shared" si="57"/>
        <v>241950000</v>
      </c>
      <c r="P135" s="340"/>
      <c r="S135" s="347"/>
      <c r="T135" s="347"/>
      <c r="U135" s="342"/>
    </row>
    <row r="136" spans="1:21" s="339" customFormat="1" ht="18" customHeight="1" x14ac:dyDescent="0.25">
      <c r="A136" s="334"/>
      <c r="B136" s="335"/>
      <c r="C136" s="335"/>
      <c r="D136" s="365" t="s">
        <v>107</v>
      </c>
      <c r="E136" s="335" t="s">
        <v>108</v>
      </c>
      <c r="F136" s="337">
        <v>67500000</v>
      </c>
      <c r="G136" s="344"/>
      <c r="H136" s="344"/>
      <c r="I136" s="344">
        <f t="shared" si="51"/>
        <v>0</v>
      </c>
      <c r="J136" s="344"/>
      <c r="K136" s="344"/>
      <c r="L136" s="344">
        <f t="shared" si="54"/>
        <v>0</v>
      </c>
      <c r="M136" s="344">
        <f>+I136+L136</f>
        <v>0</v>
      </c>
      <c r="N136" s="337">
        <f t="shared" si="57"/>
        <v>67500000</v>
      </c>
      <c r="P136" s="340"/>
      <c r="S136" s="347"/>
      <c r="T136" s="347"/>
      <c r="U136" s="342"/>
    </row>
    <row r="137" spans="1:21" s="153" customFormat="1" ht="18" customHeight="1" x14ac:dyDescent="0.25">
      <c r="A137" s="353"/>
      <c r="B137" s="355"/>
      <c r="C137" s="355"/>
      <c r="D137" s="355"/>
      <c r="E137" s="355"/>
      <c r="F137" s="356"/>
      <c r="G137" s="357"/>
      <c r="H137" s="357"/>
      <c r="I137" s="357"/>
      <c r="J137" s="357"/>
      <c r="K137" s="357"/>
      <c r="L137" s="357"/>
      <c r="M137" s="357"/>
      <c r="N137" s="356"/>
      <c r="P137" s="200"/>
      <c r="S137" s="221"/>
      <c r="T137" s="221"/>
      <c r="U137" s="254"/>
    </row>
    <row r="138" spans="1:21" s="319" customFormat="1" ht="18" customHeight="1" x14ac:dyDescent="0.25">
      <c r="A138" s="276"/>
      <c r="B138" s="305" t="s">
        <v>380</v>
      </c>
      <c r="C138" s="305"/>
      <c r="D138" s="305"/>
      <c r="E138" s="305" t="s">
        <v>381</v>
      </c>
      <c r="F138" s="359">
        <f>+F139+F165+F173+F184+F206</f>
        <v>4317651500</v>
      </c>
      <c r="G138" s="360">
        <f>+G139+G165+G173+G184+G206</f>
        <v>0</v>
      </c>
      <c r="H138" s="360">
        <f>+H139+H165+H173+H184+H206</f>
        <v>142125000</v>
      </c>
      <c r="I138" s="360">
        <f t="shared" ref="I138:I164" si="59">+G138+H138</f>
        <v>142125000</v>
      </c>
      <c r="J138" s="360">
        <f>+J139+J165+J173+J184+J206</f>
        <v>7840000</v>
      </c>
      <c r="K138" s="360">
        <f>+K139+K165+K173+K184+K206</f>
        <v>109890600</v>
      </c>
      <c r="L138" s="360">
        <f t="shared" ref="L138:L146" si="60">+J138+K138</f>
        <v>117730600</v>
      </c>
      <c r="M138" s="360">
        <f t="shared" ref="M138" si="61">+I138+L138</f>
        <v>259855600</v>
      </c>
      <c r="N138" s="359">
        <f t="shared" ref="N138:N146" si="62">+F138-M138</f>
        <v>4057795900</v>
      </c>
      <c r="P138" s="361"/>
      <c r="R138" s="321"/>
      <c r="S138" s="362"/>
      <c r="T138" s="362"/>
      <c r="U138" s="350"/>
    </row>
    <row r="139" spans="1:21" s="319" customFormat="1" ht="18" customHeight="1" x14ac:dyDescent="0.25">
      <c r="A139" s="276">
        <v>6</v>
      </c>
      <c r="B139" s="305"/>
      <c r="C139" s="305" t="s">
        <v>90</v>
      </c>
      <c r="D139" s="363"/>
      <c r="E139" s="364" t="s">
        <v>91</v>
      </c>
      <c r="F139" s="307">
        <f>+F140+F147</f>
        <v>1165936000</v>
      </c>
      <c r="G139" s="308">
        <f>+G140+G147</f>
        <v>0</v>
      </c>
      <c r="H139" s="308">
        <f>+H140+H147</f>
        <v>0</v>
      </c>
      <c r="I139" s="308">
        <f t="shared" si="59"/>
        <v>0</v>
      </c>
      <c r="J139" s="308">
        <f>+J140+J147</f>
        <v>0</v>
      </c>
      <c r="K139" s="308">
        <f>+K140+K147</f>
        <v>0</v>
      </c>
      <c r="L139" s="308">
        <f t="shared" si="60"/>
        <v>0</v>
      </c>
      <c r="M139" s="308">
        <f>+I139+L139</f>
        <v>0</v>
      </c>
      <c r="N139" s="307">
        <f t="shared" si="62"/>
        <v>1165936000</v>
      </c>
      <c r="P139" s="320"/>
      <c r="R139" s="321"/>
      <c r="S139" s="349"/>
      <c r="T139" s="349"/>
      <c r="U139" s="350"/>
    </row>
    <row r="140" spans="1:21" s="329" customFormat="1" ht="18" customHeight="1" x14ac:dyDescent="0.25">
      <c r="A140" s="323"/>
      <c r="B140" s="324"/>
      <c r="C140" s="379"/>
      <c r="D140" s="325" t="s">
        <v>207</v>
      </c>
      <c r="E140" s="326" t="s">
        <v>262</v>
      </c>
      <c r="F140" s="327">
        <f>+F141</f>
        <v>39736000</v>
      </c>
      <c r="G140" s="328">
        <f>+G141</f>
        <v>0</v>
      </c>
      <c r="H140" s="328">
        <f>+H141</f>
        <v>0</v>
      </c>
      <c r="I140" s="328">
        <f t="shared" si="59"/>
        <v>0</v>
      </c>
      <c r="J140" s="328">
        <f t="shared" ref="J140:K142" si="63">+J141</f>
        <v>0</v>
      </c>
      <c r="K140" s="328">
        <f t="shared" si="63"/>
        <v>0</v>
      </c>
      <c r="L140" s="328">
        <f t="shared" si="60"/>
        <v>0</v>
      </c>
      <c r="M140" s="328">
        <f t="shared" ref="M140:M164" si="64">+I140+L140</f>
        <v>0</v>
      </c>
      <c r="N140" s="327">
        <f t="shared" si="62"/>
        <v>39736000</v>
      </c>
      <c r="P140" s="330"/>
      <c r="R140" s="331"/>
      <c r="S140" s="351"/>
      <c r="T140" s="351"/>
      <c r="U140" s="333"/>
    </row>
    <row r="141" spans="1:21" s="381" customFormat="1" ht="18" customHeight="1" x14ac:dyDescent="0.25">
      <c r="A141" s="380"/>
      <c r="B141" s="352"/>
      <c r="C141" s="334"/>
      <c r="D141" s="335" t="s">
        <v>63</v>
      </c>
      <c r="E141" s="335" t="s">
        <v>30</v>
      </c>
      <c r="F141" s="337">
        <f>+F142</f>
        <v>39736000</v>
      </c>
      <c r="G141" s="344">
        <f t="shared" ref="G141:H142" si="65">+G142</f>
        <v>0</v>
      </c>
      <c r="H141" s="344">
        <f t="shared" si="65"/>
        <v>0</v>
      </c>
      <c r="I141" s="344">
        <f t="shared" si="59"/>
        <v>0</v>
      </c>
      <c r="J141" s="344">
        <f t="shared" si="63"/>
        <v>0</v>
      </c>
      <c r="K141" s="344">
        <f t="shared" si="63"/>
        <v>0</v>
      </c>
      <c r="L141" s="344">
        <f t="shared" si="60"/>
        <v>0</v>
      </c>
      <c r="M141" s="344">
        <f t="shared" si="64"/>
        <v>0</v>
      </c>
      <c r="N141" s="337">
        <f t="shared" si="62"/>
        <v>39736000</v>
      </c>
      <c r="P141" s="340"/>
      <c r="S141" s="347"/>
      <c r="T141" s="347"/>
      <c r="U141" s="382"/>
    </row>
    <row r="142" spans="1:21" s="339" customFormat="1" ht="18" customHeight="1" x14ac:dyDescent="0.25">
      <c r="A142" s="334"/>
      <c r="B142" s="335"/>
      <c r="C142" s="334"/>
      <c r="D142" s="365" t="s">
        <v>263</v>
      </c>
      <c r="E142" s="335" t="s">
        <v>264</v>
      </c>
      <c r="F142" s="337">
        <f>+F143</f>
        <v>39736000</v>
      </c>
      <c r="G142" s="344">
        <f t="shared" si="65"/>
        <v>0</v>
      </c>
      <c r="H142" s="344">
        <f t="shared" si="65"/>
        <v>0</v>
      </c>
      <c r="I142" s="344">
        <f t="shared" si="59"/>
        <v>0</v>
      </c>
      <c r="J142" s="344">
        <f t="shared" si="63"/>
        <v>0</v>
      </c>
      <c r="K142" s="344">
        <f t="shared" si="63"/>
        <v>0</v>
      </c>
      <c r="L142" s="344">
        <f t="shared" si="60"/>
        <v>0</v>
      </c>
      <c r="M142" s="344">
        <f t="shared" si="64"/>
        <v>0</v>
      </c>
      <c r="N142" s="337">
        <f t="shared" si="62"/>
        <v>39736000</v>
      </c>
      <c r="P142" s="340"/>
      <c r="S142" s="347"/>
      <c r="T142" s="347"/>
      <c r="U142" s="342"/>
    </row>
    <row r="143" spans="1:21" s="381" customFormat="1" ht="18" customHeight="1" x14ac:dyDescent="0.25">
      <c r="A143" s="380"/>
      <c r="B143" s="352"/>
      <c r="C143" s="334"/>
      <c r="D143" s="335" t="s">
        <v>64</v>
      </c>
      <c r="E143" s="335" t="s">
        <v>65</v>
      </c>
      <c r="F143" s="337">
        <f>F145+F144+F146</f>
        <v>39736000</v>
      </c>
      <c r="G143" s="344">
        <f>+G145</f>
        <v>0</v>
      </c>
      <c r="H143" s="344">
        <f>+H145</f>
        <v>0</v>
      </c>
      <c r="I143" s="344">
        <f t="shared" si="59"/>
        <v>0</v>
      </c>
      <c r="J143" s="344">
        <f>+J145</f>
        <v>0</v>
      </c>
      <c r="K143" s="344">
        <f>+K145</f>
        <v>0</v>
      </c>
      <c r="L143" s="344">
        <f t="shared" si="60"/>
        <v>0</v>
      </c>
      <c r="M143" s="344">
        <f t="shared" si="64"/>
        <v>0</v>
      </c>
      <c r="N143" s="337">
        <f t="shared" si="62"/>
        <v>39736000</v>
      </c>
      <c r="P143" s="340"/>
      <c r="S143" s="347"/>
      <c r="T143" s="347"/>
      <c r="U143" s="382"/>
    </row>
    <row r="144" spans="1:21" s="381" customFormat="1" ht="18" customHeight="1" x14ac:dyDescent="0.25">
      <c r="A144" s="380"/>
      <c r="B144" s="352"/>
      <c r="C144" s="334"/>
      <c r="D144" s="335" t="s">
        <v>66</v>
      </c>
      <c r="E144" s="335" t="s">
        <v>67</v>
      </c>
      <c r="F144" s="337">
        <v>13500</v>
      </c>
      <c r="G144" s="344"/>
      <c r="H144" s="344"/>
      <c r="I144" s="344">
        <f t="shared" si="59"/>
        <v>0</v>
      </c>
      <c r="J144" s="344"/>
      <c r="K144" s="344"/>
      <c r="L144" s="344">
        <f t="shared" si="60"/>
        <v>0</v>
      </c>
      <c r="M144" s="344">
        <f t="shared" si="64"/>
        <v>0</v>
      </c>
      <c r="N144" s="337">
        <f t="shared" si="62"/>
        <v>13500</v>
      </c>
      <c r="P144" s="340"/>
      <c r="S144" s="347"/>
      <c r="T144" s="347"/>
      <c r="U144" s="382"/>
    </row>
    <row r="145" spans="1:21" s="381" customFormat="1" ht="18" customHeight="1" x14ac:dyDescent="0.25">
      <c r="A145" s="380"/>
      <c r="B145" s="352"/>
      <c r="C145" s="334"/>
      <c r="D145" s="335" t="s">
        <v>339</v>
      </c>
      <c r="E145" s="335" t="s">
        <v>340</v>
      </c>
      <c r="F145" s="337">
        <v>29175000</v>
      </c>
      <c r="G145" s="344"/>
      <c r="H145" s="344"/>
      <c r="I145" s="344">
        <f t="shared" si="59"/>
        <v>0</v>
      </c>
      <c r="J145" s="344"/>
      <c r="K145" s="344"/>
      <c r="L145" s="344">
        <f t="shared" si="60"/>
        <v>0</v>
      </c>
      <c r="M145" s="344">
        <f t="shared" si="64"/>
        <v>0</v>
      </c>
      <c r="N145" s="337">
        <f t="shared" si="62"/>
        <v>29175000</v>
      </c>
      <c r="P145" s="340"/>
      <c r="S145" s="347"/>
      <c r="T145" s="347"/>
      <c r="U145" s="382"/>
    </row>
    <row r="146" spans="1:21" s="381" customFormat="1" ht="18" customHeight="1" x14ac:dyDescent="0.25">
      <c r="A146" s="380"/>
      <c r="B146" s="352"/>
      <c r="C146" s="334"/>
      <c r="D146" s="335" t="s">
        <v>371</v>
      </c>
      <c r="E146" s="335" t="s">
        <v>372</v>
      </c>
      <c r="F146" s="337">
        <v>10547500</v>
      </c>
      <c r="G146" s="344"/>
      <c r="H146" s="344"/>
      <c r="I146" s="344">
        <f t="shared" si="59"/>
        <v>0</v>
      </c>
      <c r="J146" s="344"/>
      <c r="K146" s="344"/>
      <c r="L146" s="344">
        <f t="shared" si="60"/>
        <v>0</v>
      </c>
      <c r="M146" s="344">
        <f t="shared" si="64"/>
        <v>0</v>
      </c>
      <c r="N146" s="337">
        <f t="shared" si="62"/>
        <v>10547500</v>
      </c>
      <c r="P146" s="340"/>
      <c r="S146" s="347"/>
      <c r="T146" s="347"/>
      <c r="U146" s="382"/>
    </row>
    <row r="147" spans="1:21" s="381" customFormat="1" ht="18" customHeight="1" x14ac:dyDescent="0.25">
      <c r="A147" s="380"/>
      <c r="B147" s="383"/>
      <c r="C147" s="384"/>
      <c r="D147" s="365" t="s">
        <v>267</v>
      </c>
      <c r="E147" s="335" t="s">
        <v>268</v>
      </c>
      <c r="F147" s="337">
        <f>+F148</f>
        <v>1126200000</v>
      </c>
      <c r="G147" s="344">
        <f>+G148</f>
        <v>0</v>
      </c>
      <c r="H147" s="344">
        <f>+H148</f>
        <v>0</v>
      </c>
      <c r="I147" s="344">
        <f>+G147+H147</f>
        <v>0</v>
      </c>
      <c r="J147" s="344">
        <f>+J148</f>
        <v>0</v>
      </c>
      <c r="K147" s="344">
        <f>+K148</f>
        <v>0</v>
      </c>
      <c r="L147" s="344">
        <f>+J147+K147</f>
        <v>0</v>
      </c>
      <c r="M147" s="344">
        <f t="shared" si="64"/>
        <v>0</v>
      </c>
      <c r="N147" s="337">
        <f>+F147-M147</f>
        <v>1126200000</v>
      </c>
      <c r="P147" s="340"/>
      <c r="R147" s="385"/>
      <c r="S147" s="347"/>
      <c r="T147" s="347"/>
      <c r="U147" s="382"/>
    </row>
    <row r="148" spans="1:21" s="381" customFormat="1" ht="18" customHeight="1" x14ac:dyDescent="0.25">
      <c r="A148" s="380"/>
      <c r="B148" s="352"/>
      <c r="C148" s="334"/>
      <c r="D148" s="335" t="s">
        <v>78</v>
      </c>
      <c r="E148" s="335" t="s">
        <v>75</v>
      </c>
      <c r="F148" s="337">
        <f>+F149+F159+F156</f>
        <v>1126200000</v>
      </c>
      <c r="G148" s="344">
        <f>+G149+G159</f>
        <v>0</v>
      </c>
      <c r="H148" s="344">
        <f>+H149+H159</f>
        <v>0</v>
      </c>
      <c r="I148" s="344">
        <f>+G148+H148</f>
        <v>0</v>
      </c>
      <c r="J148" s="344">
        <f>+J149+J159</f>
        <v>0</v>
      </c>
      <c r="K148" s="344">
        <f>+K149+K159</f>
        <v>0</v>
      </c>
      <c r="L148" s="344">
        <f>+J148+K148</f>
        <v>0</v>
      </c>
      <c r="M148" s="344">
        <f t="shared" si="64"/>
        <v>0</v>
      </c>
      <c r="N148" s="337">
        <f>+F148-M148</f>
        <v>1126200000</v>
      </c>
      <c r="P148" s="340"/>
      <c r="S148" s="347"/>
      <c r="T148" s="347"/>
      <c r="U148" s="382"/>
    </row>
    <row r="149" spans="1:21" s="339" customFormat="1" ht="18" customHeight="1" x14ac:dyDescent="0.25">
      <c r="A149" s="334"/>
      <c r="B149" s="335"/>
      <c r="C149" s="334"/>
      <c r="D149" s="365" t="s">
        <v>269</v>
      </c>
      <c r="E149" s="335" t="s">
        <v>270</v>
      </c>
      <c r="F149" s="337">
        <f>+F153+F150</f>
        <v>385400000</v>
      </c>
      <c r="G149" s="344">
        <f>+G153</f>
        <v>0</v>
      </c>
      <c r="H149" s="344">
        <f>+H153</f>
        <v>0</v>
      </c>
      <c r="I149" s="344">
        <f>+G149+H149</f>
        <v>0</v>
      </c>
      <c r="J149" s="344">
        <f>+J153</f>
        <v>0</v>
      </c>
      <c r="K149" s="344">
        <f>+K153+K150</f>
        <v>0</v>
      </c>
      <c r="L149" s="344">
        <f>+J149+K149</f>
        <v>0</v>
      </c>
      <c r="M149" s="344">
        <f t="shared" si="64"/>
        <v>0</v>
      </c>
      <c r="N149" s="337">
        <f>+F149-M149</f>
        <v>385400000</v>
      </c>
      <c r="P149" s="340"/>
      <c r="S149" s="347"/>
      <c r="T149" s="347"/>
      <c r="U149" s="342"/>
    </row>
    <row r="150" spans="1:21" s="381" customFormat="1" ht="18" customHeight="1" x14ac:dyDescent="0.25">
      <c r="A150" s="380"/>
      <c r="B150" s="352"/>
      <c r="C150" s="334"/>
      <c r="D150" s="335" t="s">
        <v>76</v>
      </c>
      <c r="E150" s="335" t="s">
        <v>484</v>
      </c>
      <c r="F150" s="337">
        <f>F151+F152</f>
        <v>180100000</v>
      </c>
      <c r="G150" s="344">
        <f>G151</f>
        <v>0</v>
      </c>
      <c r="H150" s="344">
        <f>+H151</f>
        <v>0</v>
      </c>
      <c r="I150" s="344">
        <f>+G150+H150</f>
        <v>0</v>
      </c>
      <c r="J150" s="344">
        <f>J151</f>
        <v>0</v>
      </c>
      <c r="K150" s="344">
        <f>+K151</f>
        <v>0</v>
      </c>
      <c r="L150" s="344">
        <f>+J150+K150</f>
        <v>0</v>
      </c>
      <c r="M150" s="344">
        <f t="shared" si="64"/>
        <v>0</v>
      </c>
      <c r="N150" s="337">
        <f>+F150-M150</f>
        <v>180100000</v>
      </c>
      <c r="P150" s="340"/>
      <c r="S150" s="347"/>
      <c r="T150" s="347"/>
      <c r="U150" s="382"/>
    </row>
    <row r="151" spans="1:21" s="381" customFormat="1" ht="18" customHeight="1" x14ac:dyDescent="0.25">
      <c r="A151" s="380"/>
      <c r="B151" s="352"/>
      <c r="C151" s="334"/>
      <c r="D151" s="335" t="s">
        <v>393</v>
      </c>
      <c r="E151" s="335" t="s">
        <v>394</v>
      </c>
      <c r="F151" s="337">
        <v>99600000</v>
      </c>
      <c r="G151" s="344"/>
      <c r="H151" s="344"/>
      <c r="I151" s="344">
        <f t="shared" ref="I151:I152" si="66">+G151+H151</f>
        <v>0</v>
      </c>
      <c r="J151" s="344"/>
      <c r="K151" s="344"/>
      <c r="L151" s="344">
        <f t="shared" ref="L151:L152" si="67">+J151+K151</f>
        <v>0</v>
      </c>
      <c r="M151" s="344">
        <f t="shared" si="64"/>
        <v>0</v>
      </c>
      <c r="N151" s="337">
        <f t="shared" ref="N151:N152" si="68">+F151-M151</f>
        <v>99600000</v>
      </c>
      <c r="P151" s="340"/>
      <c r="S151" s="346"/>
      <c r="T151" s="347"/>
      <c r="U151" s="382"/>
    </row>
    <row r="152" spans="1:21" s="381" customFormat="1" ht="18" customHeight="1" x14ac:dyDescent="0.25">
      <c r="A152" s="380"/>
      <c r="B152" s="352"/>
      <c r="C152" s="334"/>
      <c r="D152" s="335" t="s">
        <v>117</v>
      </c>
      <c r="E152" s="335" t="s">
        <v>118</v>
      </c>
      <c r="F152" s="337">
        <v>80500000</v>
      </c>
      <c r="G152" s="344"/>
      <c r="H152" s="344"/>
      <c r="I152" s="344">
        <f t="shared" si="66"/>
        <v>0</v>
      </c>
      <c r="J152" s="344"/>
      <c r="K152" s="344"/>
      <c r="L152" s="344">
        <f t="shared" si="67"/>
        <v>0</v>
      </c>
      <c r="M152" s="344">
        <f t="shared" si="64"/>
        <v>0</v>
      </c>
      <c r="N152" s="337">
        <f t="shared" si="68"/>
        <v>80500000</v>
      </c>
      <c r="P152" s="340"/>
      <c r="S152" s="346"/>
      <c r="T152" s="347"/>
      <c r="U152" s="382"/>
    </row>
    <row r="153" spans="1:21" s="381" customFormat="1" ht="18" customHeight="1" x14ac:dyDescent="0.25">
      <c r="A153" s="380"/>
      <c r="B153" s="352"/>
      <c r="C153" s="334"/>
      <c r="D153" s="335" t="s">
        <v>92</v>
      </c>
      <c r="E153" s="335" t="s">
        <v>94</v>
      </c>
      <c r="F153" s="337">
        <f>F154+F155</f>
        <v>205300000</v>
      </c>
      <c r="G153" s="344">
        <f>+G154+G155</f>
        <v>0</v>
      </c>
      <c r="H153" s="344">
        <f>+H154+H155</f>
        <v>0</v>
      </c>
      <c r="I153" s="344">
        <f>+G153+H153</f>
        <v>0</v>
      </c>
      <c r="J153" s="344">
        <f>J154+J155</f>
        <v>0</v>
      </c>
      <c r="K153" s="344">
        <f>+K154+K155</f>
        <v>0</v>
      </c>
      <c r="L153" s="344">
        <f>+J153+K153</f>
        <v>0</v>
      </c>
      <c r="M153" s="344">
        <f t="shared" si="64"/>
        <v>0</v>
      </c>
      <c r="N153" s="337">
        <f>+F153-M153</f>
        <v>205300000</v>
      </c>
      <c r="P153" s="340"/>
      <c r="S153" s="347"/>
      <c r="T153" s="347"/>
      <c r="U153" s="382"/>
    </row>
    <row r="154" spans="1:21" s="381" customFormat="1" ht="18" customHeight="1" x14ac:dyDescent="0.25">
      <c r="A154" s="380"/>
      <c r="B154" s="352"/>
      <c r="C154" s="334"/>
      <c r="D154" s="335" t="s">
        <v>93</v>
      </c>
      <c r="E154" s="335" t="s">
        <v>95</v>
      </c>
      <c r="F154" s="337">
        <v>180000000</v>
      </c>
      <c r="G154" s="344"/>
      <c r="H154" s="344"/>
      <c r="I154" s="344">
        <f t="shared" ref="I154:I155" si="69">+G154+H154</f>
        <v>0</v>
      </c>
      <c r="J154" s="344"/>
      <c r="K154" s="344"/>
      <c r="L154" s="344">
        <f t="shared" ref="L154:L164" si="70">+J154+K154</f>
        <v>0</v>
      </c>
      <c r="M154" s="344">
        <f t="shared" si="64"/>
        <v>0</v>
      </c>
      <c r="N154" s="337">
        <f t="shared" ref="N154:N155" si="71">+F154-M154</f>
        <v>180000000</v>
      </c>
      <c r="P154" s="340"/>
      <c r="S154" s="347"/>
      <c r="T154" s="347"/>
      <c r="U154" s="382"/>
    </row>
    <row r="155" spans="1:21" s="381" customFormat="1" ht="18" customHeight="1" x14ac:dyDescent="0.25">
      <c r="A155" s="380"/>
      <c r="B155" s="352"/>
      <c r="C155" s="334"/>
      <c r="D155" s="335" t="s">
        <v>397</v>
      </c>
      <c r="E155" s="335" t="s">
        <v>398</v>
      </c>
      <c r="F155" s="337">
        <v>25300000</v>
      </c>
      <c r="G155" s="344"/>
      <c r="H155" s="344"/>
      <c r="I155" s="344">
        <f t="shared" si="69"/>
        <v>0</v>
      </c>
      <c r="J155" s="344"/>
      <c r="K155" s="344"/>
      <c r="L155" s="344">
        <f t="shared" si="70"/>
        <v>0</v>
      </c>
      <c r="M155" s="344">
        <f t="shared" si="64"/>
        <v>0</v>
      </c>
      <c r="N155" s="337">
        <f t="shared" si="71"/>
        <v>25300000</v>
      </c>
      <c r="P155" s="340"/>
      <c r="S155" s="347"/>
      <c r="T155" s="347"/>
      <c r="U155" s="382"/>
    </row>
    <row r="156" spans="1:21" s="339" customFormat="1" ht="18" customHeight="1" x14ac:dyDescent="0.25">
      <c r="A156" s="334"/>
      <c r="B156" s="335"/>
      <c r="C156" s="334"/>
      <c r="D156" s="365" t="s">
        <v>399</v>
      </c>
      <c r="E156" s="335" t="s">
        <v>400</v>
      </c>
      <c r="F156" s="337">
        <f>+F157</f>
        <v>200000000</v>
      </c>
      <c r="G156" s="344">
        <f>+G160</f>
        <v>0</v>
      </c>
      <c r="H156" s="344">
        <f>+H160</f>
        <v>0</v>
      </c>
      <c r="I156" s="344">
        <f>+G156+H156</f>
        <v>0</v>
      </c>
      <c r="J156" s="344">
        <f>+J160</f>
        <v>0</v>
      </c>
      <c r="K156" s="344">
        <f>+K160+K157</f>
        <v>0</v>
      </c>
      <c r="L156" s="344">
        <f>+J156+K156</f>
        <v>0</v>
      </c>
      <c r="M156" s="344">
        <f t="shared" si="64"/>
        <v>0</v>
      </c>
      <c r="N156" s="337">
        <f>+F156-M156</f>
        <v>200000000</v>
      </c>
      <c r="P156" s="340"/>
      <c r="S156" s="347"/>
      <c r="T156" s="347"/>
      <c r="U156" s="342"/>
    </row>
    <row r="157" spans="1:21" s="381" customFormat="1" ht="18" customHeight="1" x14ac:dyDescent="0.25">
      <c r="A157" s="380"/>
      <c r="B157" s="352"/>
      <c r="C157" s="334"/>
      <c r="D157" s="335" t="s">
        <v>401</v>
      </c>
      <c r="E157" s="335" t="s">
        <v>402</v>
      </c>
      <c r="F157" s="337">
        <f>+F158</f>
        <v>200000000</v>
      </c>
      <c r="G157" s="344">
        <f>G158</f>
        <v>0</v>
      </c>
      <c r="H157" s="344">
        <f>+H158</f>
        <v>0</v>
      </c>
      <c r="I157" s="344">
        <f>+G157+H157</f>
        <v>0</v>
      </c>
      <c r="J157" s="344">
        <f>J158</f>
        <v>0</v>
      </c>
      <c r="K157" s="344">
        <f>+K158</f>
        <v>0</v>
      </c>
      <c r="L157" s="344">
        <f>+J157+K157</f>
        <v>0</v>
      </c>
      <c r="M157" s="344">
        <f t="shared" si="64"/>
        <v>0</v>
      </c>
      <c r="N157" s="337">
        <f>+F157-M157</f>
        <v>200000000</v>
      </c>
      <c r="P157" s="340"/>
      <c r="S157" s="347"/>
      <c r="T157" s="347"/>
      <c r="U157" s="382"/>
    </row>
    <row r="158" spans="1:21" s="381" customFormat="1" ht="18" customHeight="1" x14ac:dyDescent="0.25">
      <c r="A158" s="380"/>
      <c r="B158" s="352"/>
      <c r="C158" s="334"/>
      <c r="D158" s="335" t="s">
        <v>459</v>
      </c>
      <c r="E158" s="335" t="s">
        <v>460</v>
      </c>
      <c r="F158" s="337">
        <v>200000000</v>
      </c>
      <c r="G158" s="344"/>
      <c r="H158" s="344"/>
      <c r="I158" s="344">
        <f t="shared" ref="I158" si="72">+G158+H158</f>
        <v>0</v>
      </c>
      <c r="J158" s="344"/>
      <c r="K158" s="344"/>
      <c r="L158" s="344">
        <f t="shared" ref="L158" si="73">+J158+K158</f>
        <v>0</v>
      </c>
      <c r="M158" s="344">
        <f t="shared" si="64"/>
        <v>0</v>
      </c>
      <c r="N158" s="337">
        <f t="shared" ref="N158" si="74">+F158-M158</f>
        <v>200000000</v>
      </c>
      <c r="P158" s="340"/>
      <c r="S158" s="346"/>
      <c r="T158" s="347"/>
      <c r="U158" s="382"/>
    </row>
    <row r="159" spans="1:21" s="339" customFormat="1" ht="18" customHeight="1" x14ac:dyDescent="0.25">
      <c r="A159" s="334"/>
      <c r="B159" s="335"/>
      <c r="C159" s="334"/>
      <c r="D159" s="365" t="s">
        <v>273</v>
      </c>
      <c r="E159" s="335" t="s">
        <v>274</v>
      </c>
      <c r="F159" s="337">
        <f>+F160+F162</f>
        <v>540800000</v>
      </c>
      <c r="G159" s="344">
        <f>+G160+G162</f>
        <v>0</v>
      </c>
      <c r="H159" s="344">
        <f>+H160+H162</f>
        <v>0</v>
      </c>
      <c r="I159" s="344">
        <f>+G159+H159</f>
        <v>0</v>
      </c>
      <c r="J159" s="344">
        <f t="shared" ref="J159:K160" si="75">+J160</f>
        <v>0</v>
      </c>
      <c r="K159" s="344">
        <f t="shared" si="75"/>
        <v>0</v>
      </c>
      <c r="L159" s="344">
        <f t="shared" si="70"/>
        <v>0</v>
      </c>
      <c r="M159" s="344">
        <f t="shared" si="64"/>
        <v>0</v>
      </c>
      <c r="N159" s="337">
        <f>+F159-M159</f>
        <v>540800000</v>
      </c>
      <c r="P159" s="340"/>
      <c r="S159" s="347"/>
      <c r="T159" s="347"/>
      <c r="U159" s="342"/>
    </row>
    <row r="160" spans="1:21" s="381" customFormat="1" ht="18" customHeight="1" x14ac:dyDescent="0.25">
      <c r="A160" s="380"/>
      <c r="B160" s="352"/>
      <c r="C160" s="334"/>
      <c r="D160" s="335" t="s">
        <v>96</v>
      </c>
      <c r="E160" s="335" t="s">
        <v>98</v>
      </c>
      <c r="F160" s="337">
        <f>F161</f>
        <v>335000000</v>
      </c>
      <c r="G160" s="344">
        <f>+G161</f>
        <v>0</v>
      </c>
      <c r="H160" s="344">
        <f>+H161</f>
        <v>0</v>
      </c>
      <c r="I160" s="344">
        <f>+G160+H160</f>
        <v>0</v>
      </c>
      <c r="J160" s="344">
        <f>+J161</f>
        <v>0</v>
      </c>
      <c r="K160" s="344">
        <f t="shared" si="75"/>
        <v>0</v>
      </c>
      <c r="L160" s="344">
        <f t="shared" si="70"/>
        <v>0</v>
      </c>
      <c r="M160" s="344">
        <f t="shared" si="64"/>
        <v>0</v>
      </c>
      <c r="N160" s="337">
        <f>+F160-M160</f>
        <v>335000000</v>
      </c>
      <c r="P160" s="340"/>
      <c r="S160" s="347"/>
      <c r="T160" s="347"/>
      <c r="U160" s="382"/>
    </row>
    <row r="161" spans="1:21" s="381" customFormat="1" ht="18" customHeight="1" x14ac:dyDescent="0.25">
      <c r="A161" s="380"/>
      <c r="B161" s="352"/>
      <c r="C161" s="334"/>
      <c r="D161" s="335" t="s">
        <v>97</v>
      </c>
      <c r="E161" s="335" t="s">
        <v>99</v>
      </c>
      <c r="F161" s="337">
        <v>335000000</v>
      </c>
      <c r="G161" s="344"/>
      <c r="H161" s="344"/>
      <c r="I161" s="344">
        <f t="shared" si="59"/>
        <v>0</v>
      </c>
      <c r="J161" s="344"/>
      <c r="K161" s="344"/>
      <c r="L161" s="344">
        <f t="shared" si="70"/>
        <v>0</v>
      </c>
      <c r="M161" s="344">
        <f t="shared" si="64"/>
        <v>0</v>
      </c>
      <c r="N161" s="337">
        <f t="shared" ref="N161" si="76">+F161-M161</f>
        <v>335000000</v>
      </c>
      <c r="P161" s="340"/>
      <c r="S161" s="347"/>
      <c r="T161" s="347"/>
      <c r="U161" s="382"/>
    </row>
    <row r="162" spans="1:21" s="381" customFormat="1" ht="18" customHeight="1" x14ac:dyDescent="0.25">
      <c r="A162" s="380"/>
      <c r="B162" s="352"/>
      <c r="C162" s="334"/>
      <c r="D162" s="335" t="s">
        <v>382</v>
      </c>
      <c r="E162" s="335" t="s">
        <v>383</v>
      </c>
      <c r="F162" s="337">
        <f>SUM(F163:F164)</f>
        <v>205800000</v>
      </c>
      <c r="G162" s="344">
        <f>SUM(G163:G164)</f>
        <v>0</v>
      </c>
      <c r="H162" s="344">
        <f>SUM(H163:H164)</f>
        <v>0</v>
      </c>
      <c r="I162" s="344">
        <f>+G162+H162</f>
        <v>0</v>
      </c>
      <c r="J162" s="344">
        <f>SUM(J163:J164)</f>
        <v>0</v>
      </c>
      <c r="K162" s="344">
        <f>SUM(K163:K164)</f>
        <v>0</v>
      </c>
      <c r="L162" s="344">
        <f>+J162+K162</f>
        <v>0</v>
      </c>
      <c r="M162" s="344">
        <f t="shared" si="64"/>
        <v>0</v>
      </c>
      <c r="N162" s="337">
        <f>+F162-M162</f>
        <v>205800000</v>
      </c>
      <c r="P162" s="340"/>
      <c r="S162" s="347"/>
      <c r="T162" s="347"/>
      <c r="U162" s="382"/>
    </row>
    <row r="163" spans="1:21" s="381" customFormat="1" ht="18" customHeight="1" x14ac:dyDescent="0.25">
      <c r="A163" s="380"/>
      <c r="B163" s="352"/>
      <c r="C163" s="334"/>
      <c r="D163" s="335" t="s">
        <v>384</v>
      </c>
      <c r="E163" s="335" t="s">
        <v>385</v>
      </c>
      <c r="F163" s="337">
        <v>170400000</v>
      </c>
      <c r="G163" s="344"/>
      <c r="H163" s="344"/>
      <c r="I163" s="344">
        <f t="shared" si="59"/>
        <v>0</v>
      </c>
      <c r="J163" s="344"/>
      <c r="K163" s="344"/>
      <c r="L163" s="344">
        <f t="shared" si="70"/>
        <v>0</v>
      </c>
      <c r="M163" s="344">
        <f t="shared" si="64"/>
        <v>0</v>
      </c>
      <c r="N163" s="337">
        <f t="shared" ref="N163:N164" si="77">+F163-M163</f>
        <v>170400000</v>
      </c>
      <c r="P163" s="340"/>
      <c r="S163" s="347"/>
      <c r="T163" s="347"/>
      <c r="U163" s="382"/>
    </row>
    <row r="164" spans="1:21" s="388" customFormat="1" ht="18" customHeight="1" x14ac:dyDescent="0.25">
      <c r="A164" s="386"/>
      <c r="B164" s="387"/>
      <c r="C164" s="353"/>
      <c r="D164" s="355" t="s">
        <v>386</v>
      </c>
      <c r="E164" s="355" t="s">
        <v>387</v>
      </c>
      <c r="F164" s="356">
        <v>35400000</v>
      </c>
      <c r="G164" s="357"/>
      <c r="H164" s="357"/>
      <c r="I164" s="357">
        <f t="shared" si="59"/>
        <v>0</v>
      </c>
      <c r="J164" s="357"/>
      <c r="K164" s="357"/>
      <c r="L164" s="357">
        <f t="shared" si="70"/>
        <v>0</v>
      </c>
      <c r="M164" s="357">
        <f t="shared" si="64"/>
        <v>0</v>
      </c>
      <c r="N164" s="356">
        <f t="shared" si="77"/>
        <v>35400000</v>
      </c>
      <c r="P164" s="200"/>
      <c r="S164" s="221"/>
      <c r="T164" s="221"/>
      <c r="U164" s="389"/>
    </row>
    <row r="165" spans="1:21" s="319" customFormat="1" ht="18" customHeight="1" x14ac:dyDescent="0.25">
      <c r="A165" s="276">
        <v>7</v>
      </c>
      <c r="B165" s="305"/>
      <c r="C165" s="390" t="s">
        <v>102</v>
      </c>
      <c r="D165" s="363"/>
      <c r="E165" s="364" t="s">
        <v>103</v>
      </c>
      <c r="F165" s="307">
        <f t="shared" ref="F165:H168" si="78">+F166</f>
        <v>540210000</v>
      </c>
      <c r="G165" s="308">
        <f t="shared" si="78"/>
        <v>0</v>
      </c>
      <c r="H165" s="308">
        <f t="shared" si="78"/>
        <v>0</v>
      </c>
      <c r="I165" s="308">
        <f>+G165+H165</f>
        <v>0</v>
      </c>
      <c r="J165" s="308">
        <f>+J166</f>
        <v>0</v>
      </c>
      <c r="K165" s="308">
        <f t="shared" ref="J165:K168" si="79">+K166</f>
        <v>45950000</v>
      </c>
      <c r="L165" s="308">
        <f>+J165+K165</f>
        <v>45950000</v>
      </c>
      <c r="M165" s="308">
        <f>+I165+L165</f>
        <v>45950000</v>
      </c>
      <c r="N165" s="307">
        <f>+F165-M165</f>
        <v>494260000</v>
      </c>
      <c r="P165" s="320"/>
      <c r="R165" s="321"/>
      <c r="S165" s="349"/>
      <c r="T165" s="349"/>
      <c r="U165" s="350"/>
    </row>
    <row r="166" spans="1:21" s="329" customFormat="1" ht="18" customHeight="1" x14ac:dyDescent="0.25">
      <c r="A166" s="323"/>
      <c r="B166" s="324"/>
      <c r="C166" s="379"/>
      <c r="D166" s="325" t="s">
        <v>207</v>
      </c>
      <c r="E166" s="326" t="s">
        <v>262</v>
      </c>
      <c r="F166" s="327">
        <f t="shared" si="78"/>
        <v>540210000</v>
      </c>
      <c r="G166" s="328">
        <f t="shared" si="78"/>
        <v>0</v>
      </c>
      <c r="H166" s="328">
        <f t="shared" si="78"/>
        <v>0</v>
      </c>
      <c r="I166" s="328">
        <f>+G166+H166</f>
        <v>0</v>
      </c>
      <c r="J166" s="328">
        <f t="shared" si="79"/>
        <v>0</v>
      </c>
      <c r="K166" s="328">
        <f t="shared" si="79"/>
        <v>45950000</v>
      </c>
      <c r="L166" s="328">
        <f>+J166+K166</f>
        <v>45950000</v>
      </c>
      <c r="M166" s="328">
        <f t="shared" ref="M166:M169" si="80">+I166+L166</f>
        <v>45950000</v>
      </c>
      <c r="N166" s="327">
        <f>+F166-M166</f>
        <v>494260000</v>
      </c>
      <c r="P166" s="330"/>
      <c r="R166" s="331"/>
      <c r="S166" s="351"/>
      <c r="T166" s="351"/>
      <c r="U166" s="333"/>
    </row>
    <row r="167" spans="1:21" s="381" customFormat="1" ht="18" customHeight="1" x14ac:dyDescent="0.25">
      <c r="A167" s="380"/>
      <c r="B167" s="352"/>
      <c r="C167" s="334"/>
      <c r="D167" s="335" t="s">
        <v>63</v>
      </c>
      <c r="E167" s="335" t="s">
        <v>30</v>
      </c>
      <c r="F167" s="337">
        <f t="shared" si="78"/>
        <v>540210000</v>
      </c>
      <c r="G167" s="344">
        <f t="shared" si="78"/>
        <v>0</v>
      </c>
      <c r="H167" s="344">
        <f t="shared" si="78"/>
        <v>0</v>
      </c>
      <c r="I167" s="344">
        <f>+G167+H167</f>
        <v>0</v>
      </c>
      <c r="J167" s="344">
        <f t="shared" si="79"/>
        <v>0</v>
      </c>
      <c r="K167" s="344">
        <f t="shared" si="79"/>
        <v>45950000</v>
      </c>
      <c r="L167" s="344">
        <f>+J167+K167</f>
        <v>45950000</v>
      </c>
      <c r="M167" s="344">
        <f t="shared" si="80"/>
        <v>45950000</v>
      </c>
      <c r="N167" s="337">
        <f>+F167-M167</f>
        <v>494260000</v>
      </c>
      <c r="P167" s="340"/>
      <c r="S167" s="347"/>
      <c r="T167" s="347"/>
      <c r="U167" s="382"/>
    </row>
    <row r="168" spans="1:21" s="339" customFormat="1" ht="18" customHeight="1" x14ac:dyDescent="0.25">
      <c r="A168" s="334"/>
      <c r="B168" s="335"/>
      <c r="C168" s="334"/>
      <c r="D168" s="365" t="s">
        <v>263</v>
      </c>
      <c r="E168" s="335" t="s">
        <v>264</v>
      </c>
      <c r="F168" s="337">
        <f t="shared" si="78"/>
        <v>540210000</v>
      </c>
      <c r="G168" s="344">
        <f>+G169</f>
        <v>0</v>
      </c>
      <c r="H168" s="344">
        <f>+H169</f>
        <v>0</v>
      </c>
      <c r="I168" s="344">
        <f>+G168+H168</f>
        <v>0</v>
      </c>
      <c r="J168" s="344">
        <f t="shared" si="79"/>
        <v>0</v>
      </c>
      <c r="K168" s="344">
        <f t="shared" si="79"/>
        <v>45950000</v>
      </c>
      <c r="L168" s="344">
        <f>+J168+K168</f>
        <v>45950000</v>
      </c>
      <c r="M168" s="344">
        <f t="shared" si="80"/>
        <v>45950000</v>
      </c>
      <c r="N168" s="337">
        <f>+F168-M168</f>
        <v>494260000</v>
      </c>
      <c r="P168" s="340"/>
      <c r="S168" s="347"/>
      <c r="T168" s="347"/>
      <c r="U168" s="342"/>
    </row>
    <row r="169" spans="1:21" s="381" customFormat="1" ht="18" customHeight="1" x14ac:dyDescent="0.25">
      <c r="A169" s="380"/>
      <c r="B169" s="352"/>
      <c r="C169" s="334"/>
      <c r="D169" s="335" t="s">
        <v>64</v>
      </c>
      <c r="E169" s="335" t="s">
        <v>65</v>
      </c>
      <c r="F169" s="337">
        <f>SUM(F170:F172)</f>
        <v>540210000</v>
      </c>
      <c r="G169" s="344">
        <f>SUM(G170:G172)</f>
        <v>0</v>
      </c>
      <c r="H169" s="344">
        <f>SUM(H170:H172)</f>
        <v>0</v>
      </c>
      <c r="I169" s="344">
        <f>+G169+H169</f>
        <v>0</v>
      </c>
      <c r="J169" s="344">
        <f>SUM(J170:J172)</f>
        <v>0</v>
      </c>
      <c r="K169" s="344">
        <f>SUM(K170:K172)</f>
        <v>45950000</v>
      </c>
      <c r="L169" s="344">
        <f>+J169+K169</f>
        <v>45950000</v>
      </c>
      <c r="M169" s="344">
        <f t="shared" si="80"/>
        <v>45950000</v>
      </c>
      <c r="N169" s="337">
        <f>+F169-M169</f>
        <v>494260000</v>
      </c>
      <c r="P169" s="340"/>
      <c r="S169" s="347"/>
      <c r="T169" s="347"/>
      <c r="U169" s="382"/>
    </row>
    <row r="170" spans="1:21" s="381" customFormat="1" ht="18" customHeight="1" x14ac:dyDescent="0.25">
      <c r="A170" s="380"/>
      <c r="B170" s="352"/>
      <c r="C170" s="334"/>
      <c r="D170" s="335" t="s">
        <v>388</v>
      </c>
      <c r="E170" s="335" t="s">
        <v>389</v>
      </c>
      <c r="F170" s="337">
        <v>57760000</v>
      </c>
      <c r="G170" s="344"/>
      <c r="H170" s="344"/>
      <c r="I170" s="344">
        <f t="shared" ref="I170" si="81">+G170+H170</f>
        <v>0</v>
      </c>
      <c r="J170" s="344"/>
      <c r="K170" s="344">
        <v>4000000</v>
      </c>
      <c r="L170" s="344">
        <f t="shared" ref="L170:L172" si="82">+J170+K170</f>
        <v>4000000</v>
      </c>
      <c r="M170" s="344">
        <f>+I170+L170</f>
        <v>4000000</v>
      </c>
      <c r="N170" s="337">
        <f t="shared" ref="N170:N172" si="83">+F170-M170</f>
        <v>53760000</v>
      </c>
      <c r="P170" s="340"/>
      <c r="S170" s="346">
        <v>4000000</v>
      </c>
      <c r="T170" s="347"/>
      <c r="U170" s="382"/>
    </row>
    <row r="171" spans="1:21" s="381" customFormat="1" ht="18" customHeight="1" x14ac:dyDescent="0.25">
      <c r="A171" s="380"/>
      <c r="B171" s="352"/>
      <c r="C171" s="334"/>
      <c r="D171" s="335" t="s">
        <v>70</v>
      </c>
      <c r="E171" s="335" t="s">
        <v>33</v>
      </c>
      <c r="F171" s="337">
        <v>382450000</v>
      </c>
      <c r="G171" s="344"/>
      <c r="H171" s="344"/>
      <c r="I171" s="344">
        <f>+G171+H171</f>
        <v>0</v>
      </c>
      <c r="J171" s="344"/>
      <c r="K171" s="344">
        <f>12500000+15600000+2500000+2000000+2500000+3350000+2000000+1500000</f>
        <v>41950000</v>
      </c>
      <c r="L171" s="344">
        <f t="shared" si="82"/>
        <v>41950000</v>
      </c>
      <c r="M171" s="344">
        <f t="shared" ref="M171:M172" si="84">+I171+L171</f>
        <v>41950000</v>
      </c>
      <c r="N171" s="337">
        <f t="shared" si="83"/>
        <v>340500000</v>
      </c>
      <c r="P171" s="340"/>
      <c r="S171" s="346">
        <f>1000000+1000000+12500000+15600000+2500000+2500000+3350000+3500000</f>
        <v>41950000</v>
      </c>
      <c r="T171" s="347"/>
      <c r="U171" s="382"/>
    </row>
    <row r="172" spans="1:21" s="388" customFormat="1" ht="18" customHeight="1" x14ac:dyDescent="0.25">
      <c r="A172" s="386"/>
      <c r="B172" s="387"/>
      <c r="C172" s="353"/>
      <c r="D172" s="355" t="s">
        <v>104</v>
      </c>
      <c r="E172" s="355" t="s">
        <v>390</v>
      </c>
      <c r="F172" s="356">
        <v>100000000</v>
      </c>
      <c r="G172" s="357"/>
      <c r="H172" s="357"/>
      <c r="I172" s="357"/>
      <c r="J172" s="357">
        <v>0</v>
      </c>
      <c r="K172" s="357"/>
      <c r="L172" s="357">
        <f t="shared" si="82"/>
        <v>0</v>
      </c>
      <c r="M172" s="357">
        <f t="shared" si="84"/>
        <v>0</v>
      </c>
      <c r="N172" s="356">
        <f t="shared" si="83"/>
        <v>100000000</v>
      </c>
      <c r="P172" s="200"/>
      <c r="S172" s="221"/>
      <c r="T172" s="221"/>
      <c r="U172" s="389"/>
    </row>
    <row r="173" spans="1:21" s="319" customFormat="1" ht="18" customHeight="1" x14ac:dyDescent="0.25">
      <c r="A173" s="276">
        <v>8</v>
      </c>
      <c r="B173" s="305"/>
      <c r="C173" s="390" t="s">
        <v>105</v>
      </c>
      <c r="D173" s="363"/>
      <c r="E173" s="364" t="s">
        <v>106</v>
      </c>
      <c r="F173" s="307">
        <f t="shared" ref="F173:H180" si="85">+F174</f>
        <v>1600450000</v>
      </c>
      <c r="G173" s="308">
        <f t="shared" si="85"/>
        <v>0</v>
      </c>
      <c r="H173" s="308">
        <f>+H174</f>
        <v>142125000</v>
      </c>
      <c r="I173" s="308">
        <f>+G173+H173</f>
        <v>142125000</v>
      </c>
      <c r="J173" s="308">
        <f t="shared" ref="J173:K180" si="86">+J174</f>
        <v>0</v>
      </c>
      <c r="K173" s="308">
        <f t="shared" si="86"/>
        <v>56100600</v>
      </c>
      <c r="L173" s="308">
        <f>+J173+K173</f>
        <v>56100600</v>
      </c>
      <c r="M173" s="308">
        <f>+I173+L173</f>
        <v>198225600</v>
      </c>
      <c r="N173" s="307">
        <f>+F173-M173</f>
        <v>1402224400</v>
      </c>
      <c r="P173" s="320"/>
      <c r="R173" s="321"/>
      <c r="S173" s="349"/>
      <c r="T173" s="349"/>
      <c r="U173" s="350"/>
    </row>
    <row r="174" spans="1:21" s="329" customFormat="1" ht="18" customHeight="1" x14ac:dyDescent="0.25">
      <c r="A174" s="323"/>
      <c r="B174" s="324"/>
      <c r="C174" s="379"/>
      <c r="D174" s="325" t="s">
        <v>207</v>
      </c>
      <c r="E174" s="326" t="s">
        <v>262</v>
      </c>
      <c r="F174" s="327">
        <f>+F175</f>
        <v>1600450000</v>
      </c>
      <c r="G174" s="328">
        <f t="shared" si="85"/>
        <v>0</v>
      </c>
      <c r="H174" s="328">
        <f t="shared" si="85"/>
        <v>142125000</v>
      </c>
      <c r="I174" s="328">
        <f>+G174+H174</f>
        <v>142125000</v>
      </c>
      <c r="J174" s="328">
        <f t="shared" si="86"/>
        <v>0</v>
      </c>
      <c r="K174" s="328">
        <f t="shared" si="86"/>
        <v>56100600</v>
      </c>
      <c r="L174" s="328">
        <f>+J174+K174</f>
        <v>56100600</v>
      </c>
      <c r="M174" s="328">
        <f t="shared" ref="M174:M182" si="87">+I174+L174</f>
        <v>198225600</v>
      </c>
      <c r="N174" s="327">
        <f>+F174-M174</f>
        <v>1402224400</v>
      </c>
      <c r="P174" s="330"/>
      <c r="R174" s="331"/>
      <c r="S174" s="351"/>
      <c r="T174" s="351"/>
      <c r="U174" s="333"/>
    </row>
    <row r="175" spans="1:21" s="381" customFormat="1" ht="18" customHeight="1" x14ac:dyDescent="0.25">
      <c r="A175" s="380"/>
      <c r="B175" s="352"/>
      <c r="C175" s="334"/>
      <c r="D175" s="335" t="s">
        <v>63</v>
      </c>
      <c r="E175" s="335" t="s">
        <v>30</v>
      </c>
      <c r="F175" s="337">
        <f>+F180+F176</f>
        <v>1600450000</v>
      </c>
      <c r="G175" s="344">
        <f>+G180</f>
        <v>0</v>
      </c>
      <c r="H175" s="344">
        <f>+H180+H176</f>
        <v>142125000</v>
      </c>
      <c r="I175" s="344">
        <f>+G175+H175</f>
        <v>142125000</v>
      </c>
      <c r="J175" s="344">
        <f>+J180+J176</f>
        <v>0</v>
      </c>
      <c r="K175" s="344">
        <f>+K180+K176</f>
        <v>56100600</v>
      </c>
      <c r="L175" s="344">
        <f>+J175+K175</f>
        <v>56100600</v>
      </c>
      <c r="M175" s="344">
        <f t="shared" si="87"/>
        <v>198225600</v>
      </c>
      <c r="N175" s="337">
        <f>+F175-M175</f>
        <v>1402224400</v>
      </c>
      <c r="P175" s="340"/>
      <c r="S175" s="347"/>
      <c r="T175" s="347"/>
      <c r="U175" s="382"/>
    </row>
    <row r="176" spans="1:21" s="339" customFormat="1" ht="18" customHeight="1" x14ac:dyDescent="0.25">
      <c r="A176" s="334"/>
      <c r="B176" s="335"/>
      <c r="C176" s="334"/>
      <c r="D176" s="365" t="s">
        <v>263</v>
      </c>
      <c r="E176" s="335" t="s">
        <v>264</v>
      </c>
      <c r="F176" s="337">
        <f>+F177</f>
        <v>32500000</v>
      </c>
      <c r="G176" s="344">
        <f>+G177</f>
        <v>0</v>
      </c>
      <c r="H176" s="344">
        <f>+H177</f>
        <v>0</v>
      </c>
      <c r="I176" s="344">
        <f>+G176+H176</f>
        <v>0</v>
      </c>
      <c r="J176" s="344">
        <f t="shared" si="86"/>
        <v>0</v>
      </c>
      <c r="K176" s="344">
        <f t="shared" si="86"/>
        <v>0</v>
      </c>
      <c r="L176" s="344">
        <f>+J176+K176</f>
        <v>0</v>
      </c>
      <c r="M176" s="344">
        <f t="shared" si="87"/>
        <v>0</v>
      </c>
      <c r="N176" s="337">
        <f>+F176-M176</f>
        <v>32500000</v>
      </c>
      <c r="P176" s="340"/>
      <c r="S176" s="347"/>
      <c r="T176" s="347"/>
      <c r="U176" s="342"/>
    </row>
    <row r="177" spans="1:21" s="381" customFormat="1" ht="18" customHeight="1" x14ac:dyDescent="0.25">
      <c r="A177" s="380"/>
      <c r="B177" s="352"/>
      <c r="C177" s="334"/>
      <c r="D177" s="335" t="s">
        <v>64</v>
      </c>
      <c r="E177" s="335" t="s">
        <v>65</v>
      </c>
      <c r="F177" s="337">
        <f>+F179+F178</f>
        <v>32500000</v>
      </c>
      <c r="G177" s="344">
        <f>+G179</f>
        <v>0</v>
      </c>
      <c r="H177" s="344">
        <f>SUM(H179)</f>
        <v>0</v>
      </c>
      <c r="I177" s="344">
        <f>+G177+H177</f>
        <v>0</v>
      </c>
      <c r="J177" s="344">
        <f>+J179</f>
        <v>0</v>
      </c>
      <c r="K177" s="344">
        <f>+K179</f>
        <v>0</v>
      </c>
      <c r="L177" s="344">
        <f>+J177+K177</f>
        <v>0</v>
      </c>
      <c r="M177" s="344">
        <f t="shared" si="87"/>
        <v>0</v>
      </c>
      <c r="N177" s="337">
        <f>+F177-M177</f>
        <v>32500000</v>
      </c>
      <c r="P177" s="340"/>
      <c r="S177" s="347"/>
      <c r="T177" s="347"/>
      <c r="U177" s="382"/>
    </row>
    <row r="178" spans="1:21" s="381" customFormat="1" ht="18" customHeight="1" x14ac:dyDescent="0.25">
      <c r="A178" s="380"/>
      <c r="B178" s="352"/>
      <c r="C178" s="334"/>
      <c r="D178" s="335" t="s">
        <v>443</v>
      </c>
      <c r="E178" s="335" t="s">
        <v>444</v>
      </c>
      <c r="F178" s="337">
        <v>17500000</v>
      </c>
      <c r="G178" s="344"/>
      <c r="H178" s="344"/>
      <c r="I178" s="344">
        <f t="shared" ref="I178:I179" si="88">+G178+H178</f>
        <v>0</v>
      </c>
      <c r="J178" s="344"/>
      <c r="K178" s="344"/>
      <c r="L178" s="344">
        <f t="shared" ref="L178:L179" si="89">+J178+K178</f>
        <v>0</v>
      </c>
      <c r="M178" s="344">
        <f t="shared" si="87"/>
        <v>0</v>
      </c>
      <c r="N178" s="337">
        <f t="shared" ref="N178:N179" si="90">+F178-M178</f>
        <v>17500000</v>
      </c>
      <c r="P178" s="340"/>
      <c r="S178" s="347"/>
      <c r="T178" s="347"/>
      <c r="U178" s="382"/>
    </row>
    <row r="179" spans="1:21" s="381" customFormat="1" ht="18" customHeight="1" x14ac:dyDescent="0.25">
      <c r="A179" s="380"/>
      <c r="B179" s="352"/>
      <c r="C179" s="334"/>
      <c r="D179" s="335" t="s">
        <v>447</v>
      </c>
      <c r="E179" s="335" t="s">
        <v>448</v>
      </c>
      <c r="F179" s="337">
        <v>15000000</v>
      </c>
      <c r="G179" s="344"/>
      <c r="H179" s="344"/>
      <c r="I179" s="344">
        <f t="shared" si="88"/>
        <v>0</v>
      </c>
      <c r="J179" s="344"/>
      <c r="K179" s="344"/>
      <c r="L179" s="344">
        <f t="shared" si="89"/>
        <v>0</v>
      </c>
      <c r="M179" s="344">
        <f t="shared" si="87"/>
        <v>0</v>
      </c>
      <c r="N179" s="337">
        <f t="shared" si="90"/>
        <v>15000000</v>
      </c>
      <c r="P179" s="340"/>
      <c r="S179" s="347"/>
      <c r="T179" s="347"/>
      <c r="U179" s="382"/>
    </row>
    <row r="180" spans="1:21" s="339" customFormat="1" ht="18" customHeight="1" x14ac:dyDescent="0.25">
      <c r="A180" s="334"/>
      <c r="B180" s="335"/>
      <c r="C180" s="334"/>
      <c r="D180" s="365" t="s">
        <v>265</v>
      </c>
      <c r="E180" s="335" t="s">
        <v>266</v>
      </c>
      <c r="F180" s="337">
        <f t="shared" si="85"/>
        <v>1567950000</v>
      </c>
      <c r="G180" s="344">
        <f>+G181</f>
        <v>0</v>
      </c>
      <c r="H180" s="344">
        <f>+H181</f>
        <v>142125000</v>
      </c>
      <c r="I180" s="344">
        <f>+G180+H180</f>
        <v>142125000</v>
      </c>
      <c r="J180" s="344">
        <f t="shared" si="86"/>
        <v>0</v>
      </c>
      <c r="K180" s="344">
        <f t="shared" si="86"/>
        <v>56100600</v>
      </c>
      <c r="L180" s="344">
        <f>+J180+K180</f>
        <v>56100600</v>
      </c>
      <c r="M180" s="344">
        <f t="shared" si="87"/>
        <v>198225600</v>
      </c>
      <c r="N180" s="337">
        <f>+F180-M180</f>
        <v>1369724400</v>
      </c>
      <c r="P180" s="340"/>
      <c r="S180" s="347"/>
      <c r="T180" s="347"/>
      <c r="U180" s="342"/>
    </row>
    <row r="181" spans="1:21" s="381" customFormat="1" ht="18" customHeight="1" x14ac:dyDescent="0.25">
      <c r="A181" s="380"/>
      <c r="B181" s="352"/>
      <c r="C181" s="334"/>
      <c r="D181" s="335" t="s">
        <v>71</v>
      </c>
      <c r="E181" s="335" t="s">
        <v>72</v>
      </c>
      <c r="F181" s="337">
        <f>SUM(F182:F183)</f>
        <v>1567950000</v>
      </c>
      <c r="G181" s="344">
        <f>SUM(G182:G183)</f>
        <v>0</v>
      </c>
      <c r="H181" s="344">
        <f>SUM(H182:H183)</f>
        <v>142125000</v>
      </c>
      <c r="I181" s="344">
        <f>+G181+H181</f>
        <v>142125000</v>
      </c>
      <c r="J181" s="344">
        <f>SUM(J182:J183)</f>
        <v>0</v>
      </c>
      <c r="K181" s="344">
        <f>SUM(K182:K183)</f>
        <v>56100600</v>
      </c>
      <c r="L181" s="344">
        <f>+J181+K181</f>
        <v>56100600</v>
      </c>
      <c r="M181" s="344">
        <f t="shared" si="87"/>
        <v>198225600</v>
      </c>
      <c r="N181" s="337">
        <f>+F181-M181</f>
        <v>1369724400</v>
      </c>
      <c r="P181" s="340"/>
      <c r="S181" s="347"/>
      <c r="T181" s="347"/>
      <c r="U181" s="382"/>
    </row>
    <row r="182" spans="1:21" s="381" customFormat="1" ht="18" customHeight="1" x14ac:dyDescent="0.25">
      <c r="A182" s="380"/>
      <c r="B182" s="352"/>
      <c r="C182" s="334"/>
      <c r="D182" s="335" t="s">
        <v>73</v>
      </c>
      <c r="E182" s="335" t="s">
        <v>74</v>
      </c>
      <c r="F182" s="337">
        <v>1501270000</v>
      </c>
      <c r="G182" s="344"/>
      <c r="H182" s="344">
        <v>142125000</v>
      </c>
      <c r="I182" s="344">
        <f t="shared" ref="I182" si="91">+G182+H182</f>
        <v>142125000</v>
      </c>
      <c r="J182" s="344"/>
      <c r="K182" s="344">
        <f>16020000+954000+256000+655000+505000+256000+1105000+676000+970000+970000+23964000+1889000+695000</f>
        <v>48915000</v>
      </c>
      <c r="L182" s="344">
        <f t="shared" ref="L182:L193" si="92">+J182+K182</f>
        <v>48915000</v>
      </c>
      <c r="M182" s="344">
        <f t="shared" si="87"/>
        <v>191040000</v>
      </c>
      <c r="N182" s="337">
        <f t="shared" ref="N182:N183" si="93">+F182-M182</f>
        <v>1310230000</v>
      </c>
      <c r="P182" s="340"/>
      <c r="S182" s="346">
        <f>23964000+1889000+695000+16020000+954000+256000+655000+505000+256000+1105000+676000+970000+970000</f>
        <v>48915000</v>
      </c>
      <c r="T182" s="346">
        <v>142125000</v>
      </c>
      <c r="U182" s="382"/>
    </row>
    <row r="183" spans="1:21" s="388" customFormat="1" ht="18" customHeight="1" x14ac:dyDescent="0.25">
      <c r="A183" s="386"/>
      <c r="B183" s="387"/>
      <c r="C183" s="353"/>
      <c r="D183" s="355" t="s">
        <v>88</v>
      </c>
      <c r="E183" s="355" t="s">
        <v>89</v>
      </c>
      <c r="F183" s="356">
        <v>66680000</v>
      </c>
      <c r="G183" s="357"/>
      <c r="H183" s="357"/>
      <c r="I183" s="357"/>
      <c r="J183" s="357"/>
      <c r="K183" s="357">
        <f>340000+340000+340000+340000+340000+340000+340000+340000+880000+2068100+969500+338000+210000</f>
        <v>7185600</v>
      </c>
      <c r="L183" s="357">
        <f t="shared" si="92"/>
        <v>7185600</v>
      </c>
      <c r="M183" s="357">
        <f>+I183+L183</f>
        <v>7185600</v>
      </c>
      <c r="N183" s="356">
        <f t="shared" si="93"/>
        <v>59494400</v>
      </c>
      <c r="P183" s="200"/>
      <c r="S183" s="358">
        <f>2068100+969500+338000+210000+340000+340000+340000+1700000+880000</f>
        <v>7185600</v>
      </c>
      <c r="T183" s="221"/>
      <c r="U183" s="389"/>
    </row>
    <row r="184" spans="1:21" s="319" customFormat="1" ht="18" customHeight="1" x14ac:dyDescent="0.25">
      <c r="A184" s="276">
        <v>9</v>
      </c>
      <c r="B184" s="305"/>
      <c r="C184" s="390" t="s">
        <v>109</v>
      </c>
      <c r="D184" s="363"/>
      <c r="E184" s="364" t="s">
        <v>110</v>
      </c>
      <c r="F184" s="307">
        <f>+F185+F201</f>
        <v>200844000</v>
      </c>
      <c r="G184" s="308">
        <f>+G185+G201</f>
        <v>0</v>
      </c>
      <c r="H184" s="308">
        <f>+H185+H201</f>
        <v>0</v>
      </c>
      <c r="I184" s="308">
        <f>+G184+H184</f>
        <v>0</v>
      </c>
      <c r="J184" s="308">
        <f>+J185+J201</f>
        <v>6240000</v>
      </c>
      <c r="K184" s="308">
        <f>+K185+K201</f>
        <v>6240000</v>
      </c>
      <c r="L184" s="308">
        <f t="shared" si="92"/>
        <v>12480000</v>
      </c>
      <c r="M184" s="308">
        <f>+I184+L184</f>
        <v>12480000</v>
      </c>
      <c r="N184" s="307">
        <f>+F184-M184</f>
        <v>188364000</v>
      </c>
      <c r="P184" s="320"/>
      <c r="R184" s="321"/>
      <c r="S184" s="349"/>
      <c r="T184" s="349"/>
      <c r="U184" s="350"/>
    </row>
    <row r="185" spans="1:21" s="329" customFormat="1" ht="18" customHeight="1" x14ac:dyDescent="0.25">
      <c r="A185" s="323"/>
      <c r="B185" s="324"/>
      <c r="C185" s="379"/>
      <c r="D185" s="325" t="s">
        <v>207</v>
      </c>
      <c r="E185" s="326" t="s">
        <v>262</v>
      </c>
      <c r="F185" s="327">
        <f>+F186</f>
        <v>174844000</v>
      </c>
      <c r="G185" s="328">
        <f>+G186</f>
        <v>0</v>
      </c>
      <c r="H185" s="328">
        <f>+H186</f>
        <v>0</v>
      </c>
      <c r="I185" s="328">
        <f>+G185+H185</f>
        <v>0</v>
      </c>
      <c r="J185" s="328">
        <f>+J186</f>
        <v>6240000</v>
      </c>
      <c r="K185" s="328">
        <f>+K186</f>
        <v>6240000</v>
      </c>
      <c r="L185" s="328">
        <f t="shared" si="92"/>
        <v>12480000</v>
      </c>
      <c r="M185" s="328">
        <f>+I185+L185</f>
        <v>12480000</v>
      </c>
      <c r="N185" s="327">
        <f>+F185-M185</f>
        <v>162364000</v>
      </c>
      <c r="P185" s="330"/>
      <c r="R185" s="331"/>
      <c r="S185" s="351"/>
      <c r="T185" s="351"/>
      <c r="U185" s="333"/>
    </row>
    <row r="186" spans="1:21" s="381" customFormat="1" ht="18" customHeight="1" x14ac:dyDescent="0.25">
      <c r="A186" s="380"/>
      <c r="B186" s="352"/>
      <c r="C186" s="334"/>
      <c r="D186" s="335" t="s">
        <v>63</v>
      </c>
      <c r="E186" s="335" t="s">
        <v>30</v>
      </c>
      <c r="F186" s="337">
        <f>+F187+F194+F198</f>
        <v>174844000</v>
      </c>
      <c r="G186" s="344">
        <f>+G187+G194</f>
        <v>0</v>
      </c>
      <c r="H186" s="344">
        <f>+H187+H194</f>
        <v>0</v>
      </c>
      <c r="I186" s="344">
        <f>+G186+H186</f>
        <v>0</v>
      </c>
      <c r="J186" s="344">
        <f>+J187+J194</f>
        <v>6240000</v>
      </c>
      <c r="K186" s="344">
        <f>+K187+K194</f>
        <v>6240000</v>
      </c>
      <c r="L186" s="344">
        <f t="shared" si="92"/>
        <v>12480000</v>
      </c>
      <c r="M186" s="344">
        <f t="shared" ref="M186:M196" si="94">+I186+L186</f>
        <v>12480000</v>
      </c>
      <c r="N186" s="337">
        <f>+F186-M186</f>
        <v>162364000</v>
      </c>
      <c r="P186" s="340"/>
      <c r="S186" s="347"/>
      <c r="T186" s="347"/>
      <c r="U186" s="382"/>
    </row>
    <row r="187" spans="1:21" s="339" customFormat="1" ht="18" customHeight="1" x14ac:dyDescent="0.25">
      <c r="A187" s="334"/>
      <c r="B187" s="335"/>
      <c r="C187" s="334"/>
      <c r="D187" s="365" t="s">
        <v>263</v>
      </c>
      <c r="E187" s="335" t="s">
        <v>264</v>
      </c>
      <c r="F187" s="337">
        <f t="shared" ref="F187" si="95">+F188</f>
        <v>44044000</v>
      </c>
      <c r="G187" s="344">
        <f>+G188</f>
        <v>0</v>
      </c>
      <c r="H187" s="344">
        <f>+H188</f>
        <v>0</v>
      </c>
      <c r="I187" s="344">
        <f>+G187+H187</f>
        <v>0</v>
      </c>
      <c r="J187" s="344">
        <f>+J188</f>
        <v>0</v>
      </c>
      <c r="K187" s="344">
        <f>+K188</f>
        <v>0</v>
      </c>
      <c r="L187" s="344">
        <f t="shared" si="92"/>
        <v>0</v>
      </c>
      <c r="M187" s="344">
        <f t="shared" si="94"/>
        <v>0</v>
      </c>
      <c r="N187" s="337">
        <f>+F187-M187</f>
        <v>44044000</v>
      </c>
      <c r="P187" s="340"/>
      <c r="S187" s="347"/>
      <c r="T187" s="347"/>
      <c r="U187" s="342"/>
    </row>
    <row r="188" spans="1:21" s="381" customFormat="1" ht="18" customHeight="1" x14ac:dyDescent="0.25">
      <c r="A188" s="380"/>
      <c r="B188" s="352"/>
      <c r="C188" s="334"/>
      <c r="D188" s="335" t="s">
        <v>64</v>
      </c>
      <c r="E188" s="335" t="s">
        <v>65</v>
      </c>
      <c r="F188" s="337">
        <f>SUM(F189:F193)</f>
        <v>44044000</v>
      </c>
      <c r="G188" s="344">
        <f>SUM(G189:G193)</f>
        <v>0</v>
      </c>
      <c r="H188" s="344">
        <f>SUM(H189:H193)</f>
        <v>0</v>
      </c>
      <c r="I188" s="344">
        <f>+G188+H188</f>
        <v>0</v>
      </c>
      <c r="J188" s="344">
        <f>SUM(J189:J193)</f>
        <v>0</v>
      </c>
      <c r="K188" s="344">
        <f>SUM(K189:K193)</f>
        <v>0</v>
      </c>
      <c r="L188" s="344">
        <f t="shared" si="92"/>
        <v>0</v>
      </c>
      <c r="M188" s="344">
        <f t="shared" si="94"/>
        <v>0</v>
      </c>
      <c r="N188" s="337">
        <f>+F188-M188</f>
        <v>44044000</v>
      </c>
      <c r="P188" s="340"/>
      <c r="S188" s="347"/>
      <c r="T188" s="347"/>
      <c r="U188" s="382"/>
    </row>
    <row r="189" spans="1:21" s="381" customFormat="1" ht="18" customHeight="1" x14ac:dyDescent="0.25">
      <c r="A189" s="380"/>
      <c r="B189" s="352"/>
      <c r="C189" s="334"/>
      <c r="D189" s="335" t="s">
        <v>66</v>
      </c>
      <c r="E189" s="335" t="s">
        <v>67</v>
      </c>
      <c r="F189" s="337">
        <v>24037500</v>
      </c>
      <c r="G189" s="344"/>
      <c r="H189" s="344"/>
      <c r="I189" s="344">
        <f t="shared" ref="I189" si="96">+G189+H189</f>
        <v>0</v>
      </c>
      <c r="J189" s="344"/>
      <c r="K189" s="344"/>
      <c r="L189" s="344">
        <f t="shared" si="92"/>
        <v>0</v>
      </c>
      <c r="M189" s="357">
        <f t="shared" si="94"/>
        <v>0</v>
      </c>
      <c r="N189" s="337">
        <f t="shared" ref="N189:N193" si="97">+F189-M189</f>
        <v>24037500</v>
      </c>
      <c r="P189" s="340"/>
      <c r="S189" s="347"/>
      <c r="T189" s="347"/>
      <c r="U189" s="382"/>
    </row>
    <row r="190" spans="1:21" s="381" customFormat="1" ht="18" customHeight="1" x14ac:dyDescent="0.25">
      <c r="A190" s="380"/>
      <c r="B190" s="352"/>
      <c r="C190" s="334"/>
      <c r="D190" s="335" t="s">
        <v>337</v>
      </c>
      <c r="E190" s="335" t="s">
        <v>338</v>
      </c>
      <c r="F190" s="337">
        <v>12104000</v>
      </c>
      <c r="G190" s="344"/>
      <c r="H190" s="344"/>
      <c r="I190" s="344"/>
      <c r="J190" s="344"/>
      <c r="K190" s="344"/>
      <c r="L190" s="344">
        <f t="shared" si="92"/>
        <v>0</v>
      </c>
      <c r="M190" s="357">
        <f t="shared" si="94"/>
        <v>0</v>
      </c>
      <c r="N190" s="337">
        <f t="shared" si="97"/>
        <v>12104000</v>
      </c>
      <c r="P190" s="340"/>
      <c r="S190" s="347"/>
      <c r="T190" s="347"/>
      <c r="U190" s="382"/>
    </row>
    <row r="191" spans="1:21" s="381" customFormat="1" ht="18" customHeight="1" x14ac:dyDescent="0.25">
      <c r="A191" s="380"/>
      <c r="B191" s="352"/>
      <c r="C191" s="334"/>
      <c r="D191" s="335" t="s">
        <v>367</v>
      </c>
      <c r="E191" s="335" t="s">
        <v>368</v>
      </c>
      <c r="F191" s="337">
        <v>3142500</v>
      </c>
      <c r="G191" s="344"/>
      <c r="H191" s="344"/>
      <c r="I191" s="344"/>
      <c r="J191" s="344"/>
      <c r="K191" s="344"/>
      <c r="L191" s="344">
        <f t="shared" si="92"/>
        <v>0</v>
      </c>
      <c r="M191" s="357">
        <f t="shared" si="94"/>
        <v>0</v>
      </c>
      <c r="N191" s="337">
        <f t="shared" si="97"/>
        <v>3142500</v>
      </c>
      <c r="P191" s="340"/>
      <c r="S191" s="347"/>
      <c r="T191" s="347"/>
      <c r="U191" s="382"/>
    </row>
    <row r="192" spans="1:21" s="381" customFormat="1" ht="18" customHeight="1" x14ac:dyDescent="0.25">
      <c r="A192" s="380"/>
      <c r="B192" s="352"/>
      <c r="C192" s="334"/>
      <c r="D192" s="335" t="s">
        <v>373</v>
      </c>
      <c r="E192" s="335" t="s">
        <v>392</v>
      </c>
      <c r="F192" s="337">
        <v>560000</v>
      </c>
      <c r="G192" s="344"/>
      <c r="H192" s="344"/>
      <c r="I192" s="344"/>
      <c r="J192" s="344"/>
      <c r="K192" s="344"/>
      <c r="L192" s="344">
        <f t="shared" si="92"/>
        <v>0</v>
      </c>
      <c r="M192" s="357">
        <f t="shared" si="94"/>
        <v>0</v>
      </c>
      <c r="N192" s="337">
        <f t="shared" si="97"/>
        <v>560000</v>
      </c>
      <c r="P192" s="340"/>
      <c r="S192" s="347"/>
      <c r="T192" s="347"/>
      <c r="U192" s="382"/>
    </row>
    <row r="193" spans="1:21" s="381" customFormat="1" ht="18" customHeight="1" x14ac:dyDescent="0.25">
      <c r="A193" s="380"/>
      <c r="B193" s="352"/>
      <c r="C193" s="334"/>
      <c r="D193" s="335" t="s">
        <v>70</v>
      </c>
      <c r="E193" s="335" t="s">
        <v>33</v>
      </c>
      <c r="F193" s="337">
        <v>4200000</v>
      </c>
      <c r="G193" s="344"/>
      <c r="H193" s="344"/>
      <c r="I193" s="344"/>
      <c r="J193" s="344"/>
      <c r="K193" s="344"/>
      <c r="L193" s="344">
        <f t="shared" si="92"/>
        <v>0</v>
      </c>
      <c r="M193" s="357">
        <f t="shared" si="94"/>
        <v>0</v>
      </c>
      <c r="N193" s="337">
        <f t="shared" si="97"/>
        <v>4200000</v>
      </c>
      <c r="P193" s="340"/>
      <c r="S193" s="347"/>
      <c r="T193" s="347"/>
      <c r="U193" s="382"/>
    </row>
    <row r="194" spans="1:21" s="339" customFormat="1" ht="18" customHeight="1" x14ac:dyDescent="0.25">
      <c r="A194" s="334"/>
      <c r="B194" s="335"/>
      <c r="C194" s="334"/>
      <c r="D194" s="365" t="s">
        <v>271</v>
      </c>
      <c r="E194" s="335" t="s">
        <v>272</v>
      </c>
      <c r="F194" s="337">
        <f t="shared" ref="F194" si="98">+F195</f>
        <v>78300000</v>
      </c>
      <c r="G194" s="344">
        <f>+G195</f>
        <v>0</v>
      </c>
      <c r="H194" s="344">
        <f>+H195</f>
        <v>0</v>
      </c>
      <c r="I194" s="344">
        <f>+G194+H194</f>
        <v>0</v>
      </c>
      <c r="J194" s="344">
        <f>+J195</f>
        <v>6240000</v>
      </c>
      <c r="K194" s="344">
        <f>+K195</f>
        <v>6240000</v>
      </c>
      <c r="L194" s="344">
        <f>+J194+K194</f>
        <v>12480000</v>
      </c>
      <c r="M194" s="344">
        <f t="shared" si="94"/>
        <v>12480000</v>
      </c>
      <c r="N194" s="337">
        <f>+F194-M194</f>
        <v>65820000</v>
      </c>
      <c r="P194" s="340"/>
      <c r="S194" s="347"/>
      <c r="T194" s="347"/>
      <c r="U194" s="342"/>
    </row>
    <row r="195" spans="1:21" s="381" customFormat="1" ht="18" customHeight="1" x14ac:dyDescent="0.25">
      <c r="A195" s="380"/>
      <c r="B195" s="352"/>
      <c r="C195" s="334"/>
      <c r="D195" s="335" t="s">
        <v>81</v>
      </c>
      <c r="E195" s="335" t="s">
        <v>31</v>
      </c>
      <c r="F195" s="337">
        <f>SUM(F196:F197)</f>
        <v>78300000</v>
      </c>
      <c r="G195" s="344">
        <f>SUM(G197:G197)</f>
        <v>0</v>
      </c>
      <c r="H195" s="344">
        <f>+H197</f>
        <v>0</v>
      </c>
      <c r="I195" s="344">
        <f>+G195+H195</f>
        <v>0</v>
      </c>
      <c r="J195" s="344">
        <f>SUM(J197:J197)</f>
        <v>6240000</v>
      </c>
      <c r="K195" s="344">
        <f>+K197</f>
        <v>6240000</v>
      </c>
      <c r="L195" s="344">
        <f>+J195+K195</f>
        <v>12480000</v>
      </c>
      <c r="M195" s="344">
        <f t="shared" si="94"/>
        <v>12480000</v>
      </c>
      <c r="N195" s="337">
        <f>+F195-M195</f>
        <v>65820000</v>
      </c>
      <c r="P195" s="340"/>
      <c r="S195" s="347"/>
      <c r="T195" s="347"/>
      <c r="U195" s="382"/>
    </row>
    <row r="196" spans="1:21" s="381" customFormat="1" ht="18" customHeight="1" x14ac:dyDescent="0.25">
      <c r="A196" s="380"/>
      <c r="B196" s="352"/>
      <c r="C196" s="334"/>
      <c r="D196" s="335" t="s">
        <v>451</v>
      </c>
      <c r="E196" s="335" t="s">
        <v>452</v>
      </c>
      <c r="F196" s="337">
        <v>1500000</v>
      </c>
      <c r="G196" s="344"/>
      <c r="H196" s="344"/>
      <c r="I196" s="344">
        <f t="shared" ref="I196" si="99">+G196+H196</f>
        <v>0</v>
      </c>
      <c r="J196" s="344"/>
      <c r="K196" s="344"/>
      <c r="L196" s="344">
        <f t="shared" ref="L196" si="100">+J196+K196</f>
        <v>0</v>
      </c>
      <c r="M196" s="344">
        <f t="shared" si="94"/>
        <v>0</v>
      </c>
      <c r="N196" s="337">
        <f t="shared" ref="N196:N197" si="101">+F196-M196</f>
        <v>1500000</v>
      </c>
      <c r="P196" s="340"/>
      <c r="S196" s="347"/>
      <c r="T196" s="347"/>
      <c r="U196" s="382"/>
    </row>
    <row r="197" spans="1:21" s="381" customFormat="1" ht="18" customHeight="1" x14ac:dyDescent="0.25">
      <c r="A197" s="380"/>
      <c r="B197" s="352"/>
      <c r="C197" s="334"/>
      <c r="D197" s="335" t="s">
        <v>82</v>
      </c>
      <c r="E197" s="335" t="s">
        <v>83</v>
      </c>
      <c r="F197" s="337">
        <v>76800000</v>
      </c>
      <c r="G197" s="344"/>
      <c r="H197" s="344"/>
      <c r="I197" s="344">
        <f>+G197+H197</f>
        <v>0</v>
      </c>
      <c r="J197" s="344">
        <v>6240000</v>
      </c>
      <c r="K197" s="344">
        <v>6240000</v>
      </c>
      <c r="L197" s="344">
        <f>+J197+K197</f>
        <v>12480000</v>
      </c>
      <c r="M197" s="344">
        <f>+I197+L197</f>
        <v>12480000</v>
      </c>
      <c r="N197" s="337">
        <f t="shared" si="101"/>
        <v>64320000</v>
      </c>
      <c r="P197" s="340"/>
      <c r="S197" s="346">
        <v>6240000</v>
      </c>
      <c r="T197" s="347"/>
      <c r="U197" s="382"/>
    </row>
    <row r="198" spans="1:21" s="339" customFormat="1" ht="18" customHeight="1" x14ac:dyDescent="0.25">
      <c r="A198" s="334"/>
      <c r="B198" s="335"/>
      <c r="C198" s="334"/>
      <c r="D198" s="365" t="s">
        <v>275</v>
      </c>
      <c r="E198" s="335" t="s">
        <v>276</v>
      </c>
      <c r="F198" s="337">
        <f>+F199</f>
        <v>52500000</v>
      </c>
      <c r="G198" s="344">
        <f>+G199</f>
        <v>0</v>
      </c>
      <c r="H198" s="344">
        <f>+H199</f>
        <v>0</v>
      </c>
      <c r="I198" s="344">
        <f>+G198+H198</f>
        <v>0</v>
      </c>
      <c r="J198" s="344">
        <f>+J199</f>
        <v>0</v>
      </c>
      <c r="K198" s="344">
        <f>+K199</f>
        <v>0</v>
      </c>
      <c r="L198" s="344">
        <f>+J198+K198</f>
        <v>0</v>
      </c>
      <c r="M198" s="344">
        <f t="shared" ref="M198:M205" si="102">+I198+L198</f>
        <v>0</v>
      </c>
      <c r="N198" s="337">
        <f>+F198-M198</f>
        <v>52500000</v>
      </c>
      <c r="P198" s="340"/>
      <c r="S198" s="347"/>
      <c r="T198" s="347"/>
      <c r="U198" s="342"/>
    </row>
    <row r="199" spans="1:21" s="381" customFormat="1" ht="18" customHeight="1" x14ac:dyDescent="0.25">
      <c r="A199" s="380"/>
      <c r="B199" s="352"/>
      <c r="C199" s="334"/>
      <c r="D199" s="335" t="s">
        <v>150</v>
      </c>
      <c r="E199" s="335" t="s">
        <v>32</v>
      </c>
      <c r="F199" s="337">
        <f>+F200</f>
        <v>52500000</v>
      </c>
      <c r="G199" s="344">
        <f>SUM(G201:G201)</f>
        <v>0</v>
      </c>
      <c r="H199" s="344">
        <f>+H201</f>
        <v>0</v>
      </c>
      <c r="I199" s="344">
        <f>+G199+H199</f>
        <v>0</v>
      </c>
      <c r="J199" s="344">
        <f>SUM(J201:J201)</f>
        <v>0</v>
      </c>
      <c r="K199" s="344">
        <f>+K201</f>
        <v>0</v>
      </c>
      <c r="L199" s="344">
        <f>+J199+K199</f>
        <v>0</v>
      </c>
      <c r="M199" s="344">
        <f t="shared" si="102"/>
        <v>0</v>
      </c>
      <c r="N199" s="337">
        <f>+F199-M199</f>
        <v>52500000</v>
      </c>
      <c r="P199" s="340"/>
      <c r="S199" s="347"/>
      <c r="T199" s="347"/>
      <c r="U199" s="382"/>
    </row>
    <row r="200" spans="1:21" s="381" customFormat="1" ht="36" customHeight="1" x14ac:dyDescent="0.25">
      <c r="A200" s="380"/>
      <c r="B200" s="352"/>
      <c r="C200" s="334"/>
      <c r="D200" s="335" t="s">
        <v>462</v>
      </c>
      <c r="E200" s="391" t="s">
        <v>463</v>
      </c>
      <c r="F200" s="337">
        <v>52500000</v>
      </c>
      <c r="G200" s="344"/>
      <c r="H200" s="344"/>
      <c r="I200" s="344">
        <f t="shared" ref="I200" si="103">+G200+H200</f>
        <v>0</v>
      </c>
      <c r="J200" s="344"/>
      <c r="K200" s="344"/>
      <c r="L200" s="344">
        <f t="shared" ref="L200" si="104">+J200+K200</f>
        <v>0</v>
      </c>
      <c r="M200" s="344">
        <f t="shared" si="102"/>
        <v>0</v>
      </c>
      <c r="N200" s="337">
        <f t="shared" ref="N200" si="105">+F200-M200</f>
        <v>52500000</v>
      </c>
      <c r="P200" s="340"/>
      <c r="S200" s="347"/>
      <c r="T200" s="347"/>
      <c r="U200" s="382"/>
    </row>
    <row r="201" spans="1:21" s="381" customFormat="1" ht="18" customHeight="1" x14ac:dyDescent="0.25">
      <c r="A201" s="380"/>
      <c r="B201" s="383"/>
      <c r="C201" s="384"/>
      <c r="D201" s="365" t="s">
        <v>267</v>
      </c>
      <c r="E201" s="335" t="s">
        <v>268</v>
      </c>
      <c r="F201" s="337">
        <f t="shared" ref="F201:H203" si="106">+F202</f>
        <v>26000000</v>
      </c>
      <c r="G201" s="344">
        <f t="shared" si="106"/>
        <v>0</v>
      </c>
      <c r="H201" s="344">
        <f t="shared" si="106"/>
        <v>0</v>
      </c>
      <c r="I201" s="344">
        <f>+G201+H201</f>
        <v>0</v>
      </c>
      <c r="J201" s="344">
        <f t="shared" ref="J201:K204" si="107">+J202</f>
        <v>0</v>
      </c>
      <c r="K201" s="344">
        <f t="shared" si="107"/>
        <v>0</v>
      </c>
      <c r="L201" s="344">
        <f>+J201+K201</f>
        <v>0</v>
      </c>
      <c r="M201" s="344">
        <f t="shared" si="102"/>
        <v>0</v>
      </c>
      <c r="N201" s="337">
        <f>+F201-M201</f>
        <v>26000000</v>
      </c>
      <c r="P201" s="340"/>
      <c r="R201" s="385"/>
      <c r="S201" s="347"/>
      <c r="T201" s="347"/>
      <c r="U201" s="382"/>
    </row>
    <row r="202" spans="1:21" s="381" customFormat="1" ht="18" customHeight="1" x14ac:dyDescent="0.25">
      <c r="A202" s="380"/>
      <c r="B202" s="352"/>
      <c r="C202" s="334"/>
      <c r="D202" s="335" t="s">
        <v>78</v>
      </c>
      <c r="E202" s="335" t="s">
        <v>75</v>
      </c>
      <c r="F202" s="337">
        <f t="shared" si="106"/>
        <v>26000000</v>
      </c>
      <c r="G202" s="344">
        <f t="shared" si="106"/>
        <v>0</v>
      </c>
      <c r="H202" s="344">
        <f t="shared" si="106"/>
        <v>0</v>
      </c>
      <c r="I202" s="344">
        <f t="shared" ref="I202:I205" si="108">+G202+H202</f>
        <v>0</v>
      </c>
      <c r="J202" s="344">
        <f t="shared" si="107"/>
        <v>0</v>
      </c>
      <c r="K202" s="344">
        <f t="shared" si="107"/>
        <v>0</v>
      </c>
      <c r="L202" s="344">
        <f t="shared" ref="L202:L203" si="109">+J202+K202</f>
        <v>0</v>
      </c>
      <c r="M202" s="344">
        <f t="shared" si="102"/>
        <v>0</v>
      </c>
      <c r="N202" s="337">
        <f>+F202-M202</f>
        <v>26000000</v>
      </c>
      <c r="P202" s="340"/>
      <c r="S202" s="347"/>
      <c r="T202" s="347"/>
      <c r="U202" s="382"/>
    </row>
    <row r="203" spans="1:21" s="339" customFormat="1" ht="18" customHeight="1" x14ac:dyDescent="0.25">
      <c r="A203" s="334"/>
      <c r="B203" s="335"/>
      <c r="C203" s="334"/>
      <c r="D203" s="365" t="s">
        <v>269</v>
      </c>
      <c r="E203" s="335" t="s">
        <v>270</v>
      </c>
      <c r="F203" s="337">
        <f t="shared" si="106"/>
        <v>26000000</v>
      </c>
      <c r="G203" s="344">
        <f>+G204</f>
        <v>0</v>
      </c>
      <c r="H203" s="344">
        <f>+H204</f>
        <v>0</v>
      </c>
      <c r="I203" s="344">
        <f t="shared" si="108"/>
        <v>0</v>
      </c>
      <c r="J203" s="344">
        <f t="shared" si="107"/>
        <v>0</v>
      </c>
      <c r="K203" s="344">
        <f t="shared" si="107"/>
        <v>0</v>
      </c>
      <c r="L203" s="344">
        <f t="shared" si="109"/>
        <v>0</v>
      </c>
      <c r="M203" s="344">
        <f t="shared" si="102"/>
        <v>0</v>
      </c>
      <c r="N203" s="337">
        <f>+F203-M203</f>
        <v>26000000</v>
      </c>
      <c r="P203" s="340"/>
      <c r="S203" s="347"/>
      <c r="T203" s="347"/>
      <c r="U203" s="342"/>
    </row>
    <row r="204" spans="1:21" s="381" customFormat="1" ht="18" customHeight="1" x14ac:dyDescent="0.25">
      <c r="A204" s="380"/>
      <c r="B204" s="352"/>
      <c r="C204" s="334"/>
      <c r="D204" s="335" t="s">
        <v>76</v>
      </c>
      <c r="E204" s="335" t="s">
        <v>77</v>
      </c>
      <c r="F204" s="337">
        <f>SUM(F205)</f>
        <v>26000000</v>
      </c>
      <c r="G204" s="344">
        <f>+G205</f>
        <v>0</v>
      </c>
      <c r="H204" s="344">
        <f>+H205</f>
        <v>0</v>
      </c>
      <c r="I204" s="344">
        <f>+G204+H204</f>
        <v>0</v>
      </c>
      <c r="J204" s="344">
        <f t="shared" si="107"/>
        <v>0</v>
      </c>
      <c r="K204" s="344">
        <f t="shared" si="107"/>
        <v>0</v>
      </c>
      <c r="L204" s="344">
        <f>+J204+K204</f>
        <v>0</v>
      </c>
      <c r="M204" s="344">
        <f t="shared" si="102"/>
        <v>0</v>
      </c>
      <c r="N204" s="337">
        <f>+F204-M204</f>
        <v>26000000</v>
      </c>
      <c r="P204" s="340"/>
      <c r="S204" s="347"/>
      <c r="T204" s="347"/>
      <c r="U204" s="382"/>
    </row>
    <row r="205" spans="1:21" s="388" customFormat="1" ht="18" customHeight="1" x14ac:dyDescent="0.25">
      <c r="A205" s="386"/>
      <c r="B205" s="387"/>
      <c r="C205" s="353"/>
      <c r="D205" s="355" t="s">
        <v>393</v>
      </c>
      <c r="E205" s="355" t="s">
        <v>394</v>
      </c>
      <c r="F205" s="356">
        <v>26000000</v>
      </c>
      <c r="G205" s="357"/>
      <c r="H205" s="357"/>
      <c r="I205" s="357">
        <f t="shared" si="108"/>
        <v>0</v>
      </c>
      <c r="J205" s="357"/>
      <c r="K205" s="357"/>
      <c r="L205" s="357">
        <f t="shared" ref="L205" si="110">+J205+K205</f>
        <v>0</v>
      </c>
      <c r="M205" s="357">
        <f t="shared" si="102"/>
        <v>0</v>
      </c>
      <c r="N205" s="356">
        <f t="shared" ref="N205" si="111">+F205-M205</f>
        <v>26000000</v>
      </c>
      <c r="P205" s="200"/>
      <c r="S205" s="221"/>
      <c r="T205" s="221"/>
      <c r="U205" s="389"/>
    </row>
    <row r="206" spans="1:21" s="319" customFormat="1" ht="18" customHeight="1" x14ac:dyDescent="0.25">
      <c r="A206" s="276">
        <v>10</v>
      </c>
      <c r="B206" s="305"/>
      <c r="C206" s="390" t="s">
        <v>112</v>
      </c>
      <c r="D206" s="363"/>
      <c r="E206" s="364" t="s">
        <v>113</v>
      </c>
      <c r="F206" s="307">
        <f>+F207+F221</f>
        <v>810211500</v>
      </c>
      <c r="G206" s="308">
        <f>G207+G221</f>
        <v>0</v>
      </c>
      <c r="H206" s="308">
        <f>H207+H221</f>
        <v>0</v>
      </c>
      <c r="I206" s="308">
        <f>+G206+H206</f>
        <v>0</v>
      </c>
      <c r="J206" s="308">
        <f>J207+J221</f>
        <v>1600000</v>
      </c>
      <c r="K206" s="308">
        <f>K207+K221</f>
        <v>1600000</v>
      </c>
      <c r="L206" s="308">
        <f>+J206+K206</f>
        <v>3200000</v>
      </c>
      <c r="M206" s="308">
        <f>+I206+L206</f>
        <v>3200000</v>
      </c>
      <c r="N206" s="307">
        <f>+F206-M206</f>
        <v>807011500</v>
      </c>
      <c r="P206" s="320"/>
      <c r="R206" s="321"/>
      <c r="S206" s="349"/>
      <c r="T206" s="349"/>
      <c r="U206" s="350"/>
    </row>
    <row r="207" spans="1:21" s="329" customFormat="1" ht="18" customHeight="1" x14ac:dyDescent="0.25">
      <c r="A207" s="323"/>
      <c r="B207" s="324"/>
      <c r="C207" s="379"/>
      <c r="D207" s="325" t="s">
        <v>207</v>
      </c>
      <c r="E207" s="326" t="s">
        <v>262</v>
      </c>
      <c r="F207" s="327">
        <f>+F208</f>
        <v>441471500</v>
      </c>
      <c r="G207" s="328">
        <f>+G208</f>
        <v>0</v>
      </c>
      <c r="H207" s="328">
        <f>+H208</f>
        <v>0</v>
      </c>
      <c r="I207" s="328">
        <f>+G207+H207</f>
        <v>0</v>
      </c>
      <c r="J207" s="328">
        <f>+J208</f>
        <v>1600000</v>
      </c>
      <c r="K207" s="328">
        <f>+K208</f>
        <v>1600000</v>
      </c>
      <c r="L207" s="328">
        <f>+J207+K207</f>
        <v>3200000</v>
      </c>
      <c r="M207" s="328">
        <f t="shared" ref="M207:M220" si="112">+I207+L207</f>
        <v>3200000</v>
      </c>
      <c r="N207" s="327">
        <f>+F207-M207</f>
        <v>438271500</v>
      </c>
      <c r="P207" s="330"/>
      <c r="R207" s="331"/>
      <c r="S207" s="351"/>
      <c r="T207" s="351"/>
      <c r="U207" s="333"/>
    </row>
    <row r="208" spans="1:21" s="381" customFormat="1" ht="18" customHeight="1" x14ac:dyDescent="0.25">
      <c r="A208" s="380"/>
      <c r="B208" s="352"/>
      <c r="C208" s="334"/>
      <c r="D208" s="335" t="s">
        <v>63</v>
      </c>
      <c r="E208" s="335" t="s">
        <v>30</v>
      </c>
      <c r="F208" s="337">
        <f>+F209+F212+F216</f>
        <v>441471500</v>
      </c>
      <c r="G208" s="344">
        <f>+G209+G212+G216</f>
        <v>0</v>
      </c>
      <c r="H208" s="344">
        <f>+H209+H212+H216</f>
        <v>0</v>
      </c>
      <c r="I208" s="344">
        <f t="shared" ref="I208:I218" si="113">+G208+H208</f>
        <v>0</v>
      </c>
      <c r="J208" s="344">
        <f>+J209+J212+J216</f>
        <v>1600000</v>
      </c>
      <c r="K208" s="344">
        <f>+K209+K212+K216</f>
        <v>1600000</v>
      </c>
      <c r="L208" s="344">
        <f t="shared" ref="L208:L209" si="114">+J208+K208</f>
        <v>3200000</v>
      </c>
      <c r="M208" s="344">
        <f t="shared" si="112"/>
        <v>3200000</v>
      </c>
      <c r="N208" s="337">
        <f>+F208-M208</f>
        <v>438271500</v>
      </c>
      <c r="P208" s="340"/>
      <c r="S208" s="347"/>
      <c r="T208" s="347"/>
      <c r="U208" s="382"/>
    </row>
    <row r="209" spans="1:21" s="339" customFormat="1" ht="18" customHeight="1" x14ac:dyDescent="0.25">
      <c r="A209" s="334"/>
      <c r="B209" s="335"/>
      <c r="C209" s="334"/>
      <c r="D209" s="365" t="s">
        <v>263</v>
      </c>
      <c r="E209" s="335" t="s">
        <v>264</v>
      </c>
      <c r="F209" s="337">
        <f t="shared" ref="F209:H209" si="115">+F210</f>
        <v>4031500</v>
      </c>
      <c r="G209" s="344">
        <f>+G210</f>
        <v>0</v>
      </c>
      <c r="H209" s="344">
        <f t="shared" si="115"/>
        <v>0</v>
      </c>
      <c r="I209" s="344">
        <f t="shared" si="113"/>
        <v>0</v>
      </c>
      <c r="J209" s="344">
        <f>+J210</f>
        <v>0</v>
      </c>
      <c r="K209" s="344">
        <f t="shared" ref="K209" si="116">+K210</f>
        <v>0</v>
      </c>
      <c r="L209" s="344">
        <f t="shared" si="114"/>
        <v>0</v>
      </c>
      <c r="M209" s="344">
        <f t="shared" si="112"/>
        <v>0</v>
      </c>
      <c r="N209" s="337">
        <f>+F209-M209</f>
        <v>4031500</v>
      </c>
      <c r="P209" s="340"/>
      <c r="S209" s="347"/>
      <c r="T209" s="347"/>
      <c r="U209" s="342"/>
    </row>
    <row r="210" spans="1:21" s="381" customFormat="1" ht="18" customHeight="1" x14ac:dyDescent="0.25">
      <c r="A210" s="380"/>
      <c r="B210" s="352"/>
      <c r="C210" s="334"/>
      <c r="D210" s="335" t="s">
        <v>64</v>
      </c>
      <c r="E210" s="335" t="s">
        <v>65</v>
      </c>
      <c r="F210" s="337">
        <f>F211</f>
        <v>4031500</v>
      </c>
      <c r="G210" s="344">
        <f>SUM(G211:G211)</f>
        <v>0</v>
      </c>
      <c r="H210" s="344">
        <f>SUM(H211:H211)</f>
        <v>0</v>
      </c>
      <c r="I210" s="344">
        <f>+G210+H210</f>
        <v>0</v>
      </c>
      <c r="J210" s="344">
        <f>SUM(J211:J211)</f>
        <v>0</v>
      </c>
      <c r="K210" s="344">
        <f>SUM(K211:K211)</f>
        <v>0</v>
      </c>
      <c r="L210" s="344">
        <f>+J210+K210</f>
        <v>0</v>
      </c>
      <c r="M210" s="344">
        <f t="shared" si="112"/>
        <v>0</v>
      </c>
      <c r="N210" s="337">
        <f>+F210-M210</f>
        <v>4031500</v>
      </c>
      <c r="P210" s="340"/>
      <c r="S210" s="347"/>
      <c r="T210" s="347"/>
      <c r="U210" s="382"/>
    </row>
    <row r="211" spans="1:21" s="381" customFormat="1" ht="18" customHeight="1" x14ac:dyDescent="0.25">
      <c r="A211" s="380"/>
      <c r="B211" s="352"/>
      <c r="C211" s="334"/>
      <c r="D211" s="335" t="s">
        <v>339</v>
      </c>
      <c r="E211" s="335" t="s">
        <v>340</v>
      </c>
      <c r="F211" s="337">
        <v>4031500</v>
      </c>
      <c r="G211" s="344"/>
      <c r="H211" s="344"/>
      <c r="I211" s="344">
        <f t="shared" si="113"/>
        <v>0</v>
      </c>
      <c r="J211" s="344"/>
      <c r="K211" s="344"/>
      <c r="L211" s="344">
        <f t="shared" ref="L211" si="117">+J211+K211</f>
        <v>0</v>
      </c>
      <c r="M211" s="344">
        <f t="shared" si="112"/>
        <v>0</v>
      </c>
      <c r="N211" s="337">
        <f t="shared" ref="N211" si="118">+F211-M211</f>
        <v>4031500</v>
      </c>
      <c r="P211" s="340"/>
      <c r="S211" s="347"/>
      <c r="T211" s="347"/>
      <c r="U211" s="382"/>
    </row>
    <row r="212" spans="1:21" s="339" customFormat="1" ht="18" customHeight="1" x14ac:dyDescent="0.25">
      <c r="A212" s="334"/>
      <c r="B212" s="335"/>
      <c r="C212" s="334"/>
      <c r="D212" s="365" t="s">
        <v>271</v>
      </c>
      <c r="E212" s="335" t="s">
        <v>272</v>
      </c>
      <c r="F212" s="337">
        <f t="shared" ref="F212:H212" si="119">+F213</f>
        <v>98700000</v>
      </c>
      <c r="G212" s="344">
        <f>+G213</f>
        <v>0</v>
      </c>
      <c r="H212" s="344">
        <f t="shared" si="119"/>
        <v>0</v>
      </c>
      <c r="I212" s="344">
        <f t="shared" si="113"/>
        <v>0</v>
      </c>
      <c r="J212" s="344">
        <f>+J213</f>
        <v>1600000</v>
      </c>
      <c r="K212" s="344">
        <f t="shared" ref="K212" si="120">+K213</f>
        <v>1600000</v>
      </c>
      <c r="L212" s="344">
        <f>+J212+K212</f>
        <v>3200000</v>
      </c>
      <c r="M212" s="344">
        <f t="shared" si="112"/>
        <v>3200000</v>
      </c>
      <c r="N212" s="337">
        <f>+F212-M212</f>
        <v>95500000</v>
      </c>
      <c r="P212" s="340"/>
      <c r="S212" s="347"/>
      <c r="T212" s="347"/>
      <c r="U212" s="342"/>
    </row>
    <row r="213" spans="1:21" s="381" customFormat="1" ht="18" customHeight="1" x14ac:dyDescent="0.25">
      <c r="A213" s="380"/>
      <c r="B213" s="352"/>
      <c r="C213" s="334"/>
      <c r="D213" s="335" t="s">
        <v>81</v>
      </c>
      <c r="E213" s="335" t="s">
        <v>31</v>
      </c>
      <c r="F213" s="337">
        <f>SUM(F214:F215)</f>
        <v>98700000</v>
      </c>
      <c r="G213" s="344">
        <f>SUM(G214:G215)</f>
        <v>0</v>
      </c>
      <c r="H213" s="344">
        <f>SUM(H214:H215)</f>
        <v>0</v>
      </c>
      <c r="I213" s="344">
        <f t="shared" si="113"/>
        <v>0</v>
      </c>
      <c r="J213" s="344">
        <f>SUM(J214:J215)</f>
        <v>1600000</v>
      </c>
      <c r="K213" s="344">
        <f>SUM(K214:K215)</f>
        <v>1600000</v>
      </c>
      <c r="L213" s="344">
        <f>+J213+K213</f>
        <v>3200000</v>
      </c>
      <c r="M213" s="344">
        <f t="shared" si="112"/>
        <v>3200000</v>
      </c>
      <c r="N213" s="337">
        <f>+F213-M213</f>
        <v>95500000</v>
      </c>
      <c r="P213" s="340"/>
      <c r="S213" s="347"/>
      <c r="T213" s="347"/>
      <c r="U213" s="382"/>
    </row>
    <row r="214" spans="1:21" s="381" customFormat="1" ht="18" customHeight="1" x14ac:dyDescent="0.25">
      <c r="A214" s="392"/>
      <c r="B214" s="339"/>
      <c r="C214" s="366"/>
      <c r="D214" s="367" t="s">
        <v>82</v>
      </c>
      <c r="E214" s="367" t="s">
        <v>83</v>
      </c>
      <c r="F214" s="370">
        <v>38400000</v>
      </c>
      <c r="G214" s="371"/>
      <c r="H214" s="371"/>
      <c r="I214" s="371">
        <f t="shared" si="113"/>
        <v>0</v>
      </c>
      <c r="J214" s="371">
        <v>1600000</v>
      </c>
      <c r="K214" s="371">
        <v>1600000</v>
      </c>
      <c r="L214" s="371">
        <f>+J214+K214</f>
        <v>3200000</v>
      </c>
      <c r="M214" s="371">
        <f>+I214+L214</f>
        <v>3200000</v>
      </c>
      <c r="N214" s="370">
        <f>+F214-M214</f>
        <v>35200000</v>
      </c>
      <c r="P214" s="340"/>
      <c r="S214" s="346">
        <v>1600000</v>
      </c>
      <c r="T214" s="347"/>
      <c r="U214" s="382"/>
    </row>
    <row r="215" spans="1:21" s="381" customFormat="1" ht="18" customHeight="1" x14ac:dyDescent="0.25">
      <c r="A215" s="392"/>
      <c r="B215" s="339"/>
      <c r="C215" s="366"/>
      <c r="D215" s="367" t="s">
        <v>111</v>
      </c>
      <c r="E215" s="367" t="s">
        <v>44</v>
      </c>
      <c r="F215" s="370">
        <v>60300000</v>
      </c>
      <c r="G215" s="371"/>
      <c r="H215" s="371"/>
      <c r="I215" s="371">
        <f t="shared" si="113"/>
        <v>0</v>
      </c>
      <c r="J215" s="371"/>
      <c r="K215" s="371"/>
      <c r="L215" s="371">
        <f t="shared" ref="L215" si="121">+J215+K215</f>
        <v>0</v>
      </c>
      <c r="M215" s="371">
        <f t="shared" si="112"/>
        <v>0</v>
      </c>
      <c r="N215" s="370">
        <f t="shared" ref="N215" si="122">+F215-M215</f>
        <v>60300000</v>
      </c>
      <c r="P215" s="340"/>
      <c r="S215" s="347"/>
      <c r="T215" s="347"/>
      <c r="U215" s="382"/>
    </row>
    <row r="216" spans="1:21" s="339" customFormat="1" ht="18" customHeight="1" x14ac:dyDescent="0.25">
      <c r="A216" s="334"/>
      <c r="B216" s="335"/>
      <c r="C216" s="334"/>
      <c r="D216" s="365" t="s">
        <v>275</v>
      </c>
      <c r="E216" s="335" t="s">
        <v>276</v>
      </c>
      <c r="F216" s="337">
        <f t="shared" ref="F216:H216" si="123">+F217</f>
        <v>338740000</v>
      </c>
      <c r="G216" s="344">
        <f>+G217</f>
        <v>0</v>
      </c>
      <c r="H216" s="344">
        <f t="shared" si="123"/>
        <v>0</v>
      </c>
      <c r="I216" s="344">
        <f t="shared" si="113"/>
        <v>0</v>
      </c>
      <c r="J216" s="344">
        <f>+J217</f>
        <v>0</v>
      </c>
      <c r="K216" s="344">
        <f t="shared" ref="K216" si="124">+K217</f>
        <v>0</v>
      </c>
      <c r="L216" s="344">
        <f>+J216+K216</f>
        <v>0</v>
      </c>
      <c r="M216" s="344">
        <f t="shared" si="112"/>
        <v>0</v>
      </c>
      <c r="N216" s="337">
        <f>+F216-M216</f>
        <v>338740000</v>
      </c>
      <c r="P216" s="340"/>
      <c r="S216" s="347"/>
      <c r="T216" s="347"/>
      <c r="U216" s="342"/>
    </row>
    <row r="217" spans="1:21" s="381" customFormat="1" ht="18" customHeight="1" x14ac:dyDescent="0.25">
      <c r="A217" s="380"/>
      <c r="B217" s="352"/>
      <c r="C217" s="334"/>
      <c r="D217" s="335" t="s">
        <v>114</v>
      </c>
      <c r="E217" s="335" t="s">
        <v>43</v>
      </c>
      <c r="F217" s="337">
        <f>SUM(F218:F220)</f>
        <v>338740000</v>
      </c>
      <c r="G217" s="344">
        <f>SUM(G218:G220)</f>
        <v>0</v>
      </c>
      <c r="H217" s="344">
        <f>SUM(H218:H220)</f>
        <v>0</v>
      </c>
      <c r="I217" s="344">
        <f t="shared" si="113"/>
        <v>0</v>
      </c>
      <c r="J217" s="344">
        <f>SUM(J218:J220)</f>
        <v>0</v>
      </c>
      <c r="K217" s="344">
        <f>SUM(K218:K220)</f>
        <v>0</v>
      </c>
      <c r="L217" s="344">
        <f>+J217+K217</f>
        <v>0</v>
      </c>
      <c r="M217" s="344">
        <f t="shared" si="112"/>
        <v>0</v>
      </c>
      <c r="N217" s="337">
        <f>+F217-M217</f>
        <v>338740000</v>
      </c>
      <c r="P217" s="340"/>
      <c r="S217" s="347"/>
      <c r="T217" s="347"/>
      <c r="U217" s="382"/>
    </row>
    <row r="218" spans="1:21" s="381" customFormat="1" ht="21" customHeight="1" x14ac:dyDescent="0.25">
      <c r="A218" s="392"/>
      <c r="B218" s="339"/>
      <c r="C218" s="366"/>
      <c r="D218" s="367" t="s">
        <v>349</v>
      </c>
      <c r="E218" s="369" t="s">
        <v>350</v>
      </c>
      <c r="F218" s="370">
        <v>21240000</v>
      </c>
      <c r="G218" s="371"/>
      <c r="H218" s="371"/>
      <c r="I218" s="371">
        <f t="shared" si="113"/>
        <v>0</v>
      </c>
      <c r="J218" s="371"/>
      <c r="K218" s="371"/>
      <c r="L218" s="371">
        <f t="shared" ref="L218" si="125">+J218+K218</f>
        <v>0</v>
      </c>
      <c r="M218" s="371">
        <f t="shared" si="112"/>
        <v>0</v>
      </c>
      <c r="N218" s="370">
        <f>+F218-M218</f>
        <v>21240000</v>
      </c>
      <c r="P218" s="340"/>
      <c r="S218" s="347"/>
      <c r="T218" s="347"/>
      <c r="U218" s="382"/>
    </row>
    <row r="219" spans="1:21" s="381" customFormat="1" ht="30.75" customHeight="1" x14ac:dyDescent="0.25">
      <c r="A219" s="392"/>
      <c r="B219" s="339"/>
      <c r="C219" s="366"/>
      <c r="D219" s="367" t="s">
        <v>395</v>
      </c>
      <c r="E219" s="369" t="s">
        <v>396</v>
      </c>
      <c r="F219" s="370">
        <v>2500000</v>
      </c>
      <c r="G219" s="371"/>
      <c r="H219" s="371"/>
      <c r="I219" s="371"/>
      <c r="J219" s="371"/>
      <c r="K219" s="371"/>
      <c r="L219" s="371">
        <f>+J219+K219</f>
        <v>0</v>
      </c>
      <c r="M219" s="371">
        <f t="shared" si="112"/>
        <v>0</v>
      </c>
      <c r="N219" s="370">
        <f>+F219-M219</f>
        <v>2500000</v>
      </c>
      <c r="P219" s="340"/>
      <c r="S219" s="347"/>
      <c r="T219" s="347"/>
      <c r="U219" s="382"/>
    </row>
    <row r="220" spans="1:21" s="381" customFormat="1" ht="18" customHeight="1" x14ac:dyDescent="0.25">
      <c r="A220" s="392"/>
      <c r="B220" s="339"/>
      <c r="C220" s="366"/>
      <c r="D220" s="367" t="s">
        <v>354</v>
      </c>
      <c r="E220" s="369" t="s">
        <v>355</v>
      </c>
      <c r="F220" s="370">
        <v>315000000</v>
      </c>
      <c r="G220" s="371"/>
      <c r="H220" s="371"/>
      <c r="I220" s="371">
        <f>+G220+H220</f>
        <v>0</v>
      </c>
      <c r="J220" s="371"/>
      <c r="K220" s="371"/>
      <c r="L220" s="371"/>
      <c r="M220" s="371">
        <f t="shared" si="112"/>
        <v>0</v>
      </c>
      <c r="N220" s="370">
        <f t="shared" ref="N220" si="126">+F220-M220</f>
        <v>315000000</v>
      </c>
      <c r="P220" s="340"/>
      <c r="S220" s="347"/>
      <c r="T220" s="346"/>
      <c r="U220" s="382"/>
    </row>
    <row r="221" spans="1:21" s="381" customFormat="1" ht="18" customHeight="1" x14ac:dyDescent="0.25">
      <c r="A221" s="380"/>
      <c r="B221" s="383"/>
      <c r="C221" s="384"/>
      <c r="D221" s="365" t="s">
        <v>267</v>
      </c>
      <c r="E221" s="335" t="s">
        <v>268</v>
      </c>
      <c r="F221" s="337">
        <f>+F222+F234</f>
        <v>368740000</v>
      </c>
      <c r="G221" s="344">
        <f>+G222+G234</f>
        <v>0</v>
      </c>
      <c r="H221" s="344">
        <f>+H222+H234</f>
        <v>0</v>
      </c>
      <c r="I221" s="344">
        <f>+G221+H221</f>
        <v>0</v>
      </c>
      <c r="J221" s="344">
        <f>+J222</f>
        <v>0</v>
      </c>
      <c r="K221" s="344">
        <f>+K222</f>
        <v>0</v>
      </c>
      <c r="L221" s="344">
        <f>+J221+K221</f>
        <v>0</v>
      </c>
      <c r="M221" s="344">
        <f>+I221+L221</f>
        <v>0</v>
      </c>
      <c r="N221" s="337">
        <f>+F221-M221</f>
        <v>368740000</v>
      </c>
      <c r="P221" s="340"/>
      <c r="R221" s="385"/>
      <c r="S221" s="347"/>
      <c r="T221" s="347"/>
      <c r="U221" s="382"/>
    </row>
    <row r="222" spans="1:21" s="381" customFormat="1" ht="18" customHeight="1" x14ac:dyDescent="0.25">
      <c r="A222" s="380"/>
      <c r="B222" s="352"/>
      <c r="C222" s="334"/>
      <c r="D222" s="335" t="s">
        <v>78</v>
      </c>
      <c r="E222" s="335" t="s">
        <v>75</v>
      </c>
      <c r="F222" s="337">
        <f>+F223+F226+F231</f>
        <v>268740000</v>
      </c>
      <c r="G222" s="344">
        <f>+G223+G226</f>
        <v>0</v>
      </c>
      <c r="H222" s="344">
        <f>+H223+H226</f>
        <v>0</v>
      </c>
      <c r="I222" s="344">
        <f t="shared" ref="I222:I235" si="127">+G222+H222</f>
        <v>0</v>
      </c>
      <c r="J222" s="344">
        <f>+J223+J226</f>
        <v>0</v>
      </c>
      <c r="K222" s="344">
        <f t="shared" ref="K222:K223" si="128">+K223</f>
        <v>0</v>
      </c>
      <c r="L222" s="344">
        <f t="shared" ref="L222:L223" si="129">+J222+K222</f>
        <v>0</v>
      </c>
      <c r="M222" s="344">
        <f t="shared" ref="M222:M226" si="130">+I222+L222</f>
        <v>0</v>
      </c>
      <c r="N222" s="337">
        <f>+F222-M222</f>
        <v>268740000</v>
      </c>
      <c r="P222" s="340"/>
      <c r="S222" s="347"/>
      <c r="T222" s="347"/>
      <c r="U222" s="382"/>
    </row>
    <row r="223" spans="1:21" s="339" customFormat="1" ht="18" customHeight="1" x14ac:dyDescent="0.25">
      <c r="A223" s="334"/>
      <c r="B223" s="335"/>
      <c r="C223" s="334"/>
      <c r="D223" s="365" t="s">
        <v>269</v>
      </c>
      <c r="E223" s="335" t="s">
        <v>270</v>
      </c>
      <c r="F223" s="337">
        <f t="shared" ref="F223:H223" si="131">+F224</f>
        <v>32340000</v>
      </c>
      <c r="G223" s="344">
        <f>+G224</f>
        <v>0</v>
      </c>
      <c r="H223" s="344">
        <f t="shared" si="131"/>
        <v>0</v>
      </c>
      <c r="I223" s="344">
        <f t="shared" si="127"/>
        <v>0</v>
      </c>
      <c r="J223" s="344">
        <f>+J224</f>
        <v>0</v>
      </c>
      <c r="K223" s="344">
        <f t="shared" si="128"/>
        <v>0</v>
      </c>
      <c r="L223" s="344">
        <f t="shared" si="129"/>
        <v>0</v>
      </c>
      <c r="M223" s="344">
        <f t="shared" si="130"/>
        <v>0</v>
      </c>
      <c r="N223" s="337">
        <f>+F223-M223</f>
        <v>32340000</v>
      </c>
      <c r="P223" s="340"/>
      <c r="S223" s="347"/>
      <c r="T223" s="347"/>
      <c r="U223" s="342"/>
    </row>
    <row r="224" spans="1:21" s="381" customFormat="1" ht="18" customHeight="1" x14ac:dyDescent="0.25">
      <c r="A224" s="380"/>
      <c r="B224" s="352"/>
      <c r="C224" s="334"/>
      <c r="D224" s="335" t="s">
        <v>92</v>
      </c>
      <c r="E224" s="335" t="s">
        <v>94</v>
      </c>
      <c r="F224" s="337">
        <f>SUM(F225)</f>
        <v>32340000</v>
      </c>
      <c r="G224" s="344">
        <f>+G225</f>
        <v>0</v>
      </c>
      <c r="H224" s="344">
        <f>+H225</f>
        <v>0</v>
      </c>
      <c r="I224" s="344">
        <f>+G224+H224</f>
        <v>0</v>
      </c>
      <c r="J224" s="344">
        <f>+J225</f>
        <v>0</v>
      </c>
      <c r="K224" s="344">
        <f>+K225</f>
        <v>0</v>
      </c>
      <c r="L224" s="344">
        <f>+J224+K224</f>
        <v>0</v>
      </c>
      <c r="M224" s="344">
        <f t="shared" si="130"/>
        <v>0</v>
      </c>
      <c r="N224" s="337">
        <f>+F224-M224</f>
        <v>32340000</v>
      </c>
      <c r="P224" s="340"/>
      <c r="S224" s="347"/>
      <c r="T224" s="347"/>
      <c r="U224" s="382"/>
    </row>
    <row r="225" spans="1:21" s="381" customFormat="1" ht="18" customHeight="1" x14ac:dyDescent="0.25">
      <c r="A225" s="380"/>
      <c r="B225" s="352"/>
      <c r="C225" s="334"/>
      <c r="D225" s="335" t="s">
        <v>397</v>
      </c>
      <c r="E225" s="335" t="s">
        <v>398</v>
      </c>
      <c r="F225" s="337">
        <v>32340000</v>
      </c>
      <c r="G225" s="344"/>
      <c r="H225" s="344"/>
      <c r="I225" s="344">
        <f t="shared" si="127"/>
        <v>0</v>
      </c>
      <c r="J225" s="344"/>
      <c r="K225" s="344"/>
      <c r="L225" s="344">
        <f t="shared" ref="L225:L235" si="132">+J225+K225</f>
        <v>0</v>
      </c>
      <c r="M225" s="344">
        <f t="shared" si="130"/>
        <v>0</v>
      </c>
      <c r="N225" s="337">
        <f t="shared" ref="N225:N237" si="133">+F225-M225</f>
        <v>32340000</v>
      </c>
      <c r="P225" s="340"/>
      <c r="S225" s="347"/>
      <c r="T225" s="347"/>
      <c r="U225" s="382"/>
    </row>
    <row r="226" spans="1:21" s="339" customFormat="1" ht="18" customHeight="1" x14ac:dyDescent="0.25">
      <c r="A226" s="334"/>
      <c r="B226" s="335"/>
      <c r="C226" s="334"/>
      <c r="D226" s="365" t="s">
        <v>399</v>
      </c>
      <c r="E226" s="335" t="s">
        <v>400</v>
      </c>
      <c r="F226" s="337">
        <f t="shared" ref="F226:H226" si="134">+F227</f>
        <v>234600000</v>
      </c>
      <c r="G226" s="344">
        <f>+G227</f>
        <v>0</v>
      </c>
      <c r="H226" s="344">
        <f t="shared" si="134"/>
        <v>0</v>
      </c>
      <c r="I226" s="344">
        <f t="shared" si="127"/>
        <v>0</v>
      </c>
      <c r="J226" s="344">
        <f>+J227</f>
        <v>0</v>
      </c>
      <c r="K226" s="344">
        <f t="shared" ref="K226" si="135">+K227</f>
        <v>0</v>
      </c>
      <c r="L226" s="344">
        <f t="shared" si="132"/>
        <v>0</v>
      </c>
      <c r="M226" s="344">
        <f t="shared" si="130"/>
        <v>0</v>
      </c>
      <c r="N226" s="337">
        <f t="shared" si="133"/>
        <v>234600000</v>
      </c>
      <c r="P226" s="340"/>
      <c r="S226" s="347"/>
      <c r="T226" s="347"/>
      <c r="U226" s="342"/>
    </row>
    <row r="227" spans="1:21" s="381" customFormat="1" ht="18" customHeight="1" x14ac:dyDescent="0.25">
      <c r="A227" s="380"/>
      <c r="B227" s="352"/>
      <c r="C227" s="334"/>
      <c r="D227" s="335" t="s">
        <v>401</v>
      </c>
      <c r="E227" s="335" t="s">
        <v>402</v>
      </c>
      <c r="F227" s="337">
        <f>SUM(F228:F230)</f>
        <v>234600000</v>
      </c>
      <c r="G227" s="344">
        <f>SUM(G229:G229)</f>
        <v>0</v>
      </c>
      <c r="H227" s="344">
        <f>SUM(H229:H229)</f>
        <v>0</v>
      </c>
      <c r="I227" s="344">
        <f t="shared" si="127"/>
        <v>0</v>
      </c>
      <c r="J227" s="344">
        <f>SUM(J229:J229)</f>
        <v>0</v>
      </c>
      <c r="K227" s="344">
        <f>SUM(K229:K229)</f>
        <v>0</v>
      </c>
      <c r="L227" s="344">
        <f t="shared" si="132"/>
        <v>0</v>
      </c>
      <c r="M227" s="344">
        <f>+I227+L227</f>
        <v>0</v>
      </c>
      <c r="N227" s="337">
        <f t="shared" si="133"/>
        <v>234600000</v>
      </c>
      <c r="P227" s="340"/>
      <c r="S227" s="347"/>
      <c r="T227" s="347"/>
      <c r="U227" s="382"/>
    </row>
    <row r="228" spans="1:21" s="381" customFormat="1" ht="18" customHeight="1" x14ac:dyDescent="0.25">
      <c r="A228" s="380"/>
      <c r="B228" s="352"/>
      <c r="C228" s="334"/>
      <c r="D228" s="335" t="s">
        <v>464</v>
      </c>
      <c r="E228" s="335" t="s">
        <v>465</v>
      </c>
      <c r="F228" s="337">
        <v>3000000</v>
      </c>
      <c r="G228" s="344"/>
      <c r="H228" s="344"/>
      <c r="I228" s="344">
        <f t="shared" si="127"/>
        <v>0</v>
      </c>
      <c r="J228" s="344"/>
      <c r="K228" s="344"/>
      <c r="L228" s="344">
        <f t="shared" si="132"/>
        <v>0</v>
      </c>
      <c r="M228" s="344">
        <f>+I228+L228</f>
        <v>0</v>
      </c>
      <c r="N228" s="337">
        <f t="shared" si="133"/>
        <v>3000000</v>
      </c>
      <c r="P228" s="340"/>
      <c r="S228" s="347"/>
      <c r="T228" s="347"/>
      <c r="U228" s="382"/>
    </row>
    <row r="229" spans="1:21" s="381" customFormat="1" ht="18" customHeight="1" x14ac:dyDescent="0.25">
      <c r="A229" s="380"/>
      <c r="B229" s="352"/>
      <c r="C229" s="334"/>
      <c r="D229" s="335" t="s">
        <v>403</v>
      </c>
      <c r="E229" s="335" t="s">
        <v>404</v>
      </c>
      <c r="F229" s="337">
        <v>36600000</v>
      </c>
      <c r="G229" s="344"/>
      <c r="H229" s="344"/>
      <c r="I229" s="344">
        <f t="shared" si="127"/>
        <v>0</v>
      </c>
      <c r="J229" s="344"/>
      <c r="K229" s="344"/>
      <c r="L229" s="344">
        <f t="shared" si="132"/>
        <v>0</v>
      </c>
      <c r="M229" s="344">
        <f>+I229+L229</f>
        <v>0</v>
      </c>
      <c r="N229" s="337">
        <f t="shared" si="133"/>
        <v>36600000</v>
      </c>
      <c r="P229" s="340"/>
      <c r="S229" s="347"/>
      <c r="T229" s="347"/>
      <c r="U229" s="382"/>
    </row>
    <row r="230" spans="1:21" s="381" customFormat="1" ht="18" customHeight="1" x14ac:dyDescent="0.25">
      <c r="A230" s="380"/>
      <c r="B230" s="352"/>
      <c r="C230" s="334"/>
      <c r="D230" s="335" t="s">
        <v>459</v>
      </c>
      <c r="E230" s="335" t="s">
        <v>460</v>
      </c>
      <c r="F230" s="337">
        <v>195000000</v>
      </c>
      <c r="G230" s="344"/>
      <c r="H230" s="344"/>
      <c r="I230" s="344">
        <f t="shared" si="127"/>
        <v>0</v>
      </c>
      <c r="J230" s="344"/>
      <c r="K230" s="344"/>
      <c r="L230" s="344">
        <f t="shared" si="132"/>
        <v>0</v>
      </c>
      <c r="M230" s="344">
        <f>+I230+L230</f>
        <v>0</v>
      </c>
      <c r="N230" s="337">
        <f t="shared" si="133"/>
        <v>195000000</v>
      </c>
      <c r="P230" s="340"/>
      <c r="S230" s="347"/>
      <c r="T230" s="347"/>
      <c r="U230" s="382"/>
    </row>
    <row r="231" spans="1:21" s="339" customFormat="1" ht="18" customHeight="1" x14ac:dyDescent="0.25">
      <c r="A231" s="334"/>
      <c r="B231" s="335"/>
      <c r="C231" s="334"/>
      <c r="D231" s="365" t="s">
        <v>273</v>
      </c>
      <c r="E231" s="335" t="s">
        <v>274</v>
      </c>
      <c r="F231" s="337">
        <f>+F232</f>
        <v>1800000</v>
      </c>
      <c r="G231" s="344">
        <f>+G232</f>
        <v>0</v>
      </c>
      <c r="H231" s="344">
        <f t="shared" ref="H231" si="136">+H232</f>
        <v>0</v>
      </c>
      <c r="I231" s="344">
        <f t="shared" si="127"/>
        <v>0</v>
      </c>
      <c r="J231" s="344">
        <f>+J232</f>
        <v>0</v>
      </c>
      <c r="K231" s="344">
        <f t="shared" ref="K231" si="137">+K232</f>
        <v>0</v>
      </c>
      <c r="L231" s="344">
        <f t="shared" si="132"/>
        <v>0</v>
      </c>
      <c r="M231" s="344">
        <f t="shared" ref="M231" si="138">+I231+L231</f>
        <v>0</v>
      </c>
      <c r="N231" s="337">
        <f t="shared" si="133"/>
        <v>1800000</v>
      </c>
      <c r="P231" s="340"/>
      <c r="S231" s="347"/>
      <c r="T231" s="347"/>
      <c r="U231" s="342"/>
    </row>
    <row r="232" spans="1:21" s="381" customFormat="1" ht="18" customHeight="1" x14ac:dyDescent="0.25">
      <c r="A232" s="380"/>
      <c r="B232" s="352"/>
      <c r="C232" s="334"/>
      <c r="D232" s="335" t="s">
        <v>382</v>
      </c>
      <c r="E232" s="335" t="s">
        <v>383</v>
      </c>
      <c r="F232" s="337">
        <f>+F233</f>
        <v>1800000</v>
      </c>
      <c r="G232" s="344">
        <f>SUM(G234:G234)</f>
        <v>0</v>
      </c>
      <c r="H232" s="344">
        <f>SUM(H234:H234)</f>
        <v>0</v>
      </c>
      <c r="I232" s="344">
        <f t="shared" si="127"/>
        <v>0</v>
      </c>
      <c r="J232" s="344">
        <f>SUM(J234:J234)</f>
        <v>0</v>
      </c>
      <c r="K232" s="344">
        <f>SUM(K234:K234)</f>
        <v>0</v>
      </c>
      <c r="L232" s="344">
        <f t="shared" si="132"/>
        <v>0</v>
      </c>
      <c r="M232" s="344">
        <f>+I232+L232</f>
        <v>0</v>
      </c>
      <c r="N232" s="337">
        <f t="shared" si="133"/>
        <v>1800000</v>
      </c>
      <c r="P232" s="340"/>
      <c r="S232" s="347"/>
      <c r="T232" s="347"/>
      <c r="U232" s="382"/>
    </row>
    <row r="233" spans="1:21" s="381" customFormat="1" ht="18" customHeight="1" x14ac:dyDescent="0.25">
      <c r="A233" s="380"/>
      <c r="B233" s="352"/>
      <c r="C233" s="334"/>
      <c r="D233" s="335" t="s">
        <v>386</v>
      </c>
      <c r="E233" s="335" t="s">
        <v>387</v>
      </c>
      <c r="F233" s="337">
        <v>1800000</v>
      </c>
      <c r="G233" s="344"/>
      <c r="H233" s="344"/>
      <c r="I233" s="344">
        <f t="shared" si="127"/>
        <v>0</v>
      </c>
      <c r="J233" s="344"/>
      <c r="K233" s="344"/>
      <c r="L233" s="344">
        <f t="shared" si="132"/>
        <v>0</v>
      </c>
      <c r="M233" s="344">
        <f>+I233+L233</f>
        <v>0</v>
      </c>
      <c r="N233" s="337">
        <f t="shared" si="133"/>
        <v>1800000</v>
      </c>
      <c r="P233" s="340"/>
      <c r="S233" s="347"/>
      <c r="T233" s="347"/>
      <c r="U233" s="382"/>
    </row>
    <row r="234" spans="1:21" s="381" customFormat="1" ht="18" customHeight="1" x14ac:dyDescent="0.25">
      <c r="A234" s="380"/>
      <c r="B234" s="352"/>
      <c r="C234" s="334"/>
      <c r="D234" s="335" t="s">
        <v>466</v>
      </c>
      <c r="E234" s="335" t="s">
        <v>467</v>
      </c>
      <c r="F234" s="337">
        <f>+F235</f>
        <v>100000000</v>
      </c>
      <c r="G234" s="344">
        <f>+G235</f>
        <v>0</v>
      </c>
      <c r="H234" s="344">
        <f>+H235+H238</f>
        <v>0</v>
      </c>
      <c r="I234" s="344">
        <f t="shared" si="127"/>
        <v>0</v>
      </c>
      <c r="J234" s="344">
        <f>+J235</f>
        <v>0</v>
      </c>
      <c r="K234" s="344">
        <f t="shared" ref="K234:K235" si="139">+K235</f>
        <v>0</v>
      </c>
      <c r="L234" s="344">
        <f t="shared" si="132"/>
        <v>0</v>
      </c>
      <c r="M234" s="344">
        <f>+I234+L234</f>
        <v>0</v>
      </c>
      <c r="N234" s="337">
        <f t="shared" si="133"/>
        <v>100000000</v>
      </c>
      <c r="P234" s="340"/>
      <c r="S234" s="347"/>
      <c r="T234" s="347"/>
      <c r="U234" s="382"/>
    </row>
    <row r="235" spans="1:21" s="339" customFormat="1" ht="18" customHeight="1" x14ac:dyDescent="0.25">
      <c r="A235" s="334"/>
      <c r="B235" s="335"/>
      <c r="C235" s="334"/>
      <c r="D235" s="365" t="s">
        <v>468</v>
      </c>
      <c r="E235" s="335" t="s">
        <v>469</v>
      </c>
      <c r="F235" s="337">
        <f t="shared" ref="F235:H235" si="140">+F236</f>
        <v>100000000</v>
      </c>
      <c r="G235" s="344">
        <f>+G236</f>
        <v>0</v>
      </c>
      <c r="H235" s="344">
        <f t="shared" si="140"/>
        <v>0</v>
      </c>
      <c r="I235" s="344">
        <f t="shared" si="127"/>
        <v>0</v>
      </c>
      <c r="J235" s="344">
        <f>+J236</f>
        <v>0</v>
      </c>
      <c r="K235" s="344">
        <f t="shared" si="139"/>
        <v>0</v>
      </c>
      <c r="L235" s="344">
        <f t="shared" si="132"/>
        <v>0</v>
      </c>
      <c r="M235" s="344">
        <f t="shared" ref="M235:M236" si="141">+I235+L235</f>
        <v>0</v>
      </c>
      <c r="N235" s="337">
        <f t="shared" si="133"/>
        <v>100000000</v>
      </c>
      <c r="P235" s="340"/>
      <c r="S235" s="347"/>
      <c r="T235" s="347"/>
      <c r="U235" s="342"/>
    </row>
    <row r="236" spans="1:21" s="381" customFormat="1" ht="18" customHeight="1" x14ac:dyDescent="0.25">
      <c r="A236" s="380"/>
      <c r="B236" s="352"/>
      <c r="C236" s="334"/>
      <c r="D236" s="335" t="s">
        <v>470</v>
      </c>
      <c r="E236" s="335" t="s">
        <v>471</v>
      </c>
      <c r="F236" s="337">
        <f>SUM(F237)</f>
        <v>100000000</v>
      </c>
      <c r="G236" s="344">
        <f>+G237</f>
        <v>0</v>
      </c>
      <c r="H236" s="344">
        <f>+H237</f>
        <v>0</v>
      </c>
      <c r="I236" s="344">
        <f>+G236+H236</f>
        <v>0</v>
      </c>
      <c r="J236" s="344">
        <f>+J237</f>
        <v>0</v>
      </c>
      <c r="K236" s="344">
        <f>+K237</f>
        <v>0</v>
      </c>
      <c r="L236" s="344">
        <f>+J236+K236</f>
        <v>0</v>
      </c>
      <c r="M236" s="344">
        <f t="shared" si="141"/>
        <v>0</v>
      </c>
      <c r="N236" s="337">
        <f t="shared" si="133"/>
        <v>100000000</v>
      </c>
      <c r="P236" s="340"/>
      <c r="S236" s="347"/>
      <c r="T236" s="347"/>
      <c r="U236" s="382"/>
    </row>
    <row r="237" spans="1:21" s="381" customFormat="1" ht="18" customHeight="1" x14ac:dyDescent="0.25">
      <c r="A237" s="380"/>
      <c r="B237" s="352"/>
      <c r="C237" s="334"/>
      <c r="D237" s="335" t="s">
        <v>472</v>
      </c>
      <c r="E237" s="335" t="s">
        <v>473</v>
      </c>
      <c r="F237" s="337">
        <v>100000000</v>
      </c>
      <c r="G237" s="344"/>
      <c r="H237" s="344"/>
      <c r="I237" s="344">
        <f>+G237+H237</f>
        <v>0</v>
      </c>
      <c r="J237" s="344"/>
      <c r="K237" s="344"/>
      <c r="L237" s="344">
        <f t="shared" ref="L237" si="142">+J237+K237</f>
        <v>0</v>
      </c>
      <c r="M237" s="344">
        <f>+I237+L237</f>
        <v>0</v>
      </c>
      <c r="N237" s="337">
        <f t="shared" si="133"/>
        <v>100000000</v>
      </c>
      <c r="P237" s="340"/>
      <c r="S237" s="347"/>
      <c r="T237" s="347"/>
      <c r="U237" s="382"/>
    </row>
    <row r="238" spans="1:21" s="153" customFormat="1" ht="18" customHeight="1" x14ac:dyDescent="0.25">
      <c r="A238" s="353"/>
      <c r="B238" s="355"/>
      <c r="C238" s="355"/>
      <c r="D238" s="355"/>
      <c r="E238" s="355"/>
      <c r="F238" s="356"/>
      <c r="G238" s="357"/>
      <c r="H238" s="357"/>
      <c r="I238" s="357"/>
      <c r="J238" s="357"/>
      <c r="K238" s="357"/>
      <c r="L238" s="357"/>
      <c r="M238" s="357"/>
      <c r="N238" s="356"/>
      <c r="P238" s="200"/>
      <c r="S238" s="221"/>
      <c r="T238" s="221"/>
      <c r="U238" s="254"/>
    </row>
    <row r="239" spans="1:21" s="319" customFormat="1" ht="18" customHeight="1" x14ac:dyDescent="0.25">
      <c r="A239" s="276"/>
      <c r="B239" s="305" t="s">
        <v>357</v>
      </c>
      <c r="C239" s="305"/>
      <c r="D239" s="305"/>
      <c r="E239" s="305" t="s">
        <v>358</v>
      </c>
      <c r="F239" s="359">
        <f>+F241</f>
        <v>260000000</v>
      </c>
      <c r="G239" s="360">
        <f>+G240</f>
        <v>0</v>
      </c>
      <c r="H239" s="360">
        <f>+H240</f>
        <v>0</v>
      </c>
      <c r="I239" s="360">
        <f>+G239+H239</f>
        <v>0</v>
      </c>
      <c r="J239" s="360">
        <f>+J240</f>
        <v>0</v>
      </c>
      <c r="K239" s="360">
        <f>+K240</f>
        <v>0</v>
      </c>
      <c r="L239" s="360">
        <f>+J239+K239</f>
        <v>0</v>
      </c>
      <c r="M239" s="360">
        <f t="shared" ref="M239" si="143">+I239+L239</f>
        <v>0</v>
      </c>
      <c r="N239" s="359">
        <f t="shared" ref="N239:N245" si="144">+F239-M239</f>
        <v>260000000</v>
      </c>
      <c r="P239" s="361"/>
      <c r="R239" s="321"/>
      <c r="S239" s="362"/>
      <c r="T239" s="362"/>
      <c r="U239" s="350"/>
    </row>
    <row r="240" spans="1:21" s="319" customFormat="1" ht="18" customHeight="1" x14ac:dyDescent="0.25">
      <c r="A240" s="276">
        <v>11</v>
      </c>
      <c r="B240" s="305"/>
      <c r="C240" s="305" t="s">
        <v>119</v>
      </c>
      <c r="D240" s="363"/>
      <c r="E240" s="364" t="s">
        <v>120</v>
      </c>
      <c r="F240" s="307">
        <f>+F241</f>
        <v>260000000</v>
      </c>
      <c r="G240" s="308">
        <f>+G241</f>
        <v>0</v>
      </c>
      <c r="H240" s="308">
        <f>+H241</f>
        <v>0</v>
      </c>
      <c r="I240" s="308">
        <f>+G240+H240</f>
        <v>0</v>
      </c>
      <c r="J240" s="308">
        <f>+J241</f>
        <v>0</v>
      </c>
      <c r="K240" s="308">
        <f>+K241</f>
        <v>0</v>
      </c>
      <c r="L240" s="308">
        <f>+J240+K240</f>
        <v>0</v>
      </c>
      <c r="M240" s="308">
        <f>+I240+L240</f>
        <v>0</v>
      </c>
      <c r="N240" s="307">
        <f t="shared" si="144"/>
        <v>260000000</v>
      </c>
      <c r="P240" s="320"/>
      <c r="R240" s="321"/>
      <c r="S240" s="349"/>
      <c r="T240" s="349"/>
      <c r="U240" s="350"/>
    </row>
    <row r="241" spans="1:21" s="329" customFormat="1" ht="18" customHeight="1" x14ac:dyDescent="0.25">
      <c r="A241" s="323"/>
      <c r="B241" s="324"/>
      <c r="C241" s="324"/>
      <c r="D241" s="325" t="s">
        <v>267</v>
      </c>
      <c r="E241" s="326" t="s">
        <v>268</v>
      </c>
      <c r="F241" s="327">
        <f t="shared" ref="F241:H243" si="145">+F242</f>
        <v>260000000</v>
      </c>
      <c r="G241" s="328">
        <f>+G242</f>
        <v>0</v>
      </c>
      <c r="H241" s="328">
        <f t="shared" si="145"/>
        <v>0</v>
      </c>
      <c r="I241" s="328">
        <f t="shared" ref="I241:I245" si="146">+G241+H241</f>
        <v>0</v>
      </c>
      <c r="J241" s="328">
        <f>+J242</f>
        <v>0</v>
      </c>
      <c r="K241" s="328">
        <f t="shared" ref="K241:K243" si="147">+K242</f>
        <v>0</v>
      </c>
      <c r="L241" s="328">
        <f t="shared" ref="L241:L244" si="148">+J241+K241</f>
        <v>0</v>
      </c>
      <c r="M241" s="328">
        <f t="shared" ref="M241:M244" si="149">+I241+L241</f>
        <v>0</v>
      </c>
      <c r="N241" s="327">
        <f t="shared" si="144"/>
        <v>260000000</v>
      </c>
      <c r="P241" s="330"/>
      <c r="R241" s="331"/>
      <c r="S241" s="351"/>
      <c r="T241" s="351"/>
      <c r="U241" s="333"/>
    </row>
    <row r="242" spans="1:21" s="339" customFormat="1" ht="18" customHeight="1" x14ac:dyDescent="0.25">
      <c r="A242" s="334"/>
      <c r="B242" s="352"/>
      <c r="C242" s="334"/>
      <c r="D242" s="335" t="s">
        <v>78</v>
      </c>
      <c r="E242" s="335" t="s">
        <v>75</v>
      </c>
      <c r="F242" s="337">
        <f t="shared" si="145"/>
        <v>260000000</v>
      </c>
      <c r="G242" s="344">
        <f>+G243</f>
        <v>0</v>
      </c>
      <c r="H242" s="344">
        <f t="shared" si="145"/>
        <v>0</v>
      </c>
      <c r="I242" s="344">
        <f t="shared" si="146"/>
        <v>0</v>
      </c>
      <c r="J242" s="344">
        <f>+J243</f>
        <v>0</v>
      </c>
      <c r="K242" s="344">
        <f t="shared" si="147"/>
        <v>0</v>
      </c>
      <c r="L242" s="344">
        <f t="shared" si="148"/>
        <v>0</v>
      </c>
      <c r="M242" s="344">
        <f t="shared" si="149"/>
        <v>0</v>
      </c>
      <c r="N242" s="337">
        <f t="shared" si="144"/>
        <v>260000000</v>
      </c>
      <c r="P242" s="340"/>
      <c r="S242" s="347"/>
      <c r="T242" s="347"/>
      <c r="U242" s="342"/>
    </row>
    <row r="243" spans="1:21" s="339" customFormat="1" ht="18" customHeight="1" x14ac:dyDescent="0.25">
      <c r="A243" s="334"/>
      <c r="B243" s="335"/>
      <c r="C243" s="334"/>
      <c r="D243" s="365" t="s">
        <v>277</v>
      </c>
      <c r="E243" s="335" t="s">
        <v>278</v>
      </c>
      <c r="F243" s="337">
        <f t="shared" si="145"/>
        <v>260000000</v>
      </c>
      <c r="G243" s="344">
        <f>+G244</f>
        <v>0</v>
      </c>
      <c r="H243" s="344">
        <f t="shared" si="145"/>
        <v>0</v>
      </c>
      <c r="I243" s="344">
        <f t="shared" si="146"/>
        <v>0</v>
      </c>
      <c r="J243" s="344">
        <f>+J244</f>
        <v>0</v>
      </c>
      <c r="K243" s="344">
        <f t="shared" si="147"/>
        <v>0</v>
      </c>
      <c r="L243" s="344">
        <f t="shared" si="148"/>
        <v>0</v>
      </c>
      <c r="M243" s="344">
        <f t="shared" si="149"/>
        <v>0</v>
      </c>
      <c r="N243" s="337">
        <f t="shared" si="144"/>
        <v>260000000</v>
      </c>
      <c r="P243" s="340"/>
      <c r="S243" s="347"/>
      <c r="T243" s="347"/>
      <c r="U243" s="342"/>
    </row>
    <row r="244" spans="1:21" s="339" customFormat="1" ht="18" customHeight="1" x14ac:dyDescent="0.25">
      <c r="A244" s="334"/>
      <c r="B244" s="352"/>
      <c r="C244" s="334"/>
      <c r="D244" s="335" t="s">
        <v>121</v>
      </c>
      <c r="E244" s="335" t="s">
        <v>123</v>
      </c>
      <c r="F244" s="337">
        <f>F245</f>
        <v>260000000</v>
      </c>
      <c r="G244" s="344">
        <f>+G245</f>
        <v>0</v>
      </c>
      <c r="H244" s="344">
        <f>+H245</f>
        <v>0</v>
      </c>
      <c r="I244" s="344">
        <f t="shared" si="146"/>
        <v>0</v>
      </c>
      <c r="J244" s="344">
        <f>+J245</f>
        <v>0</v>
      </c>
      <c r="K244" s="344">
        <f>+K245</f>
        <v>0</v>
      </c>
      <c r="L244" s="344">
        <f t="shared" si="148"/>
        <v>0</v>
      </c>
      <c r="M244" s="344">
        <f t="shared" si="149"/>
        <v>0</v>
      </c>
      <c r="N244" s="337">
        <f t="shared" si="144"/>
        <v>260000000</v>
      </c>
      <c r="P244" s="340"/>
      <c r="S244" s="347"/>
      <c r="T244" s="347"/>
      <c r="U244" s="342"/>
    </row>
    <row r="245" spans="1:21" s="339" customFormat="1" ht="18" customHeight="1" x14ac:dyDescent="0.25">
      <c r="A245" s="334"/>
      <c r="B245" s="352"/>
      <c r="C245" s="334"/>
      <c r="D245" s="335" t="s">
        <v>122</v>
      </c>
      <c r="E245" s="335" t="s">
        <v>124</v>
      </c>
      <c r="F245" s="337">
        <v>260000000</v>
      </c>
      <c r="G245" s="344"/>
      <c r="H245" s="344"/>
      <c r="I245" s="344">
        <f t="shared" si="146"/>
        <v>0</v>
      </c>
      <c r="J245" s="344"/>
      <c r="K245" s="344"/>
      <c r="L245" s="344"/>
      <c r="M245" s="344">
        <f>+I245+L245</f>
        <v>0</v>
      </c>
      <c r="N245" s="337">
        <f t="shared" si="144"/>
        <v>260000000</v>
      </c>
      <c r="P245" s="340"/>
      <c r="S245" s="347"/>
      <c r="T245" s="346"/>
      <c r="U245" s="342"/>
    </row>
    <row r="246" spans="1:21" s="153" customFormat="1" ht="18" customHeight="1" x14ac:dyDescent="0.25">
      <c r="A246" s="353"/>
      <c r="B246" s="355"/>
      <c r="C246" s="355"/>
      <c r="D246" s="355"/>
      <c r="E246" s="355"/>
      <c r="F246" s="356"/>
      <c r="G246" s="357"/>
      <c r="H246" s="357"/>
      <c r="I246" s="357"/>
      <c r="J246" s="357"/>
      <c r="K246" s="357"/>
      <c r="L246" s="357"/>
      <c r="M246" s="357"/>
      <c r="N246" s="356"/>
      <c r="P246" s="200"/>
      <c r="S246" s="221"/>
      <c r="T246" s="221"/>
      <c r="U246" s="254"/>
    </row>
    <row r="247" spans="1:21" s="319" customFormat="1" ht="16.5" customHeight="1" x14ac:dyDescent="0.25">
      <c r="A247" s="276"/>
      <c r="B247" s="305" t="s">
        <v>359</v>
      </c>
      <c r="C247" s="305"/>
      <c r="D247" s="305"/>
      <c r="E247" s="305" t="s">
        <v>360</v>
      </c>
      <c r="F247" s="359">
        <f>+F248+F256+F269+F278</f>
        <v>39780847375</v>
      </c>
      <c r="G247" s="360">
        <f>+G248+G256+G269+G278</f>
        <v>3058644020</v>
      </c>
      <c r="H247" s="360">
        <f>+H248+H256+H269+H278</f>
        <v>3059777388</v>
      </c>
      <c r="I247" s="360">
        <f>+G247+H247</f>
        <v>6118421408</v>
      </c>
      <c r="J247" s="360">
        <f>+J248+J256+J269+J278</f>
        <v>94954700</v>
      </c>
      <c r="K247" s="360">
        <f>+K248+K256+K269+K278</f>
        <v>112274189</v>
      </c>
      <c r="L247" s="360">
        <f>+J247+K247</f>
        <v>207228889</v>
      </c>
      <c r="M247" s="308">
        <f t="shared" ref="M247" si="150">+I247+L247</f>
        <v>6325650297</v>
      </c>
      <c r="N247" s="359">
        <f t="shared" ref="N247:N255" si="151">+F247-M247</f>
        <v>33455197078</v>
      </c>
      <c r="P247" s="361"/>
      <c r="R247" s="321"/>
      <c r="S247" s="362"/>
      <c r="T247" s="362"/>
      <c r="U247" s="350"/>
    </row>
    <row r="248" spans="1:21" s="319" customFormat="1" ht="18" customHeight="1" x14ac:dyDescent="0.25">
      <c r="A248" s="276">
        <v>12</v>
      </c>
      <c r="B248" s="305"/>
      <c r="C248" s="305" t="s">
        <v>125</v>
      </c>
      <c r="D248" s="363"/>
      <c r="E248" s="364" t="s">
        <v>34</v>
      </c>
      <c r="F248" s="307">
        <f>+F249</f>
        <v>219414700</v>
      </c>
      <c r="G248" s="308">
        <f>+G249</f>
        <v>0</v>
      </c>
      <c r="H248" s="308">
        <f>+H249</f>
        <v>0</v>
      </c>
      <c r="I248" s="308">
        <f>+G248+H248</f>
        <v>0</v>
      </c>
      <c r="J248" s="308">
        <f>+J249</f>
        <v>0</v>
      </c>
      <c r="K248" s="308">
        <f>+K249</f>
        <v>2400000</v>
      </c>
      <c r="L248" s="308">
        <f>+J248+K248</f>
        <v>2400000</v>
      </c>
      <c r="M248" s="308">
        <f>+I248+L248</f>
        <v>2400000</v>
      </c>
      <c r="N248" s="307">
        <f t="shared" si="151"/>
        <v>217014700</v>
      </c>
      <c r="P248" s="320"/>
      <c r="R248" s="321"/>
      <c r="S248" s="349"/>
      <c r="T248" s="349"/>
      <c r="U248" s="350"/>
    </row>
    <row r="249" spans="1:21" s="329" customFormat="1" ht="18" customHeight="1" x14ac:dyDescent="0.25">
      <c r="A249" s="323"/>
      <c r="B249" s="324"/>
      <c r="C249" s="379"/>
      <c r="D249" s="325" t="s">
        <v>207</v>
      </c>
      <c r="E249" s="326" t="s">
        <v>262</v>
      </c>
      <c r="F249" s="327">
        <f t="shared" ref="F249:H251" si="152">+F250</f>
        <v>219414700</v>
      </c>
      <c r="G249" s="328">
        <f>+G250</f>
        <v>0</v>
      </c>
      <c r="H249" s="328">
        <f t="shared" si="152"/>
        <v>0</v>
      </c>
      <c r="I249" s="328">
        <f t="shared" ref="I249:I253" si="153">+G249+H249</f>
        <v>0</v>
      </c>
      <c r="J249" s="328">
        <f t="shared" ref="J249:K251" si="154">+J250</f>
        <v>0</v>
      </c>
      <c r="K249" s="328">
        <f t="shared" si="154"/>
        <v>2400000</v>
      </c>
      <c r="L249" s="328">
        <f t="shared" ref="L249:L251" si="155">+J249+K249</f>
        <v>2400000</v>
      </c>
      <c r="M249" s="328">
        <f t="shared" ref="M249:M252" si="156">+I249+L249</f>
        <v>2400000</v>
      </c>
      <c r="N249" s="327">
        <f t="shared" si="151"/>
        <v>217014700</v>
      </c>
      <c r="P249" s="330"/>
      <c r="R249" s="331"/>
      <c r="S249" s="351"/>
      <c r="T249" s="351"/>
      <c r="U249" s="333"/>
    </row>
    <row r="250" spans="1:21" s="339" customFormat="1" ht="18" customHeight="1" x14ac:dyDescent="0.25">
      <c r="A250" s="334"/>
      <c r="B250" s="352"/>
      <c r="C250" s="334"/>
      <c r="D250" s="335" t="s">
        <v>63</v>
      </c>
      <c r="E250" s="335" t="s">
        <v>30</v>
      </c>
      <c r="F250" s="337">
        <f t="shared" si="152"/>
        <v>219414700</v>
      </c>
      <c r="G250" s="344">
        <f>+G251</f>
        <v>0</v>
      </c>
      <c r="H250" s="344">
        <f t="shared" si="152"/>
        <v>0</v>
      </c>
      <c r="I250" s="344">
        <f t="shared" si="153"/>
        <v>0</v>
      </c>
      <c r="J250" s="344">
        <f t="shared" si="154"/>
        <v>0</v>
      </c>
      <c r="K250" s="344">
        <f t="shared" si="154"/>
        <v>2400000</v>
      </c>
      <c r="L250" s="344">
        <f t="shared" si="155"/>
        <v>2400000</v>
      </c>
      <c r="M250" s="344">
        <f t="shared" si="156"/>
        <v>2400000</v>
      </c>
      <c r="N250" s="337">
        <f t="shared" si="151"/>
        <v>217014700</v>
      </c>
      <c r="P250" s="340"/>
      <c r="S250" s="347"/>
      <c r="T250" s="347"/>
      <c r="U250" s="342"/>
    </row>
    <row r="251" spans="1:21" s="339" customFormat="1" ht="18" customHeight="1" x14ac:dyDescent="0.25">
      <c r="A251" s="334"/>
      <c r="B251" s="335"/>
      <c r="C251" s="334"/>
      <c r="D251" s="365" t="s">
        <v>263</v>
      </c>
      <c r="E251" s="335" t="s">
        <v>264</v>
      </c>
      <c r="F251" s="337">
        <f t="shared" si="152"/>
        <v>219414700</v>
      </c>
      <c r="G251" s="344">
        <f>+G252</f>
        <v>0</v>
      </c>
      <c r="H251" s="344">
        <f t="shared" si="152"/>
        <v>0</v>
      </c>
      <c r="I251" s="344">
        <f t="shared" si="153"/>
        <v>0</v>
      </c>
      <c r="J251" s="344">
        <f t="shared" si="154"/>
        <v>0</v>
      </c>
      <c r="K251" s="344">
        <f t="shared" si="154"/>
        <v>2400000</v>
      </c>
      <c r="L251" s="344">
        <f t="shared" si="155"/>
        <v>2400000</v>
      </c>
      <c r="M251" s="344">
        <f t="shared" si="156"/>
        <v>2400000</v>
      </c>
      <c r="N251" s="337">
        <f t="shared" si="151"/>
        <v>217014700</v>
      </c>
      <c r="P251" s="340"/>
      <c r="S251" s="347"/>
      <c r="T251" s="347"/>
      <c r="U251" s="342"/>
    </row>
    <row r="252" spans="1:21" s="339" customFormat="1" ht="18" customHeight="1" x14ac:dyDescent="0.25">
      <c r="A252" s="334"/>
      <c r="B252" s="352"/>
      <c r="C252" s="334"/>
      <c r="D252" s="335" t="s">
        <v>64</v>
      </c>
      <c r="E252" s="335" t="s">
        <v>65</v>
      </c>
      <c r="F252" s="337">
        <f>SUM(F253:F255)</f>
        <v>219414700</v>
      </c>
      <c r="G252" s="344">
        <f>SUM(G253:G255)</f>
        <v>0</v>
      </c>
      <c r="H252" s="344">
        <f>SUM(H253:H255)</f>
        <v>0</v>
      </c>
      <c r="I252" s="344">
        <f t="shared" si="153"/>
        <v>0</v>
      </c>
      <c r="J252" s="344">
        <f>SUM(J253:J255)</f>
        <v>0</v>
      </c>
      <c r="K252" s="344">
        <f>SUM(K253:K255)</f>
        <v>2400000</v>
      </c>
      <c r="L252" s="344">
        <f>+J252+K252</f>
        <v>2400000</v>
      </c>
      <c r="M252" s="344">
        <f t="shared" si="156"/>
        <v>2400000</v>
      </c>
      <c r="N252" s="337">
        <f t="shared" si="151"/>
        <v>217014700</v>
      </c>
      <c r="P252" s="340"/>
      <c r="S252" s="347"/>
      <c r="T252" s="347"/>
      <c r="U252" s="342"/>
    </row>
    <row r="253" spans="1:21" s="339" customFormat="1" ht="18" customHeight="1" x14ac:dyDescent="0.25">
      <c r="A253" s="334"/>
      <c r="B253" s="352"/>
      <c r="C253" s="334"/>
      <c r="D253" s="335" t="s">
        <v>337</v>
      </c>
      <c r="E253" s="335" t="s">
        <v>338</v>
      </c>
      <c r="F253" s="337">
        <v>875000</v>
      </c>
      <c r="G253" s="344"/>
      <c r="H253" s="344"/>
      <c r="I253" s="344">
        <f t="shared" si="153"/>
        <v>0</v>
      </c>
      <c r="J253" s="344"/>
      <c r="K253" s="344"/>
      <c r="L253" s="344">
        <f>+J253+K253</f>
        <v>0</v>
      </c>
      <c r="M253" s="344">
        <f>+I253+L253</f>
        <v>0</v>
      </c>
      <c r="N253" s="337">
        <f t="shared" si="151"/>
        <v>875000</v>
      </c>
      <c r="P253" s="340"/>
      <c r="S253" s="347"/>
      <c r="T253" s="347"/>
      <c r="U253" s="342"/>
    </row>
    <row r="254" spans="1:21" s="339" customFormat="1" ht="18" customHeight="1" x14ac:dyDescent="0.25">
      <c r="A254" s="334"/>
      <c r="B254" s="352"/>
      <c r="C254" s="334"/>
      <c r="D254" s="335" t="s">
        <v>68</v>
      </c>
      <c r="E254" s="335" t="s">
        <v>69</v>
      </c>
      <c r="F254" s="337">
        <v>182539700</v>
      </c>
      <c r="G254" s="344"/>
      <c r="H254" s="344"/>
      <c r="I254" s="344">
        <f>+G254+H254</f>
        <v>0</v>
      </c>
      <c r="J254" s="344"/>
      <c r="K254" s="344"/>
      <c r="L254" s="344">
        <f>+J254+K254</f>
        <v>0</v>
      </c>
      <c r="M254" s="344">
        <f>+I254+L254</f>
        <v>0</v>
      </c>
      <c r="N254" s="337">
        <f t="shared" si="151"/>
        <v>182539700</v>
      </c>
      <c r="P254" s="340"/>
      <c r="S254" s="347"/>
      <c r="T254" s="347"/>
      <c r="U254" s="342"/>
    </row>
    <row r="255" spans="1:21" s="153" customFormat="1" ht="18" customHeight="1" x14ac:dyDescent="0.25">
      <c r="A255" s="353"/>
      <c r="B255" s="387"/>
      <c r="C255" s="353"/>
      <c r="D255" s="355" t="s">
        <v>126</v>
      </c>
      <c r="E255" s="355" t="s">
        <v>127</v>
      </c>
      <c r="F255" s="356">
        <v>36000000</v>
      </c>
      <c r="G255" s="357">
        <v>0</v>
      </c>
      <c r="H255" s="357"/>
      <c r="I255" s="357">
        <f>+G255+H255</f>
        <v>0</v>
      </c>
      <c r="J255" s="357"/>
      <c r="K255" s="357">
        <v>2400000</v>
      </c>
      <c r="L255" s="357">
        <f>+J255+K255</f>
        <v>2400000</v>
      </c>
      <c r="M255" s="357">
        <f>+I255+L255</f>
        <v>2400000</v>
      </c>
      <c r="N255" s="356">
        <f t="shared" si="151"/>
        <v>33600000</v>
      </c>
      <c r="P255" s="200"/>
      <c r="S255" s="358">
        <v>2400000</v>
      </c>
      <c r="T255" s="221"/>
      <c r="U255" s="254"/>
    </row>
    <row r="256" spans="1:21" s="319" customFormat="1" ht="18" customHeight="1" x14ac:dyDescent="0.25">
      <c r="A256" s="276">
        <v>13</v>
      </c>
      <c r="B256" s="305"/>
      <c r="C256" s="305" t="s">
        <v>128</v>
      </c>
      <c r="D256" s="363"/>
      <c r="E256" s="364" t="s">
        <v>46</v>
      </c>
      <c r="F256" s="307">
        <f>+F257</f>
        <v>38400620000</v>
      </c>
      <c r="G256" s="308">
        <f>+G257</f>
        <v>3058644020</v>
      </c>
      <c r="H256" s="308">
        <f>+H257</f>
        <v>3059777388</v>
      </c>
      <c r="I256" s="308">
        <f>+G256+H256</f>
        <v>6118421408</v>
      </c>
      <c r="J256" s="308">
        <f>+J257</f>
        <v>22194700</v>
      </c>
      <c r="K256" s="308">
        <f>+K257</f>
        <v>25914189</v>
      </c>
      <c r="L256" s="308">
        <f>+J256+K256</f>
        <v>48108889</v>
      </c>
      <c r="M256" s="308">
        <f>+I256+L256</f>
        <v>6166530297</v>
      </c>
      <c r="N256" s="307">
        <f>+F256-M256</f>
        <v>32234089703</v>
      </c>
      <c r="P256" s="320"/>
      <c r="R256" s="321"/>
      <c r="S256" s="349"/>
      <c r="T256" s="349"/>
      <c r="U256" s="350"/>
    </row>
    <row r="257" spans="1:21" s="329" customFormat="1" ht="18" customHeight="1" x14ac:dyDescent="0.25">
      <c r="A257" s="323"/>
      <c r="B257" s="324"/>
      <c r="C257" s="379"/>
      <c r="D257" s="325" t="s">
        <v>207</v>
      </c>
      <c r="E257" s="326" t="s">
        <v>262</v>
      </c>
      <c r="F257" s="327">
        <f>+F258</f>
        <v>38400620000</v>
      </c>
      <c r="G257" s="328">
        <f>+G258</f>
        <v>3058644020</v>
      </c>
      <c r="H257" s="328">
        <f t="shared" ref="F257:H259" si="157">+H258</f>
        <v>3059777388</v>
      </c>
      <c r="I257" s="328">
        <f t="shared" ref="I257:I262" si="158">+G257+H257</f>
        <v>6118421408</v>
      </c>
      <c r="J257" s="328">
        <f t="shared" ref="J257:K259" si="159">+J258</f>
        <v>22194700</v>
      </c>
      <c r="K257" s="328">
        <f t="shared" si="159"/>
        <v>25914189</v>
      </c>
      <c r="L257" s="328">
        <f t="shared" ref="L257:L260" si="160">+J257+K257</f>
        <v>48108889</v>
      </c>
      <c r="M257" s="328">
        <f t="shared" ref="M257:M260" si="161">+I257+L257</f>
        <v>6166530297</v>
      </c>
      <c r="N257" s="327">
        <f>+F257-M257</f>
        <v>32234089703</v>
      </c>
      <c r="P257" s="330"/>
      <c r="R257" s="331"/>
      <c r="S257" s="351"/>
      <c r="T257" s="351"/>
      <c r="U257" s="333"/>
    </row>
    <row r="258" spans="1:21" s="339" customFormat="1" ht="18" customHeight="1" x14ac:dyDescent="0.25">
      <c r="A258" s="334"/>
      <c r="B258" s="352"/>
      <c r="C258" s="334"/>
      <c r="D258" s="335" t="s">
        <v>63</v>
      </c>
      <c r="E258" s="335" t="s">
        <v>30</v>
      </c>
      <c r="F258" s="337">
        <f>+F259+F262</f>
        <v>38400620000</v>
      </c>
      <c r="G258" s="344">
        <f>+G259+G262</f>
        <v>3058644020</v>
      </c>
      <c r="H258" s="344">
        <f>+H259+H262</f>
        <v>3059777388</v>
      </c>
      <c r="I258" s="344">
        <f t="shared" si="158"/>
        <v>6118421408</v>
      </c>
      <c r="J258" s="344">
        <f>+J259+J262</f>
        <v>22194700</v>
      </c>
      <c r="K258" s="344">
        <f>+K259+K262</f>
        <v>25914189</v>
      </c>
      <c r="L258" s="344">
        <f t="shared" si="160"/>
        <v>48108889</v>
      </c>
      <c r="M258" s="344">
        <f t="shared" si="161"/>
        <v>6166530297</v>
      </c>
      <c r="N258" s="337">
        <f>+F258-M258</f>
        <v>32234089703</v>
      </c>
      <c r="P258" s="340"/>
      <c r="S258" s="347"/>
      <c r="T258" s="347"/>
      <c r="U258" s="342"/>
    </row>
    <row r="259" spans="1:21" s="339" customFormat="1" ht="18" customHeight="1" x14ac:dyDescent="0.25">
      <c r="A259" s="334"/>
      <c r="B259" s="335"/>
      <c r="C259" s="334"/>
      <c r="D259" s="365" t="s">
        <v>263</v>
      </c>
      <c r="E259" s="335" t="s">
        <v>264</v>
      </c>
      <c r="F259" s="337">
        <f t="shared" si="157"/>
        <v>35000000</v>
      </c>
      <c r="G259" s="344">
        <f>+G260</f>
        <v>0</v>
      </c>
      <c r="H259" s="344">
        <f t="shared" si="157"/>
        <v>0</v>
      </c>
      <c r="I259" s="344">
        <f t="shared" si="158"/>
        <v>0</v>
      </c>
      <c r="J259" s="344">
        <f t="shared" si="159"/>
        <v>0</v>
      </c>
      <c r="K259" s="344">
        <f t="shared" si="159"/>
        <v>3000000</v>
      </c>
      <c r="L259" s="344">
        <f t="shared" si="160"/>
        <v>3000000</v>
      </c>
      <c r="M259" s="344">
        <f t="shared" si="161"/>
        <v>3000000</v>
      </c>
      <c r="N259" s="337">
        <f>+F259-M259</f>
        <v>32000000</v>
      </c>
      <c r="P259" s="340"/>
      <c r="S259" s="347"/>
      <c r="T259" s="347"/>
      <c r="U259" s="342"/>
    </row>
    <row r="260" spans="1:21" s="339" customFormat="1" ht="18" customHeight="1" x14ac:dyDescent="0.25">
      <c r="A260" s="334"/>
      <c r="B260" s="352"/>
      <c r="C260" s="334"/>
      <c r="D260" s="335" t="s">
        <v>64</v>
      </c>
      <c r="E260" s="335" t="s">
        <v>65</v>
      </c>
      <c r="F260" s="337">
        <f>+F261</f>
        <v>35000000</v>
      </c>
      <c r="G260" s="344">
        <f>+G261</f>
        <v>0</v>
      </c>
      <c r="H260" s="344">
        <f>+H261+H265</f>
        <v>0</v>
      </c>
      <c r="I260" s="344">
        <f t="shared" si="158"/>
        <v>0</v>
      </c>
      <c r="J260" s="344">
        <f>J261</f>
        <v>0</v>
      </c>
      <c r="K260" s="344">
        <f>+K261</f>
        <v>3000000</v>
      </c>
      <c r="L260" s="344">
        <f t="shared" si="160"/>
        <v>3000000</v>
      </c>
      <c r="M260" s="344">
        <f t="shared" si="161"/>
        <v>3000000</v>
      </c>
      <c r="N260" s="337">
        <f>+F260-M260</f>
        <v>32000000</v>
      </c>
      <c r="P260" s="340"/>
      <c r="S260" s="347"/>
      <c r="T260" s="347"/>
      <c r="U260" s="342"/>
    </row>
    <row r="261" spans="1:21" s="339" customFormat="1" ht="18" customHeight="1" x14ac:dyDescent="0.25">
      <c r="A261" s="334"/>
      <c r="B261" s="352"/>
      <c r="C261" s="334"/>
      <c r="D261" s="335" t="s">
        <v>129</v>
      </c>
      <c r="E261" s="335" t="s">
        <v>130</v>
      </c>
      <c r="F261" s="337">
        <v>35000000</v>
      </c>
      <c r="G261" s="344"/>
      <c r="H261" s="344"/>
      <c r="I261" s="344">
        <f t="shared" si="158"/>
        <v>0</v>
      </c>
      <c r="J261" s="344"/>
      <c r="K261" s="344">
        <f>2000000+1000000</f>
        <v>3000000</v>
      </c>
      <c r="L261" s="344">
        <f>+J261+K261</f>
        <v>3000000</v>
      </c>
      <c r="M261" s="344">
        <f>+I261+L261</f>
        <v>3000000</v>
      </c>
      <c r="N261" s="337">
        <f t="shared" ref="N261" si="162">+F261-M261</f>
        <v>32000000</v>
      </c>
      <c r="P261" s="340"/>
      <c r="S261" s="346">
        <v>3000000</v>
      </c>
      <c r="T261" s="347"/>
      <c r="U261" s="342"/>
    </row>
    <row r="262" spans="1:21" s="339" customFormat="1" ht="18" customHeight="1" x14ac:dyDescent="0.25">
      <c r="A262" s="334"/>
      <c r="B262" s="335"/>
      <c r="C262" s="334"/>
      <c r="D262" s="365" t="s">
        <v>271</v>
      </c>
      <c r="E262" s="335" t="s">
        <v>272</v>
      </c>
      <c r="F262" s="337">
        <f t="shared" ref="F262:H262" si="163">+F263</f>
        <v>38365620000</v>
      </c>
      <c r="G262" s="344">
        <f>+G263</f>
        <v>3058644020</v>
      </c>
      <c r="H262" s="344">
        <f t="shared" si="163"/>
        <v>3059777388</v>
      </c>
      <c r="I262" s="344">
        <f t="shared" si="158"/>
        <v>6118421408</v>
      </c>
      <c r="J262" s="344">
        <f>+J263</f>
        <v>22194700</v>
      </c>
      <c r="K262" s="344">
        <f t="shared" ref="K262" si="164">+K263</f>
        <v>22914189</v>
      </c>
      <c r="L262" s="344">
        <f t="shared" ref="L262" si="165">+J262+K262</f>
        <v>45108889</v>
      </c>
      <c r="M262" s="344">
        <f t="shared" ref="M262:M263" si="166">+I262+L262</f>
        <v>6163530297</v>
      </c>
      <c r="N262" s="337">
        <f>+F262-M262</f>
        <v>32202089703</v>
      </c>
      <c r="P262" s="340"/>
      <c r="S262" s="346"/>
      <c r="T262" s="347"/>
      <c r="U262" s="342"/>
    </row>
    <row r="263" spans="1:21" s="339" customFormat="1" ht="18" customHeight="1" x14ac:dyDescent="0.25">
      <c r="A263" s="334"/>
      <c r="B263" s="352"/>
      <c r="C263" s="334"/>
      <c r="D263" s="335" t="s">
        <v>81</v>
      </c>
      <c r="E263" s="335" t="s">
        <v>31</v>
      </c>
      <c r="F263" s="337">
        <f>SUM(F264:F268)</f>
        <v>38365620000</v>
      </c>
      <c r="G263" s="344">
        <f>SUM(G264:G268)</f>
        <v>3058644020</v>
      </c>
      <c r="H263" s="344">
        <f>SUM(H264:H268)</f>
        <v>3059777388</v>
      </c>
      <c r="I263" s="344">
        <f>+G263+H263</f>
        <v>6118421408</v>
      </c>
      <c r="J263" s="344">
        <f>SUM(J264:J268)</f>
        <v>22194700</v>
      </c>
      <c r="K263" s="344">
        <f>SUM(K264:K268)</f>
        <v>22914189</v>
      </c>
      <c r="L263" s="344">
        <f>+J263+K263</f>
        <v>45108889</v>
      </c>
      <c r="M263" s="344">
        <f t="shared" si="166"/>
        <v>6163530297</v>
      </c>
      <c r="N263" s="337">
        <f>+F263-M263</f>
        <v>32202089703</v>
      </c>
      <c r="P263" s="340"/>
      <c r="S263" s="346"/>
      <c r="T263" s="347"/>
      <c r="U263" s="342"/>
    </row>
    <row r="264" spans="1:21" s="339" customFormat="1" ht="18" customHeight="1" x14ac:dyDescent="0.25">
      <c r="A264" s="334"/>
      <c r="B264" s="352"/>
      <c r="C264" s="334"/>
      <c r="D264" s="335" t="s">
        <v>131</v>
      </c>
      <c r="E264" s="335" t="s">
        <v>132</v>
      </c>
      <c r="F264" s="337">
        <v>16800000</v>
      </c>
      <c r="G264" s="344"/>
      <c r="H264" s="344"/>
      <c r="I264" s="344">
        <f t="shared" ref="I264:I268" si="167">+G264+H264</f>
        <v>0</v>
      </c>
      <c r="J264" s="344"/>
      <c r="K264" s="344">
        <f>75561+34634+34357</f>
        <v>144552</v>
      </c>
      <c r="L264" s="344">
        <f>+J264+K264</f>
        <v>144552</v>
      </c>
      <c r="M264" s="344">
        <f>+I264+L264</f>
        <v>144552</v>
      </c>
      <c r="N264" s="337">
        <f t="shared" ref="N264:N268" si="168">+F264-M264</f>
        <v>16655448</v>
      </c>
      <c r="P264" s="340"/>
      <c r="S264" s="346">
        <f>75561+34634+34357</f>
        <v>144552</v>
      </c>
      <c r="T264" s="347"/>
      <c r="U264" s="342"/>
    </row>
    <row r="265" spans="1:21" s="339" customFormat="1" ht="18" customHeight="1" x14ac:dyDescent="0.25">
      <c r="A265" s="334"/>
      <c r="B265" s="352"/>
      <c r="C265" s="334"/>
      <c r="D265" s="335" t="s">
        <v>133</v>
      </c>
      <c r="E265" s="335" t="s">
        <v>134</v>
      </c>
      <c r="F265" s="337">
        <v>42000000</v>
      </c>
      <c r="G265" s="344">
        <v>0</v>
      </c>
      <c r="H265" s="344"/>
      <c r="I265" s="344">
        <f t="shared" si="167"/>
        <v>0</v>
      </c>
      <c r="J265" s="344">
        <v>2344700</v>
      </c>
      <c r="K265" s="344">
        <v>2395100</v>
      </c>
      <c r="L265" s="344">
        <f>+J265+K265</f>
        <v>4739800</v>
      </c>
      <c r="M265" s="344">
        <f>+I265+L265</f>
        <v>4739800</v>
      </c>
      <c r="N265" s="337">
        <f t="shared" si="168"/>
        <v>37260200</v>
      </c>
      <c r="P265" s="340"/>
      <c r="S265" s="346">
        <v>2395100</v>
      </c>
      <c r="T265" s="347"/>
      <c r="U265" s="342"/>
    </row>
    <row r="266" spans="1:21" s="339" customFormat="1" ht="18" customHeight="1" x14ac:dyDescent="0.25">
      <c r="A266" s="334"/>
      <c r="B266" s="352"/>
      <c r="C266" s="334"/>
      <c r="D266" s="335" t="s">
        <v>135</v>
      </c>
      <c r="E266" s="335" t="s">
        <v>136</v>
      </c>
      <c r="F266" s="337">
        <v>37992800000</v>
      </c>
      <c r="G266" s="344">
        <v>3058644020</v>
      </c>
      <c r="H266" s="344">
        <f>33514534+3026262854</f>
        <v>3059777388</v>
      </c>
      <c r="I266" s="344">
        <f t="shared" si="167"/>
        <v>6118421408</v>
      </c>
      <c r="J266" s="344">
        <v>0</v>
      </c>
      <c r="K266" s="344"/>
      <c r="L266" s="344">
        <f>+J266+K266</f>
        <v>0</v>
      </c>
      <c r="M266" s="344">
        <f>+I266+L266</f>
        <v>6118421408</v>
      </c>
      <c r="N266" s="337">
        <f t="shared" si="168"/>
        <v>31874378592</v>
      </c>
      <c r="P266" s="340"/>
      <c r="S266" s="346"/>
      <c r="T266" s="346">
        <f>33514534+3026262854</f>
        <v>3059777388</v>
      </c>
      <c r="U266" s="342"/>
    </row>
    <row r="267" spans="1:21" s="339" customFormat="1" ht="18" customHeight="1" x14ac:dyDescent="0.25">
      <c r="A267" s="334"/>
      <c r="B267" s="352"/>
      <c r="C267" s="334"/>
      <c r="D267" s="335" t="s">
        <v>137</v>
      </c>
      <c r="E267" s="335" t="s">
        <v>138</v>
      </c>
      <c r="F267" s="337">
        <v>12820000</v>
      </c>
      <c r="G267" s="344"/>
      <c r="H267" s="344"/>
      <c r="I267" s="344">
        <f t="shared" si="167"/>
        <v>0</v>
      </c>
      <c r="J267" s="344">
        <v>0</v>
      </c>
      <c r="K267" s="344">
        <f>230000+230000</f>
        <v>460000</v>
      </c>
      <c r="L267" s="344">
        <f t="shared" ref="L267:L272" si="169">+J267+K267</f>
        <v>460000</v>
      </c>
      <c r="M267" s="344">
        <f t="shared" ref="M267:M268" si="170">+I267+L267</f>
        <v>460000</v>
      </c>
      <c r="N267" s="337">
        <f t="shared" si="168"/>
        <v>12360000</v>
      </c>
      <c r="P267" s="340"/>
      <c r="S267" s="346">
        <f>230000+230000</f>
        <v>460000</v>
      </c>
      <c r="T267" s="347"/>
      <c r="U267" s="342"/>
    </row>
    <row r="268" spans="1:21" s="339" customFormat="1" ht="18" customHeight="1" x14ac:dyDescent="0.25">
      <c r="A268" s="334"/>
      <c r="B268" s="352"/>
      <c r="C268" s="334"/>
      <c r="D268" s="335" t="s">
        <v>139</v>
      </c>
      <c r="E268" s="335" t="s">
        <v>140</v>
      </c>
      <c r="F268" s="337">
        <v>301200000</v>
      </c>
      <c r="G268" s="344"/>
      <c r="H268" s="344"/>
      <c r="I268" s="344">
        <f t="shared" si="167"/>
        <v>0</v>
      </c>
      <c r="J268" s="344">
        <v>19850000</v>
      </c>
      <c r="K268" s="344">
        <f>19850000+64537</f>
        <v>19914537</v>
      </c>
      <c r="L268" s="344">
        <f t="shared" si="169"/>
        <v>39764537</v>
      </c>
      <c r="M268" s="344">
        <f t="shared" si="170"/>
        <v>39764537</v>
      </c>
      <c r="N268" s="337">
        <f t="shared" si="168"/>
        <v>261435463</v>
      </c>
      <c r="P268" s="340"/>
      <c r="S268" s="346">
        <f>19850000+64537</f>
        <v>19914537</v>
      </c>
      <c r="T268" s="347"/>
      <c r="U268" s="342"/>
    </row>
    <row r="269" spans="1:21" s="319" customFormat="1" ht="18" customHeight="1" x14ac:dyDescent="0.25">
      <c r="A269" s="276">
        <v>14</v>
      </c>
      <c r="B269" s="305"/>
      <c r="C269" s="305" t="s">
        <v>141</v>
      </c>
      <c r="D269" s="363"/>
      <c r="E269" s="364" t="s">
        <v>142</v>
      </c>
      <c r="F269" s="307">
        <f>+F270</f>
        <v>100000000</v>
      </c>
      <c r="G269" s="308">
        <f>+G270</f>
        <v>0</v>
      </c>
      <c r="H269" s="308">
        <f>+H270</f>
        <v>0</v>
      </c>
      <c r="I269" s="308">
        <f>+G269+H269</f>
        <v>0</v>
      </c>
      <c r="J269" s="308">
        <f>+J270</f>
        <v>0</v>
      </c>
      <c r="K269" s="308">
        <f>+K270</f>
        <v>0</v>
      </c>
      <c r="L269" s="308">
        <f t="shared" si="169"/>
        <v>0</v>
      </c>
      <c r="M269" s="308">
        <f>+I269+L269</f>
        <v>0</v>
      </c>
      <c r="N269" s="307">
        <f>+F269-M269</f>
        <v>100000000</v>
      </c>
      <c r="P269" s="320"/>
      <c r="R269" s="321"/>
      <c r="S269" s="349"/>
      <c r="T269" s="349"/>
      <c r="U269" s="350"/>
    </row>
    <row r="270" spans="1:21" s="329" customFormat="1" ht="16.5" customHeight="1" x14ac:dyDescent="0.25">
      <c r="A270" s="323"/>
      <c r="B270" s="324"/>
      <c r="C270" s="324"/>
      <c r="D270" s="325" t="s">
        <v>207</v>
      </c>
      <c r="E270" s="326" t="s">
        <v>262</v>
      </c>
      <c r="F270" s="327">
        <f>+F271</f>
        <v>100000000</v>
      </c>
      <c r="G270" s="328">
        <f>+G271</f>
        <v>0</v>
      </c>
      <c r="H270" s="328">
        <f t="shared" ref="F270:H272" si="171">+H271</f>
        <v>0</v>
      </c>
      <c r="I270" s="328">
        <f t="shared" ref="I270:I276" si="172">+G270+H270</f>
        <v>0</v>
      </c>
      <c r="J270" s="328">
        <f t="shared" ref="J270:J272" si="173">+J271</f>
        <v>0</v>
      </c>
      <c r="K270" s="328">
        <f>+K271</f>
        <v>0</v>
      </c>
      <c r="L270" s="328">
        <f t="shared" si="169"/>
        <v>0</v>
      </c>
      <c r="M270" s="328">
        <f t="shared" ref="M270:M273" si="174">+I270+L270</f>
        <v>0</v>
      </c>
      <c r="N270" s="327">
        <f>+F270-M270</f>
        <v>100000000</v>
      </c>
      <c r="P270" s="330"/>
      <c r="R270" s="331"/>
      <c r="S270" s="351"/>
      <c r="T270" s="351"/>
      <c r="U270" s="333"/>
    </row>
    <row r="271" spans="1:21" s="339" customFormat="1" ht="16.5" customHeight="1" x14ac:dyDescent="0.25">
      <c r="A271" s="334"/>
      <c r="B271" s="352"/>
      <c r="C271" s="334"/>
      <c r="D271" s="335" t="s">
        <v>63</v>
      </c>
      <c r="E271" s="335" t="s">
        <v>30</v>
      </c>
      <c r="F271" s="337">
        <f>F272</f>
        <v>100000000</v>
      </c>
      <c r="G271" s="344">
        <f>+G272</f>
        <v>0</v>
      </c>
      <c r="H271" s="344">
        <f t="shared" si="171"/>
        <v>0</v>
      </c>
      <c r="I271" s="344">
        <f t="shared" si="172"/>
        <v>0</v>
      </c>
      <c r="J271" s="344">
        <f t="shared" si="173"/>
        <v>0</v>
      </c>
      <c r="K271" s="344">
        <f>+K272</f>
        <v>0</v>
      </c>
      <c r="L271" s="344">
        <f t="shared" si="169"/>
        <v>0</v>
      </c>
      <c r="M271" s="344">
        <f t="shared" si="174"/>
        <v>0</v>
      </c>
      <c r="N271" s="337">
        <f>+F271-M271</f>
        <v>100000000</v>
      </c>
      <c r="P271" s="340"/>
      <c r="S271" s="347"/>
      <c r="T271" s="347"/>
      <c r="U271" s="342"/>
    </row>
    <row r="272" spans="1:21" s="339" customFormat="1" ht="16.5" customHeight="1" x14ac:dyDescent="0.25">
      <c r="A272" s="334"/>
      <c r="B272" s="335"/>
      <c r="C272" s="334"/>
      <c r="D272" s="365" t="s">
        <v>263</v>
      </c>
      <c r="E272" s="335" t="s">
        <v>264</v>
      </c>
      <c r="F272" s="337">
        <f t="shared" si="171"/>
        <v>100000000</v>
      </c>
      <c r="G272" s="344">
        <f>+G273</f>
        <v>0</v>
      </c>
      <c r="H272" s="344">
        <f t="shared" si="171"/>
        <v>0</v>
      </c>
      <c r="I272" s="344">
        <f t="shared" si="172"/>
        <v>0</v>
      </c>
      <c r="J272" s="344">
        <f t="shared" si="173"/>
        <v>0</v>
      </c>
      <c r="K272" s="344">
        <f>+K273</f>
        <v>0</v>
      </c>
      <c r="L272" s="344">
        <f t="shared" si="169"/>
        <v>0</v>
      </c>
      <c r="M272" s="344">
        <f t="shared" si="174"/>
        <v>0</v>
      </c>
      <c r="N272" s="337">
        <f>+F272-M272</f>
        <v>100000000</v>
      </c>
      <c r="P272" s="340"/>
      <c r="S272" s="347"/>
      <c r="T272" s="347"/>
      <c r="U272" s="342"/>
    </row>
    <row r="273" spans="1:21" s="339" customFormat="1" ht="16.5" customHeight="1" x14ac:dyDescent="0.25">
      <c r="A273" s="334"/>
      <c r="B273" s="352"/>
      <c r="C273" s="334"/>
      <c r="D273" s="335" t="s">
        <v>64</v>
      </c>
      <c r="E273" s="335" t="s">
        <v>65</v>
      </c>
      <c r="F273" s="337">
        <f>SUM(F274:F277)</f>
        <v>100000000</v>
      </c>
      <c r="G273" s="344">
        <f>SUM(G274:G277)</f>
        <v>0</v>
      </c>
      <c r="H273" s="344">
        <f>SUM(H274:H277)</f>
        <v>0</v>
      </c>
      <c r="I273" s="344">
        <f>+G273+H273</f>
        <v>0</v>
      </c>
      <c r="J273" s="344">
        <f>SUM(J274:J277)</f>
        <v>0</v>
      </c>
      <c r="K273" s="344">
        <f>SUM(K274:K277)</f>
        <v>0</v>
      </c>
      <c r="L273" s="344">
        <f>+J273+K273</f>
        <v>0</v>
      </c>
      <c r="M273" s="344">
        <f t="shared" si="174"/>
        <v>0</v>
      </c>
      <c r="N273" s="337">
        <f>+F273-M273</f>
        <v>100000000</v>
      </c>
      <c r="P273" s="340"/>
      <c r="S273" s="347"/>
      <c r="T273" s="347"/>
      <c r="U273" s="342"/>
    </row>
    <row r="274" spans="1:21" s="339" customFormat="1" ht="16.5" customHeight="1" x14ac:dyDescent="0.25">
      <c r="A274" s="334"/>
      <c r="B274" s="352"/>
      <c r="C274" s="334"/>
      <c r="D274" s="335" t="s">
        <v>66</v>
      </c>
      <c r="E274" s="335" t="s">
        <v>67</v>
      </c>
      <c r="F274" s="337">
        <v>57982150</v>
      </c>
      <c r="G274" s="344"/>
      <c r="H274" s="344"/>
      <c r="I274" s="344">
        <f t="shared" si="172"/>
        <v>0</v>
      </c>
      <c r="J274" s="344"/>
      <c r="K274" s="344"/>
      <c r="L274" s="344">
        <f>+J274+K274</f>
        <v>0</v>
      </c>
      <c r="M274" s="344">
        <f>+I274+L274</f>
        <v>0</v>
      </c>
      <c r="N274" s="337">
        <f t="shared" ref="N274:N277" si="175">+F274-M274</f>
        <v>57982150</v>
      </c>
      <c r="P274" s="340"/>
      <c r="S274" s="347"/>
      <c r="T274" s="347"/>
      <c r="U274" s="342"/>
    </row>
    <row r="275" spans="1:21" s="339" customFormat="1" ht="18" customHeight="1" x14ac:dyDescent="0.25">
      <c r="A275" s="334"/>
      <c r="B275" s="352"/>
      <c r="C275" s="334"/>
      <c r="D275" s="335" t="s">
        <v>337</v>
      </c>
      <c r="E275" s="335" t="s">
        <v>338</v>
      </c>
      <c r="F275" s="337">
        <v>29743300</v>
      </c>
      <c r="G275" s="344"/>
      <c r="H275" s="344"/>
      <c r="I275" s="344">
        <f t="shared" si="172"/>
        <v>0</v>
      </c>
      <c r="J275" s="344"/>
      <c r="K275" s="344"/>
      <c r="L275" s="344"/>
      <c r="M275" s="344">
        <f t="shared" ref="M275:M276" si="176">+I275+L275</f>
        <v>0</v>
      </c>
      <c r="N275" s="337">
        <f t="shared" si="175"/>
        <v>29743300</v>
      </c>
      <c r="P275" s="340"/>
      <c r="S275" s="347"/>
      <c r="T275" s="347"/>
      <c r="U275" s="342"/>
    </row>
    <row r="276" spans="1:21" s="339" customFormat="1" ht="18" customHeight="1" x14ac:dyDescent="0.25">
      <c r="A276" s="334"/>
      <c r="B276" s="352"/>
      <c r="C276" s="334"/>
      <c r="D276" s="335" t="s">
        <v>339</v>
      </c>
      <c r="E276" s="335" t="s">
        <v>340</v>
      </c>
      <c r="F276" s="337">
        <v>8842500</v>
      </c>
      <c r="G276" s="344"/>
      <c r="H276" s="344"/>
      <c r="I276" s="344">
        <f t="shared" si="172"/>
        <v>0</v>
      </c>
      <c r="J276" s="344"/>
      <c r="K276" s="344"/>
      <c r="L276" s="344"/>
      <c r="M276" s="344">
        <f t="shared" si="176"/>
        <v>0</v>
      </c>
      <c r="N276" s="337">
        <f t="shared" si="175"/>
        <v>8842500</v>
      </c>
      <c r="P276" s="340"/>
      <c r="S276" s="347"/>
      <c r="T276" s="347"/>
      <c r="U276" s="342"/>
    </row>
    <row r="277" spans="1:21" s="153" customFormat="1" ht="18" customHeight="1" x14ac:dyDescent="0.25">
      <c r="A277" s="353"/>
      <c r="B277" s="387"/>
      <c r="C277" s="353"/>
      <c r="D277" s="355" t="s">
        <v>361</v>
      </c>
      <c r="E277" s="355" t="s">
        <v>362</v>
      </c>
      <c r="F277" s="356">
        <v>3432050</v>
      </c>
      <c r="G277" s="357"/>
      <c r="H277" s="357"/>
      <c r="I277" s="357">
        <f>+G277+H277</f>
        <v>0</v>
      </c>
      <c r="J277" s="357"/>
      <c r="K277" s="357"/>
      <c r="L277" s="357">
        <f>+J277+K277</f>
        <v>0</v>
      </c>
      <c r="M277" s="357">
        <f>+I277+L277</f>
        <v>0</v>
      </c>
      <c r="N277" s="356">
        <f t="shared" si="175"/>
        <v>3432050</v>
      </c>
      <c r="P277" s="200"/>
      <c r="S277" s="221"/>
      <c r="T277" s="221"/>
      <c r="U277" s="254"/>
    </row>
    <row r="278" spans="1:21" s="319" customFormat="1" ht="18" customHeight="1" x14ac:dyDescent="0.25">
      <c r="A278" s="275">
        <v>15</v>
      </c>
      <c r="B278" s="305"/>
      <c r="C278" s="305" t="s">
        <v>363</v>
      </c>
      <c r="D278" s="363"/>
      <c r="E278" s="364" t="s">
        <v>364</v>
      </c>
      <c r="F278" s="307">
        <f t="shared" ref="F278:H279" si="177">+F279</f>
        <v>1060812675</v>
      </c>
      <c r="G278" s="308">
        <f t="shared" si="177"/>
        <v>0</v>
      </c>
      <c r="H278" s="308">
        <f t="shared" si="177"/>
        <v>0</v>
      </c>
      <c r="I278" s="308">
        <f>+G278+H278</f>
        <v>0</v>
      </c>
      <c r="J278" s="308">
        <f>+J279</f>
        <v>72760000</v>
      </c>
      <c r="K278" s="308">
        <f>+K279</f>
        <v>83960000</v>
      </c>
      <c r="L278" s="308">
        <f>+J278+K278</f>
        <v>156720000</v>
      </c>
      <c r="M278" s="308">
        <f>+I278+L278</f>
        <v>156720000</v>
      </c>
      <c r="N278" s="307">
        <f>+F278-M278</f>
        <v>904092675</v>
      </c>
      <c r="P278" s="320"/>
      <c r="R278" s="321"/>
      <c r="S278" s="349"/>
      <c r="T278" s="349"/>
      <c r="U278" s="350"/>
    </row>
    <row r="279" spans="1:21" s="329" customFormat="1" ht="18" customHeight="1" x14ac:dyDescent="0.25">
      <c r="A279" s="323"/>
      <c r="B279" s="324"/>
      <c r="C279" s="324"/>
      <c r="D279" s="325" t="s">
        <v>207</v>
      </c>
      <c r="E279" s="326" t="s">
        <v>262</v>
      </c>
      <c r="F279" s="327">
        <f t="shared" si="177"/>
        <v>1060812675</v>
      </c>
      <c r="G279" s="328">
        <f t="shared" si="177"/>
        <v>0</v>
      </c>
      <c r="H279" s="328">
        <f t="shared" si="177"/>
        <v>0</v>
      </c>
      <c r="I279" s="328">
        <f t="shared" ref="I279:I283" si="178">+G279+H279</f>
        <v>0</v>
      </c>
      <c r="J279" s="328">
        <f>+J280</f>
        <v>72760000</v>
      </c>
      <c r="K279" s="328">
        <f>+K280</f>
        <v>83960000</v>
      </c>
      <c r="L279" s="328">
        <f t="shared" ref="L279:L281" si="179">+J279+K279</f>
        <v>156720000</v>
      </c>
      <c r="M279" s="328">
        <f t="shared" ref="M279:M282" si="180">+I279+L279</f>
        <v>156720000</v>
      </c>
      <c r="N279" s="327">
        <f>+F279-M279</f>
        <v>904092675</v>
      </c>
      <c r="P279" s="330"/>
      <c r="R279" s="331"/>
      <c r="S279" s="351"/>
      <c r="T279" s="351"/>
      <c r="U279" s="333"/>
    </row>
    <row r="280" spans="1:21" s="339" customFormat="1" ht="18" customHeight="1" x14ac:dyDescent="0.25">
      <c r="A280" s="334"/>
      <c r="B280" s="352"/>
      <c r="C280" s="334"/>
      <c r="D280" s="335" t="s">
        <v>63</v>
      </c>
      <c r="E280" s="335" t="s">
        <v>30</v>
      </c>
      <c r="F280" s="337">
        <f>+F281+F291</f>
        <v>1060812675</v>
      </c>
      <c r="G280" s="344">
        <f>+G281+G291</f>
        <v>0</v>
      </c>
      <c r="H280" s="344">
        <f>+H281+H291</f>
        <v>0</v>
      </c>
      <c r="I280" s="344">
        <f t="shared" si="178"/>
        <v>0</v>
      </c>
      <c r="J280" s="344">
        <f>+J281+J291</f>
        <v>72760000</v>
      </c>
      <c r="K280" s="344">
        <f>+K281+K291</f>
        <v>83960000</v>
      </c>
      <c r="L280" s="344">
        <f t="shared" si="179"/>
        <v>156720000</v>
      </c>
      <c r="M280" s="344">
        <f t="shared" si="180"/>
        <v>156720000</v>
      </c>
      <c r="N280" s="337">
        <f>+F280-M280</f>
        <v>904092675</v>
      </c>
      <c r="P280" s="340"/>
      <c r="S280" s="347"/>
      <c r="T280" s="347"/>
      <c r="U280" s="342"/>
    </row>
    <row r="281" spans="1:21" s="339" customFormat="1" ht="18" customHeight="1" x14ac:dyDescent="0.25">
      <c r="A281" s="334"/>
      <c r="B281" s="335"/>
      <c r="C281" s="334"/>
      <c r="D281" s="365" t="s">
        <v>263</v>
      </c>
      <c r="E281" s="335" t="s">
        <v>264</v>
      </c>
      <c r="F281" s="337">
        <f>+F282</f>
        <v>105412675</v>
      </c>
      <c r="G281" s="344">
        <f t="shared" ref="G281:J281" si="181">+G282</f>
        <v>0</v>
      </c>
      <c r="H281" s="344">
        <f>+H282</f>
        <v>0</v>
      </c>
      <c r="I281" s="344">
        <f t="shared" si="178"/>
        <v>0</v>
      </c>
      <c r="J281" s="344">
        <f t="shared" si="181"/>
        <v>0</v>
      </c>
      <c r="K281" s="344">
        <f>+K282</f>
        <v>0</v>
      </c>
      <c r="L281" s="344">
        <f t="shared" si="179"/>
        <v>0</v>
      </c>
      <c r="M281" s="344">
        <f t="shared" si="180"/>
        <v>0</v>
      </c>
      <c r="N281" s="337">
        <f>+F281-M281</f>
        <v>105412675</v>
      </c>
      <c r="P281" s="340"/>
      <c r="S281" s="347"/>
      <c r="T281" s="347"/>
      <c r="U281" s="342"/>
    </row>
    <row r="282" spans="1:21" s="339" customFormat="1" ht="18" customHeight="1" x14ac:dyDescent="0.25">
      <c r="A282" s="334"/>
      <c r="B282" s="352"/>
      <c r="C282" s="334"/>
      <c r="D282" s="335" t="s">
        <v>64</v>
      </c>
      <c r="E282" s="335" t="s">
        <v>65</v>
      </c>
      <c r="F282" s="337">
        <f>SUM(F283:F290)</f>
        <v>105412675</v>
      </c>
      <c r="G282" s="344">
        <f>SUM(G283:G290)</f>
        <v>0</v>
      </c>
      <c r="H282" s="344">
        <f>SUM(H283:H290)</f>
        <v>0</v>
      </c>
      <c r="I282" s="344">
        <f>+G282+H282</f>
        <v>0</v>
      </c>
      <c r="J282" s="344">
        <f>SUM(J283:J290)</f>
        <v>0</v>
      </c>
      <c r="K282" s="344">
        <f>SUM(K283:K290)</f>
        <v>0</v>
      </c>
      <c r="L282" s="344">
        <f>+J282+K282</f>
        <v>0</v>
      </c>
      <c r="M282" s="344">
        <f t="shared" si="180"/>
        <v>0</v>
      </c>
      <c r="N282" s="337">
        <f>+F282-M282</f>
        <v>105412675</v>
      </c>
      <c r="P282" s="340"/>
      <c r="S282" s="347"/>
      <c r="T282" s="347"/>
      <c r="U282" s="342"/>
    </row>
    <row r="283" spans="1:21" s="339" customFormat="1" ht="18" customHeight="1" x14ac:dyDescent="0.25">
      <c r="A283" s="366"/>
      <c r="C283" s="366"/>
      <c r="D283" s="367" t="s">
        <v>365</v>
      </c>
      <c r="E283" s="367" t="s">
        <v>366</v>
      </c>
      <c r="F283" s="370">
        <v>9228650</v>
      </c>
      <c r="G283" s="371"/>
      <c r="H283" s="371"/>
      <c r="I283" s="371">
        <f t="shared" si="178"/>
        <v>0</v>
      </c>
      <c r="J283" s="371"/>
      <c r="K283" s="371"/>
      <c r="L283" s="371">
        <f>+J283+K283</f>
        <v>0</v>
      </c>
      <c r="M283" s="371">
        <f>+I283+L283</f>
        <v>0</v>
      </c>
      <c r="N283" s="370">
        <f t="shared" ref="N283:N290" si="182">+F283-M283</f>
        <v>9228650</v>
      </c>
      <c r="P283" s="340"/>
      <c r="S283" s="347"/>
      <c r="T283" s="347"/>
      <c r="U283" s="342"/>
    </row>
    <row r="284" spans="1:21" s="339" customFormat="1" ht="18" customHeight="1" x14ac:dyDescent="0.25">
      <c r="A284" s="366"/>
      <c r="C284" s="366"/>
      <c r="D284" s="367" t="s">
        <v>66</v>
      </c>
      <c r="E284" s="367" t="s">
        <v>67</v>
      </c>
      <c r="F284" s="370">
        <v>4831925</v>
      </c>
      <c r="G284" s="371"/>
      <c r="H284" s="371"/>
      <c r="I284" s="371"/>
      <c r="J284" s="371"/>
      <c r="K284" s="371"/>
      <c r="L284" s="371">
        <f t="shared" ref="L284:L296" si="183">+J284+K284</f>
        <v>0</v>
      </c>
      <c r="M284" s="371">
        <f t="shared" ref="M284:M292" si="184">+I284+L284</f>
        <v>0</v>
      </c>
      <c r="N284" s="370">
        <f t="shared" si="182"/>
        <v>4831925</v>
      </c>
      <c r="P284" s="340"/>
      <c r="S284" s="347"/>
      <c r="T284" s="347"/>
      <c r="U284" s="342"/>
    </row>
    <row r="285" spans="1:21" s="339" customFormat="1" ht="18" customHeight="1" x14ac:dyDescent="0.25">
      <c r="A285" s="366"/>
      <c r="C285" s="366"/>
      <c r="D285" s="367" t="s">
        <v>337</v>
      </c>
      <c r="E285" s="367" t="s">
        <v>338</v>
      </c>
      <c r="F285" s="370">
        <v>18985000</v>
      </c>
      <c r="G285" s="371"/>
      <c r="H285" s="371"/>
      <c r="I285" s="371"/>
      <c r="J285" s="371"/>
      <c r="K285" s="371"/>
      <c r="L285" s="371">
        <f t="shared" si="183"/>
        <v>0</v>
      </c>
      <c r="M285" s="371">
        <f t="shared" si="184"/>
        <v>0</v>
      </c>
      <c r="N285" s="370">
        <f t="shared" si="182"/>
        <v>18985000</v>
      </c>
      <c r="P285" s="340"/>
      <c r="S285" s="347"/>
      <c r="T285" s="347"/>
      <c r="U285" s="342"/>
    </row>
    <row r="286" spans="1:21" s="339" customFormat="1" ht="18" customHeight="1" x14ac:dyDescent="0.25">
      <c r="A286" s="366"/>
      <c r="C286" s="366"/>
      <c r="D286" s="367" t="s">
        <v>339</v>
      </c>
      <c r="E286" s="367" t="s">
        <v>340</v>
      </c>
      <c r="F286" s="370">
        <v>2175000</v>
      </c>
      <c r="G286" s="371"/>
      <c r="H286" s="371"/>
      <c r="I286" s="371"/>
      <c r="J286" s="371"/>
      <c r="K286" s="371"/>
      <c r="L286" s="371">
        <f t="shared" si="183"/>
        <v>0</v>
      </c>
      <c r="M286" s="371">
        <f t="shared" si="184"/>
        <v>0</v>
      </c>
      <c r="N286" s="370">
        <f t="shared" si="182"/>
        <v>2175000</v>
      </c>
      <c r="P286" s="340"/>
      <c r="S286" s="347"/>
      <c r="T286" s="347"/>
      <c r="U286" s="342"/>
    </row>
    <row r="287" spans="1:21" s="339" customFormat="1" ht="18" customHeight="1" x14ac:dyDescent="0.25">
      <c r="A287" s="366"/>
      <c r="C287" s="366"/>
      <c r="D287" s="367" t="s">
        <v>367</v>
      </c>
      <c r="E287" s="367" t="s">
        <v>368</v>
      </c>
      <c r="F287" s="370">
        <v>55592100</v>
      </c>
      <c r="G287" s="371"/>
      <c r="H287" s="371"/>
      <c r="I287" s="371">
        <f>+G287+H287</f>
        <v>0</v>
      </c>
      <c r="J287" s="371"/>
      <c r="K287" s="371"/>
      <c r="L287" s="371">
        <f t="shared" si="183"/>
        <v>0</v>
      </c>
      <c r="M287" s="371">
        <f t="shared" si="184"/>
        <v>0</v>
      </c>
      <c r="N287" s="370">
        <f t="shared" si="182"/>
        <v>55592100</v>
      </c>
      <c r="P287" s="340"/>
      <c r="S287" s="347"/>
      <c r="T287" s="347"/>
      <c r="U287" s="342"/>
    </row>
    <row r="288" spans="1:21" s="339" customFormat="1" ht="22.5" customHeight="1" x14ac:dyDescent="0.25">
      <c r="A288" s="366"/>
      <c r="C288" s="366"/>
      <c r="D288" s="367" t="s">
        <v>369</v>
      </c>
      <c r="E288" s="367" t="s">
        <v>370</v>
      </c>
      <c r="F288" s="370">
        <v>7200000</v>
      </c>
      <c r="G288" s="371"/>
      <c r="H288" s="371"/>
      <c r="I288" s="371"/>
      <c r="J288" s="371"/>
      <c r="K288" s="371"/>
      <c r="L288" s="371">
        <f t="shared" si="183"/>
        <v>0</v>
      </c>
      <c r="M288" s="371">
        <f t="shared" si="184"/>
        <v>0</v>
      </c>
      <c r="N288" s="370">
        <f t="shared" si="182"/>
        <v>7200000</v>
      </c>
      <c r="P288" s="340"/>
      <c r="S288" s="347"/>
      <c r="T288" s="347"/>
      <c r="U288" s="342"/>
    </row>
    <row r="289" spans="1:21" s="339" customFormat="1" ht="18" customHeight="1" x14ac:dyDescent="0.25">
      <c r="A289" s="366"/>
      <c r="C289" s="366"/>
      <c r="D289" s="367" t="s">
        <v>70</v>
      </c>
      <c r="E289" s="367" t="s">
        <v>33</v>
      </c>
      <c r="F289" s="370">
        <v>5000000</v>
      </c>
      <c r="G289" s="371"/>
      <c r="H289" s="371"/>
      <c r="I289" s="371"/>
      <c r="J289" s="371"/>
      <c r="K289" s="371"/>
      <c r="L289" s="371">
        <f t="shared" si="183"/>
        <v>0</v>
      </c>
      <c r="M289" s="371">
        <f t="shared" si="184"/>
        <v>0</v>
      </c>
      <c r="N289" s="370">
        <f t="shared" si="182"/>
        <v>5000000</v>
      </c>
      <c r="P289" s="340"/>
      <c r="S289" s="347"/>
      <c r="T289" s="347"/>
      <c r="U289" s="342"/>
    </row>
    <row r="290" spans="1:21" s="339" customFormat="1" ht="18" customHeight="1" x14ac:dyDescent="0.25">
      <c r="A290" s="366"/>
      <c r="C290" s="366"/>
      <c r="D290" s="367" t="s">
        <v>374</v>
      </c>
      <c r="E290" s="367" t="s">
        <v>375</v>
      </c>
      <c r="F290" s="370">
        <v>2400000</v>
      </c>
      <c r="G290" s="371"/>
      <c r="H290" s="371"/>
      <c r="I290" s="371"/>
      <c r="J290" s="371"/>
      <c r="K290" s="371"/>
      <c r="L290" s="371">
        <f t="shared" si="183"/>
        <v>0</v>
      </c>
      <c r="M290" s="371">
        <f t="shared" si="184"/>
        <v>0</v>
      </c>
      <c r="N290" s="370">
        <f t="shared" si="182"/>
        <v>2400000</v>
      </c>
      <c r="P290" s="340"/>
      <c r="S290" s="347"/>
      <c r="T290" s="347"/>
      <c r="U290" s="342"/>
    </row>
    <row r="291" spans="1:21" s="339" customFormat="1" ht="18" customHeight="1" x14ac:dyDescent="0.25">
      <c r="A291" s="334"/>
      <c r="B291" s="335"/>
      <c r="C291" s="334"/>
      <c r="D291" s="365" t="s">
        <v>271</v>
      </c>
      <c r="E291" s="335" t="s">
        <v>272</v>
      </c>
      <c r="F291" s="337">
        <f t="shared" ref="F291:J291" si="185">+F292</f>
        <v>955400000</v>
      </c>
      <c r="G291" s="344">
        <f t="shared" si="185"/>
        <v>0</v>
      </c>
      <c r="H291" s="344">
        <f>+H292</f>
        <v>0</v>
      </c>
      <c r="I291" s="344">
        <f>+G291+H291</f>
        <v>0</v>
      </c>
      <c r="J291" s="344">
        <f t="shared" si="185"/>
        <v>72760000</v>
      </c>
      <c r="K291" s="344">
        <f>+K292</f>
        <v>83960000</v>
      </c>
      <c r="L291" s="344">
        <f t="shared" si="183"/>
        <v>156720000</v>
      </c>
      <c r="M291" s="344">
        <f t="shared" si="184"/>
        <v>156720000</v>
      </c>
      <c r="N291" s="337">
        <f>+F291-M291</f>
        <v>798680000</v>
      </c>
      <c r="P291" s="340"/>
      <c r="S291" s="347"/>
      <c r="T291" s="347"/>
      <c r="U291" s="342"/>
    </row>
    <row r="292" spans="1:21" s="339" customFormat="1" ht="18" customHeight="1" x14ac:dyDescent="0.25">
      <c r="A292" s="334"/>
      <c r="B292" s="352"/>
      <c r="C292" s="334"/>
      <c r="D292" s="335" t="s">
        <v>81</v>
      </c>
      <c r="E292" s="335" t="s">
        <v>31</v>
      </c>
      <c r="F292" s="337">
        <f>SUM(F293:F296)</f>
        <v>955400000</v>
      </c>
      <c r="G292" s="344">
        <f>SUM(G293:G296)</f>
        <v>0</v>
      </c>
      <c r="H292" s="344">
        <f>SUM(H293:H296)</f>
        <v>0</v>
      </c>
      <c r="I292" s="344">
        <f>+G292+H292</f>
        <v>0</v>
      </c>
      <c r="J292" s="344">
        <f>SUM(J293:J296)</f>
        <v>72760000</v>
      </c>
      <c r="K292" s="344">
        <f>SUM(K293:K296)</f>
        <v>83960000</v>
      </c>
      <c r="L292" s="344">
        <f t="shared" si="183"/>
        <v>156720000</v>
      </c>
      <c r="M292" s="344">
        <f t="shared" si="184"/>
        <v>156720000</v>
      </c>
      <c r="N292" s="337">
        <f>+F292-M292</f>
        <v>798680000</v>
      </c>
      <c r="P292" s="340"/>
      <c r="S292" s="347"/>
      <c r="T292" s="347"/>
      <c r="U292" s="342"/>
    </row>
    <row r="293" spans="1:21" s="339" customFormat="1" ht="18" customHeight="1" x14ac:dyDescent="0.25">
      <c r="A293" s="334"/>
      <c r="B293" s="352"/>
      <c r="C293" s="334"/>
      <c r="D293" s="335" t="s">
        <v>100</v>
      </c>
      <c r="E293" s="335" t="s">
        <v>101</v>
      </c>
      <c r="F293" s="337">
        <v>336000000</v>
      </c>
      <c r="G293" s="344"/>
      <c r="H293" s="344"/>
      <c r="I293" s="344">
        <f t="shared" ref="I293:I294" si="186">+G293+H293</f>
        <v>0</v>
      </c>
      <c r="J293" s="344"/>
      <c r="K293" s="344"/>
      <c r="L293" s="344">
        <f t="shared" si="183"/>
        <v>0</v>
      </c>
      <c r="M293" s="344">
        <f>+I293+L293</f>
        <v>0</v>
      </c>
      <c r="N293" s="337">
        <f t="shared" ref="N293:N296" si="187">+F293-M293</f>
        <v>336000000</v>
      </c>
      <c r="P293" s="340"/>
      <c r="S293" s="347"/>
      <c r="T293" s="347"/>
      <c r="U293" s="342"/>
    </row>
    <row r="294" spans="1:21" s="339" customFormat="1" ht="18" customHeight="1" x14ac:dyDescent="0.25">
      <c r="A294" s="334"/>
      <c r="B294" s="352"/>
      <c r="C294" s="334"/>
      <c r="D294" s="335" t="s">
        <v>474</v>
      </c>
      <c r="E294" s="335" t="s">
        <v>475</v>
      </c>
      <c r="F294" s="337">
        <v>350000000</v>
      </c>
      <c r="G294" s="344"/>
      <c r="H294" s="344"/>
      <c r="I294" s="344">
        <f t="shared" si="186"/>
        <v>0</v>
      </c>
      <c r="J294" s="344"/>
      <c r="K294" s="344"/>
      <c r="L294" s="344">
        <f t="shared" si="183"/>
        <v>0</v>
      </c>
      <c r="M294" s="344">
        <f>+I294+L294</f>
        <v>0</v>
      </c>
      <c r="N294" s="337">
        <f t="shared" si="187"/>
        <v>350000000</v>
      </c>
      <c r="P294" s="340"/>
      <c r="S294" s="347"/>
      <c r="T294" s="347"/>
      <c r="U294" s="342"/>
    </row>
    <row r="295" spans="1:21" s="339" customFormat="1" ht="18" customHeight="1" x14ac:dyDescent="0.25">
      <c r="A295" s="334"/>
      <c r="B295" s="352"/>
      <c r="C295" s="334"/>
      <c r="D295" s="335" t="s">
        <v>376</v>
      </c>
      <c r="E295" s="335" t="s">
        <v>377</v>
      </c>
      <c r="F295" s="337">
        <v>268800000</v>
      </c>
      <c r="G295" s="344">
        <v>0</v>
      </c>
      <c r="H295" s="344"/>
      <c r="I295" s="344">
        <f>+G295+H295</f>
        <v>0</v>
      </c>
      <c r="J295" s="344">
        <v>72760000</v>
      </c>
      <c r="K295" s="344">
        <v>83960000</v>
      </c>
      <c r="L295" s="344">
        <f t="shared" si="183"/>
        <v>156720000</v>
      </c>
      <c r="M295" s="344">
        <f>+I295+L295</f>
        <v>156720000</v>
      </c>
      <c r="N295" s="337">
        <f t="shared" si="187"/>
        <v>112080000</v>
      </c>
      <c r="P295" s="340"/>
      <c r="S295" s="346">
        <v>83960000</v>
      </c>
      <c r="T295" s="347"/>
      <c r="U295" s="342"/>
    </row>
    <row r="296" spans="1:21" s="339" customFormat="1" ht="18" customHeight="1" x14ac:dyDescent="0.25">
      <c r="A296" s="334"/>
      <c r="B296" s="352"/>
      <c r="C296" s="334"/>
      <c r="D296" s="335" t="s">
        <v>378</v>
      </c>
      <c r="E296" s="335" t="s">
        <v>379</v>
      </c>
      <c r="F296" s="337">
        <v>600000</v>
      </c>
      <c r="G296" s="344"/>
      <c r="H296" s="344"/>
      <c r="I296" s="344"/>
      <c r="J296" s="344"/>
      <c r="K296" s="344"/>
      <c r="L296" s="344">
        <f t="shared" si="183"/>
        <v>0</v>
      </c>
      <c r="M296" s="344">
        <f>+I296+L296</f>
        <v>0</v>
      </c>
      <c r="N296" s="337">
        <f t="shared" si="187"/>
        <v>600000</v>
      </c>
      <c r="P296" s="340"/>
      <c r="S296" s="347"/>
      <c r="T296" s="347"/>
      <c r="U296" s="342"/>
    </row>
    <row r="297" spans="1:21" s="388" customFormat="1" ht="18" customHeight="1" x14ac:dyDescent="0.25">
      <c r="A297" s="393"/>
      <c r="B297" s="393"/>
      <c r="C297" s="393"/>
      <c r="D297" s="393"/>
      <c r="E297" s="393"/>
      <c r="F297" s="394"/>
      <c r="G297" s="395"/>
      <c r="H297" s="395"/>
      <c r="I297" s="395"/>
      <c r="J297" s="395"/>
      <c r="K297" s="395"/>
      <c r="L297" s="395"/>
      <c r="M297" s="395"/>
      <c r="N297" s="394"/>
      <c r="P297" s="200"/>
      <c r="S297" s="221"/>
      <c r="T297" s="221"/>
      <c r="U297" s="389"/>
    </row>
    <row r="298" spans="1:21" s="319" customFormat="1" ht="21" customHeight="1" x14ac:dyDescent="0.25">
      <c r="A298" s="276"/>
      <c r="B298" s="305" t="s">
        <v>342</v>
      </c>
      <c r="C298" s="305"/>
      <c r="D298" s="305"/>
      <c r="E298" s="396" t="s">
        <v>341</v>
      </c>
      <c r="F298" s="359">
        <f>+F299+F312+F331+F337+F343</f>
        <v>2394721000</v>
      </c>
      <c r="G298" s="360">
        <f>+G299+G312+G331+G337+G343</f>
        <v>0</v>
      </c>
      <c r="H298" s="360">
        <f>+H299+H312+H331+H337+H343</f>
        <v>0</v>
      </c>
      <c r="I298" s="360">
        <f t="shared" ref="I298:I303" si="188">+G298+H298</f>
        <v>0</v>
      </c>
      <c r="J298" s="360">
        <f>+J299+J312+J331+J337+J343</f>
        <v>3000000</v>
      </c>
      <c r="K298" s="360">
        <f>+K299+K312+K331+K337+K343</f>
        <v>80363817</v>
      </c>
      <c r="L298" s="360">
        <f>+J298+K298</f>
        <v>83363817</v>
      </c>
      <c r="M298" s="360">
        <f t="shared" ref="M298" si="189">+I298+L298</f>
        <v>83363817</v>
      </c>
      <c r="N298" s="359">
        <f t="shared" ref="N298" si="190">+F298-M298</f>
        <v>2311357183</v>
      </c>
      <c r="P298" s="361"/>
      <c r="S298" s="362"/>
      <c r="T298" s="362"/>
      <c r="U298" s="350"/>
    </row>
    <row r="299" spans="1:21" s="319" customFormat="1" ht="35.25" customHeight="1" x14ac:dyDescent="0.25">
      <c r="A299" s="275">
        <v>16</v>
      </c>
      <c r="B299" s="314"/>
      <c r="C299" s="314" t="s">
        <v>476</v>
      </c>
      <c r="D299" s="315"/>
      <c r="E299" s="348" t="s">
        <v>477</v>
      </c>
      <c r="F299" s="317">
        <f t="shared" ref="F299:H300" si="191">+F300</f>
        <v>690000000</v>
      </c>
      <c r="G299" s="318">
        <f t="shared" si="191"/>
        <v>0</v>
      </c>
      <c r="H299" s="318">
        <f t="shared" si="191"/>
        <v>0</v>
      </c>
      <c r="I299" s="318">
        <f t="shared" si="188"/>
        <v>0</v>
      </c>
      <c r="J299" s="318">
        <f>+J300</f>
        <v>1400000</v>
      </c>
      <c r="K299" s="318">
        <f>+K300</f>
        <v>42278817</v>
      </c>
      <c r="L299" s="318">
        <f>+J299+K299</f>
        <v>43678817</v>
      </c>
      <c r="M299" s="318">
        <f>+I299+L299</f>
        <v>43678817</v>
      </c>
      <c r="N299" s="317">
        <f>+F299-M299</f>
        <v>646321183</v>
      </c>
      <c r="P299" s="320"/>
      <c r="R299" s="321"/>
      <c r="S299" s="349"/>
      <c r="T299" s="349"/>
      <c r="U299" s="350"/>
    </row>
    <row r="300" spans="1:21" s="329" customFormat="1" ht="18" customHeight="1" x14ac:dyDescent="0.25">
      <c r="A300" s="323"/>
      <c r="B300" s="324"/>
      <c r="C300" s="324"/>
      <c r="D300" s="325" t="s">
        <v>207</v>
      </c>
      <c r="E300" s="326" t="s">
        <v>262</v>
      </c>
      <c r="F300" s="327">
        <f t="shared" si="191"/>
        <v>690000000</v>
      </c>
      <c r="G300" s="328">
        <f t="shared" si="191"/>
        <v>0</v>
      </c>
      <c r="H300" s="328">
        <f t="shared" si="191"/>
        <v>0</v>
      </c>
      <c r="I300" s="328">
        <f t="shared" si="188"/>
        <v>0</v>
      </c>
      <c r="J300" s="328">
        <f>+J301</f>
        <v>1400000</v>
      </c>
      <c r="K300" s="328">
        <f>+K301</f>
        <v>42278817</v>
      </c>
      <c r="L300" s="328">
        <f t="shared" ref="L300:L304" si="192">+J300+K300</f>
        <v>43678817</v>
      </c>
      <c r="M300" s="328">
        <f t="shared" ref="M300:M311" si="193">+I300+L300</f>
        <v>43678817</v>
      </c>
      <c r="N300" s="327">
        <f t="shared" ref="N300:N311" si="194">+F300-M300</f>
        <v>646321183</v>
      </c>
      <c r="P300" s="330"/>
      <c r="R300" s="331"/>
      <c r="S300" s="351"/>
      <c r="T300" s="351"/>
      <c r="U300" s="333"/>
    </row>
    <row r="301" spans="1:21" s="381" customFormat="1" ht="18" customHeight="1" x14ac:dyDescent="0.25">
      <c r="A301" s="384"/>
      <c r="B301" s="397"/>
      <c r="C301" s="384"/>
      <c r="D301" s="335" t="s">
        <v>63</v>
      </c>
      <c r="E301" s="335" t="s">
        <v>30</v>
      </c>
      <c r="F301" s="337">
        <f>+F302+F305+F309</f>
        <v>690000000</v>
      </c>
      <c r="G301" s="344">
        <f>+G302+G305+G309</f>
        <v>0</v>
      </c>
      <c r="H301" s="344">
        <f>+H302+H305+H309</f>
        <v>0</v>
      </c>
      <c r="I301" s="344">
        <f t="shared" si="188"/>
        <v>0</v>
      </c>
      <c r="J301" s="344">
        <f>+J302+J305+J309</f>
        <v>1400000</v>
      </c>
      <c r="K301" s="344">
        <f>+K302+K305+K309</f>
        <v>42278817</v>
      </c>
      <c r="L301" s="344">
        <f t="shared" si="192"/>
        <v>43678817</v>
      </c>
      <c r="M301" s="344">
        <f t="shared" si="193"/>
        <v>43678817</v>
      </c>
      <c r="N301" s="337">
        <f t="shared" si="194"/>
        <v>646321183</v>
      </c>
      <c r="P301" s="340"/>
      <c r="S301" s="347"/>
      <c r="T301" s="347"/>
      <c r="U301" s="382"/>
    </row>
    <row r="302" spans="1:21" s="339" customFormat="1" ht="18" customHeight="1" x14ac:dyDescent="0.25">
      <c r="A302" s="334"/>
      <c r="B302" s="335"/>
      <c r="C302" s="335"/>
      <c r="D302" s="365" t="s">
        <v>263</v>
      </c>
      <c r="E302" s="335" t="s">
        <v>264</v>
      </c>
      <c r="F302" s="337">
        <f>+F303</f>
        <v>435000000</v>
      </c>
      <c r="G302" s="344">
        <f>+G303</f>
        <v>0</v>
      </c>
      <c r="H302" s="344">
        <f>+H303</f>
        <v>0</v>
      </c>
      <c r="I302" s="344">
        <f t="shared" si="188"/>
        <v>0</v>
      </c>
      <c r="J302" s="344">
        <f>+J303</f>
        <v>0</v>
      </c>
      <c r="K302" s="344">
        <f>+K303</f>
        <v>14950117</v>
      </c>
      <c r="L302" s="344">
        <f t="shared" si="192"/>
        <v>14950117</v>
      </c>
      <c r="M302" s="344">
        <f t="shared" si="193"/>
        <v>14950117</v>
      </c>
      <c r="N302" s="337">
        <f t="shared" si="194"/>
        <v>420049883</v>
      </c>
      <c r="P302" s="340"/>
      <c r="S302" s="347"/>
      <c r="T302" s="347"/>
      <c r="U302" s="342"/>
    </row>
    <row r="303" spans="1:21" s="381" customFormat="1" ht="18" customHeight="1" x14ac:dyDescent="0.25">
      <c r="A303" s="384"/>
      <c r="B303" s="397"/>
      <c r="C303" s="384"/>
      <c r="D303" s="335" t="s">
        <v>64</v>
      </c>
      <c r="E303" s="335" t="s">
        <v>65</v>
      </c>
      <c r="F303" s="337">
        <f>F304</f>
        <v>435000000</v>
      </c>
      <c r="G303" s="344">
        <f>+G304</f>
        <v>0</v>
      </c>
      <c r="H303" s="344">
        <f>+H304</f>
        <v>0</v>
      </c>
      <c r="I303" s="344">
        <f t="shared" si="188"/>
        <v>0</v>
      </c>
      <c r="J303" s="344">
        <f>+J304</f>
        <v>0</v>
      </c>
      <c r="K303" s="344">
        <f>+K304</f>
        <v>14950117</v>
      </c>
      <c r="L303" s="344">
        <f t="shared" si="192"/>
        <v>14950117</v>
      </c>
      <c r="M303" s="344">
        <f t="shared" si="193"/>
        <v>14950117</v>
      </c>
      <c r="N303" s="337">
        <f t="shared" si="194"/>
        <v>420049883</v>
      </c>
      <c r="P303" s="340"/>
      <c r="S303" s="347"/>
      <c r="T303" s="347"/>
      <c r="U303" s="382"/>
    </row>
    <row r="304" spans="1:21" s="339" customFormat="1" ht="18" customHeight="1" x14ac:dyDescent="0.25">
      <c r="A304" s="384"/>
      <c r="B304" s="397"/>
      <c r="C304" s="334"/>
      <c r="D304" s="335" t="s">
        <v>129</v>
      </c>
      <c r="E304" s="335" t="s">
        <v>130</v>
      </c>
      <c r="F304" s="337">
        <v>435000000</v>
      </c>
      <c r="G304" s="398"/>
      <c r="H304" s="398"/>
      <c r="I304" s="398"/>
      <c r="J304" s="344"/>
      <c r="K304" s="344">
        <f>255000+150000+175405+550000+5311512+8508200</f>
        <v>14950117</v>
      </c>
      <c r="L304" s="344">
        <f t="shared" si="192"/>
        <v>14950117</v>
      </c>
      <c r="M304" s="344">
        <f t="shared" si="193"/>
        <v>14950117</v>
      </c>
      <c r="N304" s="337">
        <f t="shared" si="194"/>
        <v>420049883</v>
      </c>
      <c r="P304" s="340"/>
      <c r="S304" s="346">
        <f>255000+150000+175405+550000+750000+896000+883200+640000+268800+268800+794800+797800+798800+800800+802800+806400+268800+806400+793600+281600+281600+1100000+955962+554750+268800</f>
        <v>14950117</v>
      </c>
      <c r="T304" s="347"/>
      <c r="U304" s="342"/>
    </row>
    <row r="305" spans="1:21" s="339" customFormat="1" ht="20.25" x14ac:dyDescent="0.25">
      <c r="A305" s="334"/>
      <c r="B305" s="335"/>
      <c r="C305" s="335"/>
      <c r="D305" s="365" t="s">
        <v>271</v>
      </c>
      <c r="E305" s="335" t="s">
        <v>272</v>
      </c>
      <c r="F305" s="337">
        <f>+F306</f>
        <v>79500000</v>
      </c>
      <c r="G305" s="344">
        <f>+G306</f>
        <v>0</v>
      </c>
      <c r="H305" s="344">
        <f>+H306</f>
        <v>0</v>
      </c>
      <c r="I305" s="344">
        <f t="shared" ref="I305:I316" si="195">+G305+H305</f>
        <v>0</v>
      </c>
      <c r="J305" s="344">
        <f>+J306</f>
        <v>1400000</v>
      </c>
      <c r="K305" s="344">
        <f>+K306</f>
        <v>3088700</v>
      </c>
      <c r="L305" s="344">
        <f>+J305+K305</f>
        <v>4488700</v>
      </c>
      <c r="M305" s="344">
        <f t="shared" si="193"/>
        <v>4488700</v>
      </c>
      <c r="N305" s="337">
        <f t="shared" si="194"/>
        <v>75011300</v>
      </c>
      <c r="P305" s="340"/>
      <c r="S305" s="346"/>
      <c r="T305" s="347"/>
      <c r="U305" s="342"/>
    </row>
    <row r="306" spans="1:21" s="381" customFormat="1" ht="18" customHeight="1" x14ac:dyDescent="0.25">
      <c r="A306" s="334"/>
      <c r="B306" s="352"/>
      <c r="C306" s="334"/>
      <c r="D306" s="335" t="s">
        <v>81</v>
      </c>
      <c r="E306" s="335" t="s">
        <v>31</v>
      </c>
      <c r="F306" s="337">
        <f>F308+F307</f>
        <v>79500000</v>
      </c>
      <c r="G306" s="344">
        <f>SUM(G307:G308)</f>
        <v>0</v>
      </c>
      <c r="H306" s="344">
        <f>SUM(H307:H308)</f>
        <v>0</v>
      </c>
      <c r="I306" s="344">
        <f t="shared" si="195"/>
        <v>0</v>
      </c>
      <c r="J306" s="344">
        <f>SUM(J307:J308)</f>
        <v>1400000</v>
      </c>
      <c r="K306" s="344">
        <f>SUM(K307:K308)</f>
        <v>3088700</v>
      </c>
      <c r="L306" s="344">
        <f>+J306+K306</f>
        <v>4488700</v>
      </c>
      <c r="M306" s="344">
        <f t="shared" si="193"/>
        <v>4488700</v>
      </c>
      <c r="N306" s="337">
        <f t="shared" si="194"/>
        <v>75011300</v>
      </c>
      <c r="P306" s="340"/>
      <c r="R306" s="385"/>
      <c r="S306" s="346"/>
      <c r="T306" s="347"/>
      <c r="U306" s="382"/>
    </row>
    <row r="307" spans="1:21" s="381" customFormat="1" ht="18" customHeight="1" x14ac:dyDescent="0.25">
      <c r="A307" s="334"/>
      <c r="B307" s="352"/>
      <c r="C307" s="334"/>
      <c r="D307" s="335" t="s">
        <v>82</v>
      </c>
      <c r="E307" s="335" t="s">
        <v>83</v>
      </c>
      <c r="F307" s="337">
        <v>18000000</v>
      </c>
      <c r="G307" s="344"/>
      <c r="H307" s="344"/>
      <c r="I307" s="344">
        <f t="shared" si="195"/>
        <v>0</v>
      </c>
      <c r="J307" s="344">
        <v>1400000</v>
      </c>
      <c r="K307" s="344">
        <v>1400000</v>
      </c>
      <c r="L307" s="344">
        <f>J307+K307</f>
        <v>2800000</v>
      </c>
      <c r="M307" s="344">
        <f t="shared" si="193"/>
        <v>2800000</v>
      </c>
      <c r="N307" s="337">
        <f t="shared" si="194"/>
        <v>15200000</v>
      </c>
      <c r="P307" s="340"/>
      <c r="S307" s="346">
        <v>1400000</v>
      </c>
      <c r="T307" s="347"/>
      <c r="U307" s="382"/>
    </row>
    <row r="308" spans="1:21" s="381" customFormat="1" ht="18" customHeight="1" x14ac:dyDescent="0.25">
      <c r="A308" s="334"/>
      <c r="B308" s="352"/>
      <c r="C308" s="334"/>
      <c r="D308" s="335" t="s">
        <v>343</v>
      </c>
      <c r="E308" s="335" t="s">
        <v>344</v>
      </c>
      <c r="F308" s="337">
        <v>61500000</v>
      </c>
      <c r="G308" s="344"/>
      <c r="H308" s="344"/>
      <c r="I308" s="344">
        <f t="shared" si="195"/>
        <v>0</v>
      </c>
      <c r="J308" s="344"/>
      <c r="K308" s="344">
        <v>1688700</v>
      </c>
      <c r="L308" s="344">
        <f>J308+K308</f>
        <v>1688700</v>
      </c>
      <c r="M308" s="344">
        <f t="shared" si="193"/>
        <v>1688700</v>
      </c>
      <c r="N308" s="337">
        <f t="shared" si="194"/>
        <v>59811300</v>
      </c>
      <c r="P308" s="340"/>
      <c r="S308" s="346">
        <v>1688700</v>
      </c>
      <c r="T308" s="347"/>
      <c r="U308" s="382"/>
    </row>
    <row r="309" spans="1:21" s="339" customFormat="1" ht="20.25" x14ac:dyDescent="0.25">
      <c r="A309" s="334"/>
      <c r="B309" s="335"/>
      <c r="C309" s="334"/>
      <c r="D309" s="365" t="s">
        <v>275</v>
      </c>
      <c r="E309" s="335" t="s">
        <v>276</v>
      </c>
      <c r="F309" s="337">
        <f>+F310</f>
        <v>175500000</v>
      </c>
      <c r="G309" s="344">
        <f>+G310</f>
        <v>0</v>
      </c>
      <c r="H309" s="344">
        <f>+H310</f>
        <v>0</v>
      </c>
      <c r="I309" s="344">
        <f t="shared" si="195"/>
        <v>0</v>
      </c>
      <c r="J309" s="344">
        <f>+J310</f>
        <v>0</v>
      </c>
      <c r="K309" s="344">
        <f>+K310</f>
        <v>24240000</v>
      </c>
      <c r="L309" s="344">
        <f>+J309+K309</f>
        <v>24240000</v>
      </c>
      <c r="M309" s="344">
        <f t="shared" si="193"/>
        <v>24240000</v>
      </c>
      <c r="N309" s="337">
        <f t="shared" si="194"/>
        <v>151260000</v>
      </c>
      <c r="P309" s="340"/>
      <c r="S309" s="346"/>
      <c r="T309" s="347"/>
      <c r="U309" s="342"/>
    </row>
    <row r="310" spans="1:21" s="381" customFormat="1" ht="18" customHeight="1" x14ac:dyDescent="0.25">
      <c r="A310" s="334"/>
      <c r="B310" s="352"/>
      <c r="C310" s="334"/>
      <c r="D310" s="335" t="s">
        <v>114</v>
      </c>
      <c r="E310" s="335" t="s">
        <v>43</v>
      </c>
      <c r="F310" s="337">
        <f>+F311</f>
        <v>175500000</v>
      </c>
      <c r="G310" s="344">
        <f>SUM(G311)</f>
        <v>0</v>
      </c>
      <c r="H310" s="344">
        <f>SUM(H311)</f>
        <v>0</v>
      </c>
      <c r="I310" s="344">
        <f t="shared" si="195"/>
        <v>0</v>
      </c>
      <c r="J310" s="344">
        <f>SUM(J311)</f>
        <v>0</v>
      </c>
      <c r="K310" s="344">
        <f>SUM(K311)</f>
        <v>24240000</v>
      </c>
      <c r="L310" s="344">
        <f>+J310+K310</f>
        <v>24240000</v>
      </c>
      <c r="M310" s="344">
        <f t="shared" si="193"/>
        <v>24240000</v>
      </c>
      <c r="N310" s="337">
        <f t="shared" si="194"/>
        <v>151260000</v>
      </c>
      <c r="P310" s="340"/>
      <c r="R310" s="385"/>
      <c r="S310" s="346"/>
      <c r="T310" s="347"/>
      <c r="U310" s="382"/>
    </row>
    <row r="311" spans="1:21" s="388" customFormat="1" ht="33.75" customHeight="1" x14ac:dyDescent="0.25">
      <c r="A311" s="372"/>
      <c r="B311" s="153"/>
      <c r="C311" s="372"/>
      <c r="D311" s="373" t="s">
        <v>345</v>
      </c>
      <c r="E311" s="375" t="s">
        <v>346</v>
      </c>
      <c r="F311" s="376">
        <v>175500000</v>
      </c>
      <c r="G311" s="377"/>
      <c r="H311" s="377"/>
      <c r="I311" s="371">
        <f t="shared" si="195"/>
        <v>0</v>
      </c>
      <c r="J311" s="377"/>
      <c r="K311" s="377">
        <f>1760000+1855000+1860000+8215000+2440000+1750000+1440000+2845000+2075000</f>
        <v>24240000</v>
      </c>
      <c r="L311" s="377">
        <f>J311+K311</f>
        <v>24240000</v>
      </c>
      <c r="M311" s="377">
        <f t="shared" si="193"/>
        <v>24240000</v>
      </c>
      <c r="N311" s="376">
        <f t="shared" si="194"/>
        <v>151260000</v>
      </c>
      <c r="P311" s="200"/>
      <c r="S311" s="358">
        <f>740000+740000+740000+840000+860000+860000+440000+680000+715000+1600000+1760000+1855000+1860000+2440000+1750000+1440000+2845000+2075000</f>
        <v>24240000</v>
      </c>
      <c r="T311" s="221"/>
      <c r="U311" s="389"/>
    </row>
    <row r="312" spans="1:21" s="319" customFormat="1" ht="22.5" customHeight="1" x14ac:dyDescent="0.25">
      <c r="A312" s="275">
        <v>17</v>
      </c>
      <c r="B312" s="314"/>
      <c r="C312" s="314" t="s">
        <v>143</v>
      </c>
      <c r="D312" s="315"/>
      <c r="E312" s="348" t="s">
        <v>144</v>
      </c>
      <c r="F312" s="317">
        <f t="shared" ref="F312:H313" si="196">+F313</f>
        <v>1024733000</v>
      </c>
      <c r="G312" s="318">
        <f t="shared" si="196"/>
        <v>0</v>
      </c>
      <c r="H312" s="318">
        <f t="shared" si="196"/>
        <v>0</v>
      </c>
      <c r="I312" s="318">
        <f t="shared" si="195"/>
        <v>0</v>
      </c>
      <c r="J312" s="318">
        <f>+J313</f>
        <v>1600000</v>
      </c>
      <c r="K312" s="318">
        <f>+K313</f>
        <v>38085000</v>
      </c>
      <c r="L312" s="318">
        <f>+J312+K312</f>
        <v>39685000</v>
      </c>
      <c r="M312" s="318">
        <f>+I312+L312</f>
        <v>39685000</v>
      </c>
      <c r="N312" s="317">
        <f>+F312-M312</f>
        <v>985048000</v>
      </c>
      <c r="P312" s="320"/>
      <c r="R312" s="321"/>
      <c r="S312" s="349"/>
      <c r="T312" s="349"/>
      <c r="U312" s="350"/>
    </row>
    <row r="313" spans="1:21" s="329" customFormat="1" ht="18" customHeight="1" x14ac:dyDescent="0.25">
      <c r="A313" s="323"/>
      <c r="B313" s="324"/>
      <c r="C313" s="324"/>
      <c r="D313" s="325" t="s">
        <v>207</v>
      </c>
      <c r="E313" s="326" t="s">
        <v>262</v>
      </c>
      <c r="F313" s="327">
        <f t="shared" si="196"/>
        <v>1024733000</v>
      </c>
      <c r="G313" s="328">
        <f t="shared" si="196"/>
        <v>0</v>
      </c>
      <c r="H313" s="328">
        <f t="shared" si="196"/>
        <v>0</v>
      </c>
      <c r="I313" s="328">
        <f t="shared" si="195"/>
        <v>0</v>
      </c>
      <c r="J313" s="328">
        <f>+J314</f>
        <v>1600000</v>
      </c>
      <c r="K313" s="328">
        <f>+K314</f>
        <v>38085000</v>
      </c>
      <c r="L313" s="328">
        <f>+J313+K313</f>
        <v>39685000</v>
      </c>
      <c r="M313" s="328">
        <f t="shared" ref="M313:M330" si="197">+I313+L313</f>
        <v>39685000</v>
      </c>
      <c r="N313" s="327">
        <f t="shared" ref="N313:N330" si="198">+F313-M313</f>
        <v>985048000</v>
      </c>
      <c r="P313" s="330"/>
      <c r="R313" s="331"/>
      <c r="S313" s="351"/>
      <c r="T313" s="351"/>
      <c r="U313" s="333"/>
    </row>
    <row r="314" spans="1:21" s="381" customFormat="1" ht="18" customHeight="1" x14ac:dyDescent="0.25">
      <c r="A314" s="384"/>
      <c r="B314" s="397"/>
      <c r="C314" s="384"/>
      <c r="D314" s="335" t="s">
        <v>63</v>
      </c>
      <c r="E314" s="335" t="s">
        <v>30</v>
      </c>
      <c r="F314" s="337">
        <f>+F315+F319+F322</f>
        <v>1024733000</v>
      </c>
      <c r="G314" s="344">
        <f>+G315+G319+G322</f>
        <v>0</v>
      </c>
      <c r="H314" s="344">
        <f>+H315+H319+H322</f>
        <v>0</v>
      </c>
      <c r="I314" s="344">
        <f t="shared" si="195"/>
        <v>0</v>
      </c>
      <c r="J314" s="344">
        <f>+J315+J319+J322</f>
        <v>1600000</v>
      </c>
      <c r="K314" s="344">
        <f>+K315+K319+K322</f>
        <v>38085000</v>
      </c>
      <c r="L314" s="344">
        <f>+J314+K314</f>
        <v>39685000</v>
      </c>
      <c r="M314" s="344">
        <f t="shared" si="197"/>
        <v>39685000</v>
      </c>
      <c r="N314" s="337">
        <f t="shared" si="198"/>
        <v>985048000</v>
      </c>
      <c r="P314" s="340"/>
      <c r="S314" s="347"/>
      <c r="T314" s="347"/>
      <c r="U314" s="382"/>
    </row>
    <row r="315" spans="1:21" s="339" customFormat="1" ht="18" customHeight="1" x14ac:dyDescent="0.25">
      <c r="A315" s="334"/>
      <c r="B315" s="335"/>
      <c r="C315" s="335"/>
      <c r="D315" s="365" t="s">
        <v>263</v>
      </c>
      <c r="E315" s="335" t="s">
        <v>264</v>
      </c>
      <c r="F315" s="337">
        <f>+F316</f>
        <v>160643000</v>
      </c>
      <c r="G315" s="344">
        <f>+G316</f>
        <v>0</v>
      </c>
      <c r="H315" s="344">
        <f>+H316</f>
        <v>0</v>
      </c>
      <c r="I315" s="344">
        <f t="shared" si="195"/>
        <v>0</v>
      </c>
      <c r="J315" s="344">
        <f>+J316</f>
        <v>0</v>
      </c>
      <c r="K315" s="344">
        <f>+K316</f>
        <v>11830000</v>
      </c>
      <c r="L315" s="344">
        <f>+J315+K315</f>
        <v>11830000</v>
      </c>
      <c r="M315" s="344">
        <f t="shared" si="197"/>
        <v>11830000</v>
      </c>
      <c r="N315" s="337">
        <f t="shared" si="198"/>
        <v>148813000</v>
      </c>
      <c r="P315" s="340"/>
      <c r="S315" s="347"/>
      <c r="T315" s="347"/>
      <c r="U315" s="342"/>
    </row>
    <row r="316" spans="1:21" s="381" customFormat="1" ht="18" customHeight="1" x14ac:dyDescent="0.25">
      <c r="A316" s="384"/>
      <c r="B316" s="397"/>
      <c r="C316" s="384"/>
      <c r="D316" s="335" t="s">
        <v>64</v>
      </c>
      <c r="E316" s="335" t="s">
        <v>65</v>
      </c>
      <c r="F316" s="337">
        <f>F317+F318</f>
        <v>160643000</v>
      </c>
      <c r="G316" s="344">
        <f>+G317</f>
        <v>0</v>
      </c>
      <c r="H316" s="344">
        <f>+H317</f>
        <v>0</v>
      </c>
      <c r="I316" s="344">
        <f t="shared" si="195"/>
        <v>0</v>
      </c>
      <c r="J316" s="344">
        <f>+J317</f>
        <v>0</v>
      </c>
      <c r="K316" s="344">
        <f>+K317</f>
        <v>11830000</v>
      </c>
      <c r="L316" s="344">
        <f>+J316+K316</f>
        <v>11830000</v>
      </c>
      <c r="M316" s="344">
        <f t="shared" si="197"/>
        <v>11830000</v>
      </c>
      <c r="N316" s="337">
        <f t="shared" si="198"/>
        <v>148813000</v>
      </c>
      <c r="P316" s="340"/>
      <c r="S316" s="347"/>
      <c r="T316" s="347"/>
      <c r="U316" s="382"/>
    </row>
    <row r="317" spans="1:21" s="339" customFormat="1" ht="18" customHeight="1" x14ac:dyDescent="0.25">
      <c r="A317" s="384"/>
      <c r="B317" s="397"/>
      <c r="C317" s="334"/>
      <c r="D317" s="335" t="s">
        <v>339</v>
      </c>
      <c r="E317" s="335" t="s">
        <v>340</v>
      </c>
      <c r="F317" s="337">
        <v>99000000</v>
      </c>
      <c r="G317" s="398"/>
      <c r="H317" s="398"/>
      <c r="I317" s="398"/>
      <c r="J317" s="344"/>
      <c r="K317" s="344">
        <v>11830000</v>
      </c>
      <c r="L317" s="344">
        <f t="shared" ref="L317:L330" si="199">+J317+K317</f>
        <v>11830000</v>
      </c>
      <c r="M317" s="344">
        <f t="shared" si="197"/>
        <v>11830000</v>
      </c>
      <c r="N317" s="337">
        <f t="shared" si="198"/>
        <v>87170000</v>
      </c>
      <c r="P317" s="343"/>
      <c r="S317" s="346">
        <f>900000+940000+810000+930000+970000+950000+750000+840000+960000+950000+940000+990000+900000</f>
        <v>11830000</v>
      </c>
      <c r="T317" s="347"/>
      <c r="U317" s="342"/>
    </row>
    <row r="318" spans="1:21" s="339" customFormat="1" ht="18" customHeight="1" x14ac:dyDescent="0.25">
      <c r="A318" s="384"/>
      <c r="B318" s="397"/>
      <c r="C318" s="334"/>
      <c r="D318" s="335" t="s">
        <v>361</v>
      </c>
      <c r="E318" s="335" t="s">
        <v>362</v>
      </c>
      <c r="F318" s="337">
        <v>61643000</v>
      </c>
      <c r="G318" s="398"/>
      <c r="H318" s="398"/>
      <c r="I318" s="398"/>
      <c r="J318" s="344"/>
      <c r="K318" s="344"/>
      <c r="L318" s="344">
        <f t="shared" si="199"/>
        <v>0</v>
      </c>
      <c r="M318" s="344">
        <f t="shared" si="197"/>
        <v>0</v>
      </c>
      <c r="N318" s="337">
        <f t="shared" si="198"/>
        <v>61643000</v>
      </c>
      <c r="P318" s="343"/>
      <c r="S318" s="346"/>
      <c r="T318" s="347"/>
      <c r="U318" s="342"/>
    </row>
    <row r="319" spans="1:21" s="339" customFormat="1" ht="18" customHeight="1" x14ac:dyDescent="0.25">
      <c r="A319" s="334"/>
      <c r="B319" s="335"/>
      <c r="C319" s="335"/>
      <c r="D319" s="365" t="s">
        <v>271</v>
      </c>
      <c r="E319" s="335" t="s">
        <v>272</v>
      </c>
      <c r="F319" s="337">
        <f>+F320</f>
        <v>36480000</v>
      </c>
      <c r="G319" s="344">
        <f>+G320</f>
        <v>0</v>
      </c>
      <c r="H319" s="344">
        <f>+H320</f>
        <v>0</v>
      </c>
      <c r="I319" s="344">
        <f>+G319+H319</f>
        <v>0</v>
      </c>
      <c r="J319" s="344">
        <f>+J320</f>
        <v>1600000</v>
      </c>
      <c r="K319" s="344">
        <f>+K320</f>
        <v>1600000</v>
      </c>
      <c r="L319" s="344">
        <f t="shared" si="199"/>
        <v>3200000</v>
      </c>
      <c r="M319" s="344">
        <f t="shared" si="197"/>
        <v>3200000</v>
      </c>
      <c r="N319" s="337">
        <f t="shared" si="198"/>
        <v>33280000</v>
      </c>
      <c r="P319" s="343"/>
      <c r="S319" s="346"/>
      <c r="T319" s="347"/>
      <c r="U319" s="342"/>
    </row>
    <row r="320" spans="1:21" s="381" customFormat="1" ht="18" customHeight="1" x14ac:dyDescent="0.25">
      <c r="A320" s="384"/>
      <c r="B320" s="397"/>
      <c r="C320" s="384"/>
      <c r="D320" s="335" t="s">
        <v>81</v>
      </c>
      <c r="E320" s="335" t="s">
        <v>31</v>
      </c>
      <c r="F320" s="337">
        <f>F321</f>
        <v>36480000</v>
      </c>
      <c r="G320" s="344">
        <f>+G321</f>
        <v>0</v>
      </c>
      <c r="H320" s="344">
        <f>+H321</f>
        <v>0</v>
      </c>
      <c r="I320" s="344">
        <f>+G320+H320</f>
        <v>0</v>
      </c>
      <c r="J320" s="344">
        <f>+J321</f>
        <v>1600000</v>
      </c>
      <c r="K320" s="344">
        <f>+K321</f>
        <v>1600000</v>
      </c>
      <c r="L320" s="344">
        <f t="shared" si="199"/>
        <v>3200000</v>
      </c>
      <c r="M320" s="344">
        <f t="shared" si="197"/>
        <v>3200000</v>
      </c>
      <c r="N320" s="337">
        <f t="shared" si="198"/>
        <v>33280000</v>
      </c>
      <c r="P320" s="343"/>
      <c r="S320" s="346"/>
      <c r="T320" s="347"/>
      <c r="U320" s="382"/>
    </row>
    <row r="321" spans="1:21" s="339" customFormat="1" ht="18" customHeight="1" x14ac:dyDescent="0.25">
      <c r="A321" s="384"/>
      <c r="B321" s="397"/>
      <c r="C321" s="334"/>
      <c r="D321" s="335" t="s">
        <v>82</v>
      </c>
      <c r="E321" s="335" t="s">
        <v>83</v>
      </c>
      <c r="F321" s="337">
        <v>36480000</v>
      </c>
      <c r="G321" s="398"/>
      <c r="H321" s="344"/>
      <c r="I321" s="398"/>
      <c r="J321" s="344">
        <v>1600000</v>
      </c>
      <c r="K321" s="344">
        <v>1600000</v>
      </c>
      <c r="L321" s="344">
        <f t="shared" si="199"/>
        <v>3200000</v>
      </c>
      <c r="M321" s="344">
        <f t="shared" si="197"/>
        <v>3200000</v>
      </c>
      <c r="N321" s="337">
        <f t="shared" si="198"/>
        <v>33280000</v>
      </c>
      <c r="P321" s="343"/>
      <c r="S321" s="346">
        <v>1600000</v>
      </c>
      <c r="T321" s="347"/>
      <c r="U321" s="342"/>
    </row>
    <row r="322" spans="1:21" s="339" customFormat="1" ht="18" customHeight="1" x14ac:dyDescent="0.25">
      <c r="A322" s="334"/>
      <c r="B322" s="335"/>
      <c r="C322" s="335"/>
      <c r="D322" s="365" t="s">
        <v>275</v>
      </c>
      <c r="E322" s="335" t="s">
        <v>276</v>
      </c>
      <c r="F322" s="337">
        <f>+F323</f>
        <v>827610000</v>
      </c>
      <c r="G322" s="344">
        <f>+G323</f>
        <v>0</v>
      </c>
      <c r="H322" s="344">
        <f>+H323</f>
        <v>0</v>
      </c>
      <c r="I322" s="344">
        <f>+G322+H322</f>
        <v>0</v>
      </c>
      <c r="J322" s="344">
        <f>+J323</f>
        <v>0</v>
      </c>
      <c r="K322" s="344">
        <f>+K323</f>
        <v>24655000</v>
      </c>
      <c r="L322" s="344">
        <f>+J322+K322</f>
        <v>24655000</v>
      </c>
      <c r="M322" s="344">
        <f t="shared" si="197"/>
        <v>24655000</v>
      </c>
      <c r="N322" s="337">
        <f t="shared" si="198"/>
        <v>802955000</v>
      </c>
      <c r="P322" s="343"/>
      <c r="S322" s="347"/>
      <c r="T322" s="347"/>
      <c r="U322" s="342"/>
    </row>
    <row r="323" spans="1:21" s="381" customFormat="1" ht="18" customHeight="1" x14ac:dyDescent="0.25">
      <c r="A323" s="384"/>
      <c r="B323" s="397"/>
      <c r="C323" s="384"/>
      <c r="D323" s="335" t="s">
        <v>114</v>
      </c>
      <c r="E323" s="335" t="s">
        <v>43</v>
      </c>
      <c r="F323" s="337">
        <f>SUM(F324:F330)</f>
        <v>827610000</v>
      </c>
      <c r="G323" s="344">
        <f>SUM(G325:G330)</f>
        <v>0</v>
      </c>
      <c r="H323" s="344">
        <f>SUM(H325:H330)</f>
        <v>0</v>
      </c>
      <c r="I323" s="344">
        <f>+G323+H323</f>
        <v>0</v>
      </c>
      <c r="J323" s="344">
        <f>SUM(J325:J330)</f>
        <v>0</v>
      </c>
      <c r="K323" s="344">
        <f>SUM(K325:K330)</f>
        <v>24655000</v>
      </c>
      <c r="L323" s="344">
        <f>+J323+K323</f>
        <v>24655000</v>
      </c>
      <c r="M323" s="344">
        <f t="shared" si="197"/>
        <v>24655000</v>
      </c>
      <c r="N323" s="337">
        <f t="shared" si="198"/>
        <v>802955000</v>
      </c>
      <c r="P323" s="343"/>
      <c r="S323" s="347"/>
      <c r="T323" s="347"/>
      <c r="U323" s="382"/>
    </row>
    <row r="324" spans="1:21" s="339" customFormat="1" ht="35.25" customHeight="1" x14ac:dyDescent="0.25">
      <c r="A324" s="399"/>
      <c r="B324" s="381"/>
      <c r="C324" s="366"/>
      <c r="D324" s="367" t="s">
        <v>478</v>
      </c>
      <c r="E324" s="369" t="s">
        <v>479</v>
      </c>
      <c r="F324" s="370">
        <v>31700000</v>
      </c>
      <c r="G324" s="400"/>
      <c r="H324" s="400"/>
      <c r="I324" s="400"/>
      <c r="J324" s="371"/>
      <c r="K324" s="371"/>
      <c r="L324" s="371">
        <f t="shared" ref="L324" si="200">+J324+K324</f>
        <v>0</v>
      </c>
      <c r="M324" s="371">
        <f t="shared" si="197"/>
        <v>0</v>
      </c>
      <c r="N324" s="370">
        <f t="shared" si="198"/>
        <v>31700000</v>
      </c>
      <c r="P324" s="343"/>
      <c r="S324" s="347"/>
      <c r="T324" s="347"/>
      <c r="U324" s="342"/>
    </row>
    <row r="325" spans="1:21" s="339" customFormat="1" ht="35.25" customHeight="1" x14ac:dyDescent="0.25">
      <c r="A325" s="399"/>
      <c r="B325" s="381"/>
      <c r="C325" s="366"/>
      <c r="D325" s="367" t="s">
        <v>347</v>
      </c>
      <c r="E325" s="369" t="s">
        <v>348</v>
      </c>
      <c r="F325" s="370">
        <v>8500000</v>
      </c>
      <c r="G325" s="400"/>
      <c r="H325" s="400"/>
      <c r="I325" s="400"/>
      <c r="J325" s="371"/>
      <c r="K325" s="371"/>
      <c r="L325" s="371">
        <f t="shared" si="199"/>
        <v>0</v>
      </c>
      <c r="M325" s="371">
        <f t="shared" si="197"/>
        <v>0</v>
      </c>
      <c r="N325" s="370">
        <f t="shared" si="198"/>
        <v>8500000</v>
      </c>
      <c r="P325" s="343"/>
      <c r="S325" s="347"/>
      <c r="T325" s="347"/>
      <c r="U325" s="342"/>
    </row>
    <row r="326" spans="1:21" s="339" customFormat="1" ht="35.25" customHeight="1" x14ac:dyDescent="0.25">
      <c r="A326" s="399"/>
      <c r="B326" s="381"/>
      <c r="C326" s="367"/>
      <c r="D326" s="367" t="s">
        <v>349</v>
      </c>
      <c r="E326" s="369" t="s">
        <v>350</v>
      </c>
      <c r="F326" s="370">
        <v>99960000</v>
      </c>
      <c r="G326" s="400"/>
      <c r="H326" s="400"/>
      <c r="I326" s="400"/>
      <c r="J326" s="371"/>
      <c r="K326" s="371">
        <f>149000+306000+13515000</f>
        <v>13970000</v>
      </c>
      <c r="L326" s="371">
        <f t="shared" si="199"/>
        <v>13970000</v>
      </c>
      <c r="M326" s="371">
        <f t="shared" si="197"/>
        <v>13970000</v>
      </c>
      <c r="N326" s="370">
        <f>+F326-M326</f>
        <v>85990000</v>
      </c>
      <c r="P326" s="343"/>
      <c r="S326" s="346">
        <f>55000+165000+130000+1000000+450000+900000+200000+950000+850000+1700000+315000+1000000+4920000+880000+149000+306000</f>
        <v>13970000</v>
      </c>
      <c r="T326" s="347"/>
      <c r="U326" s="342"/>
    </row>
    <row r="327" spans="1:21" s="339" customFormat="1" ht="35.25" customHeight="1" x14ac:dyDescent="0.25">
      <c r="A327" s="399"/>
      <c r="B327" s="381"/>
      <c r="C327" s="367"/>
      <c r="D327" s="367" t="s">
        <v>145</v>
      </c>
      <c r="E327" s="369" t="s">
        <v>351</v>
      </c>
      <c r="F327" s="370">
        <v>73200000</v>
      </c>
      <c r="G327" s="400"/>
      <c r="H327" s="400"/>
      <c r="I327" s="400"/>
      <c r="J327" s="371"/>
      <c r="K327" s="371">
        <f>675000+775000+6525000</f>
        <v>7975000</v>
      </c>
      <c r="L327" s="371">
        <f t="shared" si="199"/>
        <v>7975000</v>
      </c>
      <c r="M327" s="371">
        <f t="shared" si="197"/>
        <v>7975000</v>
      </c>
      <c r="N327" s="370">
        <f>+F327-M327</f>
        <v>65225000</v>
      </c>
      <c r="P327" s="343"/>
      <c r="S327" s="346">
        <f>900000+975000+650000+575000+1800000+900000+725000+675000+775000</f>
        <v>7975000</v>
      </c>
      <c r="T327" s="347"/>
      <c r="U327" s="342"/>
    </row>
    <row r="328" spans="1:21" s="339" customFormat="1" ht="26.25" customHeight="1" x14ac:dyDescent="0.25">
      <c r="A328" s="399"/>
      <c r="B328" s="381"/>
      <c r="C328" s="367"/>
      <c r="D328" s="367" t="s">
        <v>115</v>
      </c>
      <c r="E328" s="369" t="s">
        <v>116</v>
      </c>
      <c r="F328" s="370">
        <v>109500000</v>
      </c>
      <c r="G328" s="400"/>
      <c r="H328" s="400"/>
      <c r="I328" s="400"/>
      <c r="J328" s="371"/>
      <c r="K328" s="371">
        <f>230000+140000+550000</f>
        <v>920000</v>
      </c>
      <c r="L328" s="371">
        <f t="shared" si="199"/>
        <v>920000</v>
      </c>
      <c r="M328" s="371">
        <f t="shared" si="197"/>
        <v>920000</v>
      </c>
      <c r="N328" s="370">
        <f>+F328-M328</f>
        <v>108580000</v>
      </c>
      <c r="P328" s="340"/>
      <c r="S328" s="346">
        <f>230000+140000+550000</f>
        <v>920000</v>
      </c>
      <c r="T328" s="347"/>
      <c r="U328" s="342"/>
    </row>
    <row r="329" spans="1:21" s="339" customFormat="1" ht="33.75" customHeight="1" x14ac:dyDescent="0.25">
      <c r="A329" s="399"/>
      <c r="B329" s="381"/>
      <c r="C329" s="367"/>
      <c r="D329" s="367" t="s">
        <v>352</v>
      </c>
      <c r="E329" s="369" t="s">
        <v>353</v>
      </c>
      <c r="F329" s="370">
        <v>108500000</v>
      </c>
      <c r="G329" s="400"/>
      <c r="H329" s="400"/>
      <c r="I329" s="400"/>
      <c r="J329" s="371"/>
      <c r="K329" s="371">
        <f>850000+940000</f>
        <v>1790000</v>
      </c>
      <c r="L329" s="371">
        <f t="shared" si="199"/>
        <v>1790000</v>
      </c>
      <c r="M329" s="371">
        <f t="shared" si="197"/>
        <v>1790000</v>
      </c>
      <c r="N329" s="370">
        <f t="shared" si="198"/>
        <v>106710000</v>
      </c>
      <c r="P329" s="340"/>
      <c r="S329" s="346">
        <f>850000+940000</f>
        <v>1790000</v>
      </c>
      <c r="T329" s="347"/>
      <c r="U329" s="342"/>
    </row>
    <row r="330" spans="1:21" s="153" customFormat="1" ht="18" customHeight="1" x14ac:dyDescent="0.25">
      <c r="A330" s="393"/>
      <c r="B330" s="401"/>
      <c r="C330" s="355"/>
      <c r="D330" s="355" t="s">
        <v>354</v>
      </c>
      <c r="E330" s="402" t="s">
        <v>355</v>
      </c>
      <c r="F330" s="356">
        <v>396250000</v>
      </c>
      <c r="G330" s="357"/>
      <c r="H330" s="357"/>
      <c r="I330" s="357">
        <f t="shared" ref="I330:I347" si="201">+G330+H330</f>
        <v>0</v>
      </c>
      <c r="J330" s="357"/>
      <c r="K330" s="357"/>
      <c r="L330" s="357">
        <f t="shared" si="199"/>
        <v>0</v>
      </c>
      <c r="M330" s="357">
        <f t="shared" si="197"/>
        <v>0</v>
      </c>
      <c r="N330" s="356">
        <f t="shared" si="198"/>
        <v>396250000</v>
      </c>
      <c r="P330" s="200"/>
      <c r="S330" s="221"/>
      <c r="T330" s="358"/>
      <c r="U330" s="254"/>
    </row>
    <row r="331" spans="1:21" s="319" customFormat="1" ht="22.5" customHeight="1" x14ac:dyDescent="0.25">
      <c r="A331" s="275">
        <v>18</v>
      </c>
      <c r="B331" s="314"/>
      <c r="C331" s="314" t="s">
        <v>146</v>
      </c>
      <c r="D331" s="315"/>
      <c r="E331" s="348" t="s">
        <v>356</v>
      </c>
      <c r="F331" s="317">
        <f t="shared" ref="F331:H334" si="202">+F332</f>
        <v>399988000</v>
      </c>
      <c r="G331" s="318">
        <f t="shared" si="202"/>
        <v>0</v>
      </c>
      <c r="H331" s="318">
        <f t="shared" si="202"/>
        <v>0</v>
      </c>
      <c r="I331" s="318">
        <f t="shared" si="201"/>
        <v>0</v>
      </c>
      <c r="J331" s="318">
        <f t="shared" ref="J331:K335" si="203">+J332</f>
        <v>0</v>
      </c>
      <c r="K331" s="318">
        <f t="shared" si="203"/>
        <v>0</v>
      </c>
      <c r="L331" s="318">
        <f>+J331+K331</f>
        <v>0</v>
      </c>
      <c r="M331" s="318">
        <f>+I331+L331</f>
        <v>0</v>
      </c>
      <c r="N331" s="317">
        <f>+F331-M331</f>
        <v>399988000</v>
      </c>
      <c r="P331" s="320"/>
      <c r="R331" s="321"/>
      <c r="S331" s="349"/>
      <c r="T331" s="349"/>
      <c r="U331" s="350"/>
    </row>
    <row r="332" spans="1:21" s="329" customFormat="1" ht="18" customHeight="1" x14ac:dyDescent="0.25">
      <c r="A332" s="323"/>
      <c r="B332" s="324"/>
      <c r="C332" s="324"/>
      <c r="D332" s="325" t="s">
        <v>207</v>
      </c>
      <c r="E332" s="326" t="s">
        <v>262</v>
      </c>
      <c r="F332" s="327">
        <f t="shared" si="202"/>
        <v>399988000</v>
      </c>
      <c r="G332" s="328">
        <f t="shared" si="202"/>
        <v>0</v>
      </c>
      <c r="H332" s="328">
        <f t="shared" si="202"/>
        <v>0</v>
      </c>
      <c r="I332" s="328">
        <f t="shared" si="201"/>
        <v>0</v>
      </c>
      <c r="J332" s="328">
        <f t="shared" si="203"/>
        <v>0</v>
      </c>
      <c r="K332" s="328">
        <f t="shared" si="203"/>
        <v>0</v>
      </c>
      <c r="L332" s="328">
        <f>+J332+K332</f>
        <v>0</v>
      </c>
      <c r="M332" s="328">
        <f t="shared" ref="M332:M336" si="204">+I332+L332</f>
        <v>0</v>
      </c>
      <c r="N332" s="327">
        <f>+F332-M332</f>
        <v>399988000</v>
      </c>
      <c r="P332" s="330"/>
      <c r="R332" s="331"/>
      <c r="S332" s="351"/>
      <c r="T332" s="351"/>
      <c r="U332" s="333"/>
    </row>
    <row r="333" spans="1:21" s="381" customFormat="1" ht="18" customHeight="1" x14ac:dyDescent="0.25">
      <c r="A333" s="384"/>
      <c r="B333" s="397"/>
      <c r="C333" s="384"/>
      <c r="D333" s="335" t="s">
        <v>63</v>
      </c>
      <c r="E333" s="335" t="s">
        <v>30</v>
      </c>
      <c r="F333" s="337">
        <f t="shared" si="202"/>
        <v>399988000</v>
      </c>
      <c r="G333" s="344">
        <f t="shared" si="202"/>
        <v>0</v>
      </c>
      <c r="H333" s="344">
        <f t="shared" si="202"/>
        <v>0</v>
      </c>
      <c r="I333" s="344">
        <f t="shared" si="201"/>
        <v>0</v>
      </c>
      <c r="J333" s="344">
        <f t="shared" si="203"/>
        <v>0</v>
      </c>
      <c r="K333" s="344">
        <f t="shared" si="203"/>
        <v>0</v>
      </c>
      <c r="L333" s="344">
        <f>+J333+K333</f>
        <v>0</v>
      </c>
      <c r="M333" s="344">
        <f t="shared" si="204"/>
        <v>0</v>
      </c>
      <c r="N333" s="337">
        <f t="shared" ref="N333:N336" si="205">+F333-M333</f>
        <v>399988000</v>
      </c>
      <c r="P333" s="340"/>
      <c r="S333" s="347"/>
      <c r="T333" s="347"/>
      <c r="U333" s="382"/>
    </row>
    <row r="334" spans="1:21" s="339" customFormat="1" ht="18" customHeight="1" x14ac:dyDescent="0.25">
      <c r="A334" s="334"/>
      <c r="B334" s="335"/>
      <c r="C334" s="335"/>
      <c r="D334" s="365" t="s">
        <v>275</v>
      </c>
      <c r="E334" s="335" t="s">
        <v>276</v>
      </c>
      <c r="F334" s="337">
        <f t="shared" si="202"/>
        <v>399988000</v>
      </c>
      <c r="G334" s="344">
        <f t="shared" si="202"/>
        <v>0</v>
      </c>
      <c r="H334" s="344">
        <f t="shared" si="202"/>
        <v>0</v>
      </c>
      <c r="I334" s="344">
        <f t="shared" si="201"/>
        <v>0</v>
      </c>
      <c r="J334" s="344">
        <f t="shared" si="203"/>
        <v>0</v>
      </c>
      <c r="K334" s="344">
        <f t="shared" si="203"/>
        <v>0</v>
      </c>
      <c r="L334" s="344">
        <f>+J334+K334</f>
        <v>0</v>
      </c>
      <c r="M334" s="344">
        <f t="shared" si="204"/>
        <v>0</v>
      </c>
      <c r="N334" s="337">
        <f t="shared" si="205"/>
        <v>399988000</v>
      </c>
      <c r="P334" s="340"/>
      <c r="S334" s="347"/>
      <c r="T334" s="347"/>
      <c r="U334" s="342"/>
    </row>
    <row r="335" spans="1:21" s="381" customFormat="1" ht="18" customHeight="1" x14ac:dyDescent="0.25">
      <c r="A335" s="384"/>
      <c r="B335" s="397"/>
      <c r="C335" s="384"/>
      <c r="D335" s="335" t="s">
        <v>147</v>
      </c>
      <c r="E335" s="335" t="s">
        <v>35</v>
      </c>
      <c r="F335" s="337">
        <f>F336</f>
        <v>399988000</v>
      </c>
      <c r="G335" s="344">
        <f>+G336</f>
        <v>0</v>
      </c>
      <c r="H335" s="344">
        <f>+H336</f>
        <v>0</v>
      </c>
      <c r="I335" s="344">
        <f t="shared" si="201"/>
        <v>0</v>
      </c>
      <c r="J335" s="344">
        <f t="shared" si="203"/>
        <v>0</v>
      </c>
      <c r="K335" s="344">
        <f t="shared" si="203"/>
        <v>0</v>
      </c>
      <c r="L335" s="344">
        <f>+J335+K335</f>
        <v>0</v>
      </c>
      <c r="M335" s="344">
        <f t="shared" si="204"/>
        <v>0</v>
      </c>
      <c r="N335" s="337">
        <f t="shared" si="205"/>
        <v>399988000</v>
      </c>
      <c r="P335" s="340"/>
      <c r="S335" s="347"/>
      <c r="T335" s="347"/>
      <c r="U335" s="382"/>
    </row>
    <row r="336" spans="1:21" s="153" customFormat="1" ht="33.75" customHeight="1" x14ac:dyDescent="0.25">
      <c r="A336" s="403"/>
      <c r="B336" s="388"/>
      <c r="C336" s="372"/>
      <c r="D336" s="373" t="s">
        <v>148</v>
      </c>
      <c r="E336" s="375" t="s">
        <v>149</v>
      </c>
      <c r="F336" s="376">
        <v>399988000</v>
      </c>
      <c r="G336" s="404"/>
      <c r="H336" s="377"/>
      <c r="I336" s="377">
        <f t="shared" si="201"/>
        <v>0</v>
      </c>
      <c r="J336" s="377"/>
      <c r="K336" s="377"/>
      <c r="L336" s="377">
        <f t="shared" ref="L336" si="206">+J336+K336</f>
        <v>0</v>
      </c>
      <c r="M336" s="377">
        <f t="shared" si="204"/>
        <v>0</v>
      </c>
      <c r="N336" s="376">
        <f t="shared" si="205"/>
        <v>399988000</v>
      </c>
      <c r="P336" s="200"/>
      <c r="S336" s="221"/>
      <c r="T336" s="358"/>
      <c r="U336" s="254"/>
    </row>
    <row r="337" spans="1:21" s="319" customFormat="1" ht="34.5" customHeight="1" x14ac:dyDescent="0.25">
      <c r="A337" s="275">
        <v>19</v>
      </c>
      <c r="B337" s="314"/>
      <c r="C337" s="314" t="s">
        <v>151</v>
      </c>
      <c r="D337" s="315"/>
      <c r="E337" s="348" t="s">
        <v>152</v>
      </c>
      <c r="F337" s="317">
        <f t="shared" ref="F337:H340" si="207">+F338</f>
        <v>200000000</v>
      </c>
      <c r="G337" s="318">
        <f t="shared" si="207"/>
        <v>0</v>
      </c>
      <c r="H337" s="318">
        <f t="shared" si="207"/>
        <v>0</v>
      </c>
      <c r="I337" s="318">
        <f t="shared" si="201"/>
        <v>0</v>
      </c>
      <c r="J337" s="318">
        <f t="shared" ref="J337:K341" si="208">+J338</f>
        <v>0</v>
      </c>
      <c r="K337" s="318">
        <f t="shared" si="208"/>
        <v>0</v>
      </c>
      <c r="L337" s="318">
        <f>+J337+K337</f>
        <v>0</v>
      </c>
      <c r="M337" s="318">
        <f>+I337+L337</f>
        <v>0</v>
      </c>
      <c r="N337" s="317">
        <f>+F337-M337</f>
        <v>200000000</v>
      </c>
      <c r="P337" s="320"/>
      <c r="R337" s="321"/>
      <c r="S337" s="349"/>
      <c r="T337" s="349"/>
      <c r="U337" s="350"/>
    </row>
    <row r="338" spans="1:21" s="329" customFormat="1" ht="18" customHeight="1" x14ac:dyDescent="0.25">
      <c r="A338" s="323"/>
      <c r="B338" s="324"/>
      <c r="C338" s="324"/>
      <c r="D338" s="325" t="s">
        <v>207</v>
      </c>
      <c r="E338" s="326" t="s">
        <v>262</v>
      </c>
      <c r="F338" s="327">
        <f t="shared" si="207"/>
        <v>200000000</v>
      </c>
      <c r="G338" s="328">
        <f t="shared" si="207"/>
        <v>0</v>
      </c>
      <c r="H338" s="328">
        <f t="shared" si="207"/>
        <v>0</v>
      </c>
      <c r="I338" s="328">
        <f t="shared" si="201"/>
        <v>0</v>
      </c>
      <c r="J338" s="328">
        <f t="shared" si="208"/>
        <v>0</v>
      </c>
      <c r="K338" s="328">
        <f t="shared" si="208"/>
        <v>0</v>
      </c>
      <c r="L338" s="328">
        <f>+J338+K338</f>
        <v>0</v>
      </c>
      <c r="M338" s="328">
        <f t="shared" ref="M338:M342" si="209">+I338+L338</f>
        <v>0</v>
      </c>
      <c r="N338" s="327">
        <f t="shared" ref="N338:N342" si="210">+F338-M338</f>
        <v>200000000</v>
      </c>
      <c r="P338" s="330"/>
      <c r="R338" s="331"/>
      <c r="S338" s="351"/>
      <c r="T338" s="351"/>
      <c r="U338" s="333"/>
    </row>
    <row r="339" spans="1:21" s="381" customFormat="1" ht="18" customHeight="1" x14ac:dyDescent="0.25">
      <c r="A339" s="384"/>
      <c r="B339" s="397"/>
      <c r="C339" s="384"/>
      <c r="D339" s="335" t="s">
        <v>63</v>
      </c>
      <c r="E339" s="335" t="s">
        <v>30</v>
      </c>
      <c r="F339" s="337">
        <f t="shared" si="207"/>
        <v>200000000</v>
      </c>
      <c r="G339" s="344">
        <f t="shared" si="207"/>
        <v>0</v>
      </c>
      <c r="H339" s="344">
        <f t="shared" si="207"/>
        <v>0</v>
      </c>
      <c r="I339" s="344">
        <f t="shared" si="201"/>
        <v>0</v>
      </c>
      <c r="J339" s="344">
        <f t="shared" si="208"/>
        <v>0</v>
      </c>
      <c r="K339" s="344">
        <f t="shared" si="208"/>
        <v>0</v>
      </c>
      <c r="L339" s="344">
        <f>+J339+K339</f>
        <v>0</v>
      </c>
      <c r="M339" s="344">
        <f t="shared" si="209"/>
        <v>0</v>
      </c>
      <c r="N339" s="337">
        <f t="shared" si="210"/>
        <v>200000000</v>
      </c>
      <c r="P339" s="340"/>
      <c r="S339" s="347"/>
      <c r="T339" s="347"/>
      <c r="U339" s="382"/>
    </row>
    <row r="340" spans="1:21" s="339" customFormat="1" ht="18" customHeight="1" x14ac:dyDescent="0.25">
      <c r="A340" s="334"/>
      <c r="B340" s="335"/>
      <c r="C340" s="335"/>
      <c r="D340" s="365" t="s">
        <v>275</v>
      </c>
      <c r="E340" s="335" t="s">
        <v>276</v>
      </c>
      <c r="F340" s="337">
        <f t="shared" si="207"/>
        <v>200000000</v>
      </c>
      <c r="G340" s="344">
        <f t="shared" si="207"/>
        <v>0</v>
      </c>
      <c r="H340" s="344">
        <f t="shared" si="207"/>
        <v>0</v>
      </c>
      <c r="I340" s="344">
        <f t="shared" si="201"/>
        <v>0</v>
      </c>
      <c r="J340" s="344">
        <f t="shared" si="208"/>
        <v>0</v>
      </c>
      <c r="K340" s="344">
        <f t="shared" si="208"/>
        <v>0</v>
      </c>
      <c r="L340" s="344">
        <f>+J340+K340</f>
        <v>0</v>
      </c>
      <c r="M340" s="344">
        <f t="shared" si="209"/>
        <v>0</v>
      </c>
      <c r="N340" s="337">
        <f t="shared" si="210"/>
        <v>200000000</v>
      </c>
      <c r="P340" s="340"/>
      <c r="S340" s="347"/>
      <c r="T340" s="347"/>
      <c r="U340" s="342"/>
    </row>
    <row r="341" spans="1:21" s="381" customFormat="1" ht="18" customHeight="1" x14ac:dyDescent="0.25">
      <c r="A341" s="384"/>
      <c r="B341" s="397"/>
      <c r="C341" s="384"/>
      <c r="D341" s="335" t="s">
        <v>147</v>
      </c>
      <c r="E341" s="335" t="s">
        <v>35</v>
      </c>
      <c r="F341" s="337">
        <f>F342</f>
        <v>200000000</v>
      </c>
      <c r="G341" s="344">
        <f>+G342</f>
        <v>0</v>
      </c>
      <c r="H341" s="344">
        <f>+H342</f>
        <v>0</v>
      </c>
      <c r="I341" s="344">
        <f t="shared" si="201"/>
        <v>0</v>
      </c>
      <c r="J341" s="344">
        <f t="shared" si="208"/>
        <v>0</v>
      </c>
      <c r="K341" s="344">
        <f t="shared" si="208"/>
        <v>0</v>
      </c>
      <c r="L341" s="344">
        <f>+J341+K341</f>
        <v>0</v>
      </c>
      <c r="M341" s="344">
        <f t="shared" si="209"/>
        <v>0</v>
      </c>
      <c r="N341" s="337">
        <f t="shared" si="210"/>
        <v>200000000</v>
      </c>
      <c r="P341" s="340"/>
      <c r="S341" s="347"/>
      <c r="T341" s="347"/>
      <c r="U341" s="382"/>
    </row>
    <row r="342" spans="1:21" s="153" customFormat="1" ht="33.75" customHeight="1" x14ac:dyDescent="0.25">
      <c r="A342" s="403"/>
      <c r="B342" s="388"/>
      <c r="C342" s="372"/>
      <c r="D342" s="373" t="s">
        <v>148</v>
      </c>
      <c r="E342" s="375" t="s">
        <v>149</v>
      </c>
      <c r="F342" s="376">
        <v>200000000</v>
      </c>
      <c r="G342" s="404"/>
      <c r="H342" s="377"/>
      <c r="I342" s="377">
        <f t="shared" si="201"/>
        <v>0</v>
      </c>
      <c r="J342" s="377"/>
      <c r="K342" s="377"/>
      <c r="L342" s="377">
        <f t="shared" ref="L342" si="211">+J342+K342</f>
        <v>0</v>
      </c>
      <c r="M342" s="377">
        <f t="shared" si="209"/>
        <v>0</v>
      </c>
      <c r="N342" s="376">
        <f t="shared" si="210"/>
        <v>200000000</v>
      </c>
      <c r="P342" s="200"/>
      <c r="S342" s="221"/>
      <c r="T342" s="358"/>
      <c r="U342" s="254"/>
    </row>
    <row r="343" spans="1:21" s="319" customFormat="1" ht="34.5" customHeight="1" x14ac:dyDescent="0.25">
      <c r="A343" s="275">
        <v>20</v>
      </c>
      <c r="B343" s="314"/>
      <c r="C343" s="314" t="s">
        <v>153</v>
      </c>
      <c r="D343" s="315"/>
      <c r="E343" s="348" t="s">
        <v>154</v>
      </c>
      <c r="F343" s="317">
        <f t="shared" ref="F343:H346" si="212">+F344</f>
        <v>80000000</v>
      </c>
      <c r="G343" s="318">
        <f t="shared" si="212"/>
        <v>0</v>
      </c>
      <c r="H343" s="318">
        <f t="shared" si="212"/>
        <v>0</v>
      </c>
      <c r="I343" s="318">
        <f t="shared" si="201"/>
        <v>0</v>
      </c>
      <c r="J343" s="318">
        <f t="shared" ref="J343:K347" si="213">+J344</f>
        <v>0</v>
      </c>
      <c r="K343" s="318">
        <f t="shared" si="213"/>
        <v>0</v>
      </c>
      <c r="L343" s="318">
        <f>+J343+K343</f>
        <v>0</v>
      </c>
      <c r="M343" s="318">
        <f>+I343+L343</f>
        <v>0</v>
      </c>
      <c r="N343" s="317">
        <f>+F343-M343</f>
        <v>80000000</v>
      </c>
      <c r="P343" s="320"/>
      <c r="R343" s="321"/>
      <c r="S343" s="349"/>
      <c r="T343" s="349"/>
      <c r="U343" s="350"/>
    </row>
    <row r="344" spans="1:21" s="329" customFormat="1" ht="18" customHeight="1" x14ac:dyDescent="0.25">
      <c r="A344" s="323"/>
      <c r="B344" s="324"/>
      <c r="C344" s="324"/>
      <c r="D344" s="325" t="s">
        <v>207</v>
      </c>
      <c r="E344" s="326" t="s">
        <v>262</v>
      </c>
      <c r="F344" s="327">
        <f t="shared" si="212"/>
        <v>80000000</v>
      </c>
      <c r="G344" s="328">
        <f t="shared" si="212"/>
        <v>0</v>
      </c>
      <c r="H344" s="328">
        <f t="shared" si="212"/>
        <v>0</v>
      </c>
      <c r="I344" s="328">
        <f t="shared" si="201"/>
        <v>0</v>
      </c>
      <c r="J344" s="328">
        <f t="shared" si="213"/>
        <v>0</v>
      </c>
      <c r="K344" s="328">
        <f t="shared" si="213"/>
        <v>0</v>
      </c>
      <c r="L344" s="328">
        <f>+J344+K344</f>
        <v>0</v>
      </c>
      <c r="M344" s="328">
        <f t="shared" ref="M344:M348" si="214">+I344+L344</f>
        <v>0</v>
      </c>
      <c r="N344" s="327">
        <f t="shared" ref="N344:N348" si="215">+F344-M344</f>
        <v>80000000</v>
      </c>
      <c r="P344" s="330"/>
      <c r="R344" s="331"/>
      <c r="S344" s="351"/>
      <c r="T344" s="351"/>
      <c r="U344" s="333"/>
    </row>
    <row r="345" spans="1:21" s="381" customFormat="1" ht="18" customHeight="1" x14ac:dyDescent="0.25">
      <c r="A345" s="384"/>
      <c r="B345" s="397"/>
      <c r="C345" s="384"/>
      <c r="D345" s="335" t="s">
        <v>63</v>
      </c>
      <c r="E345" s="335" t="s">
        <v>30</v>
      </c>
      <c r="F345" s="337">
        <f t="shared" si="212"/>
        <v>80000000</v>
      </c>
      <c r="G345" s="344">
        <f t="shared" si="212"/>
        <v>0</v>
      </c>
      <c r="H345" s="344">
        <f t="shared" si="212"/>
        <v>0</v>
      </c>
      <c r="I345" s="344">
        <f t="shared" si="201"/>
        <v>0</v>
      </c>
      <c r="J345" s="344">
        <f t="shared" si="213"/>
        <v>0</v>
      </c>
      <c r="K345" s="344">
        <f t="shared" si="213"/>
        <v>0</v>
      </c>
      <c r="L345" s="344">
        <f>+J345+K345</f>
        <v>0</v>
      </c>
      <c r="M345" s="344">
        <f t="shared" si="214"/>
        <v>0</v>
      </c>
      <c r="N345" s="337">
        <f t="shared" si="215"/>
        <v>80000000</v>
      </c>
      <c r="P345" s="340"/>
      <c r="S345" s="347"/>
      <c r="T345" s="347"/>
      <c r="U345" s="382"/>
    </row>
    <row r="346" spans="1:21" s="339" customFormat="1" ht="18" customHeight="1" x14ac:dyDescent="0.25">
      <c r="A346" s="334"/>
      <c r="B346" s="335"/>
      <c r="C346" s="335"/>
      <c r="D346" s="365" t="s">
        <v>275</v>
      </c>
      <c r="E346" s="335" t="s">
        <v>276</v>
      </c>
      <c r="F346" s="337">
        <f t="shared" si="212"/>
        <v>80000000</v>
      </c>
      <c r="G346" s="344">
        <f t="shared" si="212"/>
        <v>0</v>
      </c>
      <c r="H346" s="344">
        <f t="shared" si="212"/>
        <v>0</v>
      </c>
      <c r="I346" s="344">
        <f t="shared" si="201"/>
        <v>0</v>
      </c>
      <c r="J346" s="344">
        <f t="shared" si="213"/>
        <v>0</v>
      </c>
      <c r="K346" s="344">
        <f t="shared" si="213"/>
        <v>0</v>
      </c>
      <c r="L346" s="344">
        <f>+J346+K346</f>
        <v>0</v>
      </c>
      <c r="M346" s="344">
        <f t="shared" si="214"/>
        <v>0</v>
      </c>
      <c r="N346" s="337">
        <f t="shared" si="215"/>
        <v>80000000</v>
      </c>
      <c r="P346" s="340"/>
      <c r="S346" s="347"/>
      <c r="T346" s="347"/>
      <c r="U346" s="342"/>
    </row>
    <row r="347" spans="1:21" s="381" customFormat="1" ht="18" customHeight="1" x14ac:dyDescent="0.25">
      <c r="A347" s="384"/>
      <c r="B347" s="397"/>
      <c r="C347" s="384"/>
      <c r="D347" s="335" t="s">
        <v>114</v>
      </c>
      <c r="E347" s="335" t="s">
        <v>43</v>
      </c>
      <c r="F347" s="337">
        <f>F348</f>
        <v>80000000</v>
      </c>
      <c r="G347" s="344">
        <f>+G348</f>
        <v>0</v>
      </c>
      <c r="H347" s="344">
        <f>+H348</f>
        <v>0</v>
      </c>
      <c r="I347" s="344">
        <f t="shared" si="201"/>
        <v>0</v>
      </c>
      <c r="J347" s="344">
        <f t="shared" si="213"/>
        <v>0</v>
      </c>
      <c r="K347" s="344">
        <f t="shared" si="213"/>
        <v>0</v>
      </c>
      <c r="L347" s="344">
        <f>+J347+K347</f>
        <v>0</v>
      </c>
      <c r="M347" s="344">
        <f t="shared" si="214"/>
        <v>0</v>
      </c>
      <c r="N347" s="337">
        <f t="shared" si="215"/>
        <v>80000000</v>
      </c>
      <c r="P347" s="340"/>
      <c r="S347" s="347"/>
      <c r="T347" s="347"/>
      <c r="U347" s="382"/>
    </row>
    <row r="348" spans="1:21" s="339" customFormat="1" ht="20.25" customHeight="1" x14ac:dyDescent="0.25">
      <c r="A348" s="399"/>
      <c r="B348" s="381"/>
      <c r="C348" s="366"/>
      <c r="D348" s="367" t="s">
        <v>349</v>
      </c>
      <c r="E348" s="369" t="s">
        <v>350</v>
      </c>
      <c r="F348" s="370">
        <v>80000000</v>
      </c>
      <c r="G348" s="400"/>
      <c r="H348" s="400"/>
      <c r="I348" s="400"/>
      <c r="J348" s="371"/>
      <c r="K348" s="371"/>
      <c r="L348" s="371">
        <f t="shared" ref="L348" si="216">+J348+K348</f>
        <v>0</v>
      </c>
      <c r="M348" s="371">
        <f t="shared" si="214"/>
        <v>0</v>
      </c>
      <c r="N348" s="370">
        <f t="shared" si="215"/>
        <v>80000000</v>
      </c>
      <c r="P348" s="340"/>
      <c r="S348" s="347"/>
      <c r="T348" s="347"/>
      <c r="U348" s="342"/>
    </row>
    <row r="349" spans="1:21" s="153" customFormat="1" ht="18" customHeight="1" x14ac:dyDescent="0.25">
      <c r="A349" s="353"/>
      <c r="B349" s="355"/>
      <c r="C349" s="355"/>
      <c r="D349" s="355"/>
      <c r="E349" s="355"/>
      <c r="F349" s="356"/>
      <c r="G349" s="357"/>
      <c r="H349" s="357"/>
      <c r="I349" s="357"/>
      <c r="J349" s="357"/>
      <c r="K349" s="357"/>
      <c r="L349" s="357"/>
      <c r="M349" s="357"/>
      <c r="N349" s="356"/>
      <c r="P349" s="200"/>
      <c r="S349" s="221"/>
      <c r="T349" s="221"/>
      <c r="U349" s="254"/>
    </row>
    <row r="350" spans="1:21" s="319" customFormat="1" ht="18.75" customHeight="1" x14ac:dyDescent="0.25">
      <c r="A350" s="276"/>
      <c r="B350" s="305" t="s">
        <v>410</v>
      </c>
      <c r="C350" s="305"/>
      <c r="D350" s="305"/>
      <c r="E350" s="396" t="s">
        <v>411</v>
      </c>
      <c r="F350" s="359">
        <f>+F351+F357+F369+F375</f>
        <v>352609205400</v>
      </c>
      <c r="G350" s="308">
        <f>G351+G357+G369+G375</f>
        <v>6155127800</v>
      </c>
      <c r="H350" s="308">
        <f>+H351+H357+H369+H375</f>
        <v>6258106200</v>
      </c>
      <c r="I350" s="360">
        <f>+G350+H350</f>
        <v>12413234000</v>
      </c>
      <c r="J350" s="308">
        <f>J351+J357+J369+J375</f>
        <v>0</v>
      </c>
      <c r="K350" s="308">
        <f>+K352</f>
        <v>0</v>
      </c>
      <c r="L350" s="360">
        <f t="shared" ref="L350:L364" si="217">+J350+K350</f>
        <v>0</v>
      </c>
      <c r="M350" s="360">
        <f t="shared" ref="M350:M364" si="218">+I350+L350</f>
        <v>12413234000</v>
      </c>
      <c r="N350" s="359">
        <f t="shared" ref="N350:N355" si="219">+F350-M350</f>
        <v>340195971400</v>
      </c>
      <c r="P350" s="361"/>
      <c r="R350" s="321"/>
      <c r="S350" s="362"/>
      <c r="T350" s="362"/>
      <c r="U350" s="350"/>
    </row>
    <row r="351" spans="1:21" s="319" customFormat="1" ht="32.25" hidden="1" customHeight="1" x14ac:dyDescent="0.25">
      <c r="A351" s="275">
        <v>21</v>
      </c>
      <c r="B351" s="314"/>
      <c r="C351" s="314" t="s">
        <v>280</v>
      </c>
      <c r="D351" s="315"/>
      <c r="E351" s="348" t="s">
        <v>279</v>
      </c>
      <c r="F351" s="317">
        <f t="shared" ref="F351:H355" si="220">+F352</f>
        <v>0</v>
      </c>
      <c r="G351" s="318">
        <f t="shared" si="220"/>
        <v>0</v>
      </c>
      <c r="H351" s="318">
        <f>+H352</f>
        <v>0</v>
      </c>
      <c r="I351" s="318">
        <f>+G351+H351</f>
        <v>0</v>
      </c>
      <c r="J351" s="318">
        <f>+J352</f>
        <v>0</v>
      </c>
      <c r="K351" s="318">
        <f>+K352</f>
        <v>0</v>
      </c>
      <c r="L351" s="318">
        <f t="shared" si="217"/>
        <v>0</v>
      </c>
      <c r="M351" s="318">
        <f>+I351+L351</f>
        <v>0</v>
      </c>
      <c r="N351" s="317">
        <f>+F351-M351</f>
        <v>0</v>
      </c>
      <c r="P351" s="320"/>
      <c r="R351" s="321"/>
      <c r="S351" s="349"/>
      <c r="T351" s="349"/>
      <c r="U351" s="350"/>
    </row>
    <row r="352" spans="1:21" s="329" customFormat="1" ht="18" hidden="1" customHeight="1" x14ac:dyDescent="0.25">
      <c r="A352" s="323"/>
      <c r="B352" s="324"/>
      <c r="C352" s="324"/>
      <c r="D352" s="325" t="s">
        <v>207</v>
      </c>
      <c r="E352" s="326" t="s">
        <v>262</v>
      </c>
      <c r="F352" s="327">
        <f t="shared" si="220"/>
        <v>0</v>
      </c>
      <c r="G352" s="328">
        <f t="shared" si="220"/>
        <v>0</v>
      </c>
      <c r="H352" s="328">
        <f t="shared" si="220"/>
        <v>0</v>
      </c>
      <c r="I352" s="328">
        <f t="shared" ref="I352:I368" si="221">+G352+H352</f>
        <v>0</v>
      </c>
      <c r="J352" s="328">
        <f>+J353</f>
        <v>0</v>
      </c>
      <c r="K352" s="328">
        <f>+K353</f>
        <v>0</v>
      </c>
      <c r="L352" s="328">
        <f t="shared" si="217"/>
        <v>0</v>
      </c>
      <c r="M352" s="328">
        <f t="shared" si="218"/>
        <v>0</v>
      </c>
      <c r="N352" s="327">
        <f t="shared" si="219"/>
        <v>0</v>
      </c>
      <c r="P352" s="330"/>
      <c r="R352" s="331"/>
      <c r="S352" s="351"/>
      <c r="T352" s="351"/>
      <c r="U352" s="333"/>
    </row>
    <row r="353" spans="1:21" s="381" customFormat="1" ht="18" hidden="1" customHeight="1" x14ac:dyDescent="0.25">
      <c r="A353" s="384"/>
      <c r="B353" s="335"/>
      <c r="C353" s="335"/>
      <c r="D353" s="335" t="s">
        <v>281</v>
      </c>
      <c r="E353" s="335" t="s">
        <v>282</v>
      </c>
      <c r="F353" s="337">
        <f t="shared" si="220"/>
        <v>0</v>
      </c>
      <c r="G353" s="338">
        <f t="shared" si="220"/>
        <v>0</v>
      </c>
      <c r="H353" s="338">
        <f t="shared" si="220"/>
        <v>0</v>
      </c>
      <c r="I353" s="338">
        <f>+G353+H353</f>
        <v>0</v>
      </c>
      <c r="J353" s="338">
        <f>+J354+J363</f>
        <v>0</v>
      </c>
      <c r="K353" s="338">
        <f>+K354+K363</f>
        <v>0</v>
      </c>
      <c r="L353" s="338">
        <f t="shared" si="217"/>
        <v>0</v>
      </c>
      <c r="M353" s="338">
        <f>+I353+L353</f>
        <v>0</v>
      </c>
      <c r="N353" s="405">
        <f t="shared" si="219"/>
        <v>0</v>
      </c>
      <c r="P353" s="340"/>
      <c r="S353" s="347"/>
      <c r="T353" s="347"/>
      <c r="U353" s="382"/>
    </row>
    <row r="354" spans="1:21" s="339" customFormat="1" ht="18" hidden="1" customHeight="1" x14ac:dyDescent="0.25">
      <c r="A354" s="334"/>
      <c r="B354" s="335"/>
      <c r="C354" s="335"/>
      <c r="D354" s="335" t="s">
        <v>283</v>
      </c>
      <c r="E354" s="336" t="s">
        <v>284</v>
      </c>
      <c r="F354" s="337">
        <f t="shared" si="220"/>
        <v>0</v>
      </c>
      <c r="G354" s="338">
        <f t="shared" si="220"/>
        <v>0</v>
      </c>
      <c r="H354" s="338">
        <f t="shared" si="220"/>
        <v>0</v>
      </c>
      <c r="I354" s="338">
        <f t="shared" si="221"/>
        <v>0</v>
      </c>
      <c r="J354" s="338">
        <f>+J355</f>
        <v>0</v>
      </c>
      <c r="K354" s="338">
        <f>+K355</f>
        <v>0</v>
      </c>
      <c r="L354" s="338">
        <f t="shared" si="217"/>
        <v>0</v>
      </c>
      <c r="M354" s="338">
        <f t="shared" si="218"/>
        <v>0</v>
      </c>
      <c r="N354" s="337">
        <f t="shared" si="219"/>
        <v>0</v>
      </c>
      <c r="P354" s="340"/>
      <c r="S354" s="347"/>
      <c r="T354" s="347"/>
      <c r="U354" s="342"/>
    </row>
    <row r="355" spans="1:21" s="339" customFormat="1" ht="31.5" hidden="1" customHeight="1" x14ac:dyDescent="0.25">
      <c r="A355" s="334"/>
      <c r="B355" s="335"/>
      <c r="C355" s="335"/>
      <c r="D355" s="335" t="s">
        <v>412</v>
      </c>
      <c r="E355" s="391" t="s">
        <v>413</v>
      </c>
      <c r="F355" s="337">
        <f t="shared" si="220"/>
        <v>0</v>
      </c>
      <c r="G355" s="344">
        <f t="shared" si="220"/>
        <v>0</v>
      </c>
      <c r="H355" s="344">
        <f t="shared" si="220"/>
        <v>0</v>
      </c>
      <c r="I355" s="344">
        <f t="shared" si="221"/>
        <v>0</v>
      </c>
      <c r="J355" s="344">
        <f>+J356</f>
        <v>0</v>
      </c>
      <c r="K355" s="344">
        <f>+K356</f>
        <v>0</v>
      </c>
      <c r="L355" s="344">
        <f t="shared" si="217"/>
        <v>0</v>
      </c>
      <c r="M355" s="344">
        <f t="shared" si="218"/>
        <v>0</v>
      </c>
      <c r="N355" s="337">
        <f t="shared" si="219"/>
        <v>0</v>
      </c>
      <c r="P355" s="340"/>
      <c r="S355" s="347"/>
      <c r="T355" s="347"/>
      <c r="U355" s="342"/>
    </row>
    <row r="356" spans="1:21" s="153" customFormat="1" ht="33.75" hidden="1" customHeight="1" x14ac:dyDescent="0.25">
      <c r="A356" s="353"/>
      <c r="B356" s="355"/>
      <c r="C356" s="355"/>
      <c r="D356" s="355" t="s">
        <v>414</v>
      </c>
      <c r="E356" s="402" t="s">
        <v>413</v>
      </c>
      <c r="F356" s="356"/>
      <c r="G356" s="406"/>
      <c r="H356" s="406"/>
      <c r="I356" s="406">
        <f t="shared" si="221"/>
        <v>0</v>
      </c>
      <c r="J356" s="357"/>
      <c r="K356" s="406"/>
      <c r="L356" s="406">
        <f t="shared" si="217"/>
        <v>0</v>
      </c>
      <c r="M356" s="406">
        <f t="shared" si="218"/>
        <v>0</v>
      </c>
      <c r="N356" s="356">
        <f>+F356-M356</f>
        <v>0</v>
      </c>
      <c r="P356" s="200"/>
      <c r="S356" s="221"/>
      <c r="T356" s="221"/>
      <c r="U356" s="254"/>
    </row>
    <row r="357" spans="1:21" s="319" customFormat="1" ht="18" customHeight="1" x14ac:dyDescent="0.25">
      <c r="A357" s="276">
        <v>21</v>
      </c>
      <c r="B357" s="305"/>
      <c r="C357" s="305" t="s">
        <v>285</v>
      </c>
      <c r="D357" s="363"/>
      <c r="E357" s="364" t="s">
        <v>286</v>
      </c>
      <c r="F357" s="307">
        <f>+F358</f>
        <v>325031788200</v>
      </c>
      <c r="G357" s="308">
        <f t="shared" ref="G357:H358" si="222">+G358</f>
        <v>6155127800</v>
      </c>
      <c r="H357" s="308">
        <f>+H358</f>
        <v>6258106200</v>
      </c>
      <c r="I357" s="308">
        <f t="shared" si="221"/>
        <v>12413234000</v>
      </c>
      <c r="J357" s="308">
        <f t="shared" ref="J357:K358" si="223">+J358</f>
        <v>0</v>
      </c>
      <c r="K357" s="308">
        <f t="shared" si="223"/>
        <v>0</v>
      </c>
      <c r="L357" s="308">
        <f t="shared" si="217"/>
        <v>0</v>
      </c>
      <c r="M357" s="308">
        <f>+I357+L357</f>
        <v>12413234000</v>
      </c>
      <c r="N357" s="307">
        <f>+F357-M357</f>
        <v>312618554200</v>
      </c>
      <c r="P357" s="320"/>
      <c r="R357" s="321"/>
      <c r="S357" s="349"/>
      <c r="T357" s="349"/>
      <c r="U357" s="350"/>
    </row>
    <row r="358" spans="1:21" s="329" customFormat="1" ht="18" customHeight="1" x14ac:dyDescent="0.25">
      <c r="A358" s="323"/>
      <c r="B358" s="324"/>
      <c r="C358" s="324"/>
      <c r="D358" s="325" t="s">
        <v>287</v>
      </c>
      <c r="E358" s="326" t="s">
        <v>288</v>
      </c>
      <c r="F358" s="327">
        <f>+F359</f>
        <v>325031788200</v>
      </c>
      <c r="G358" s="328">
        <f t="shared" si="222"/>
        <v>6155127800</v>
      </c>
      <c r="H358" s="328">
        <f t="shared" si="222"/>
        <v>6258106200</v>
      </c>
      <c r="I358" s="328">
        <f t="shared" si="221"/>
        <v>12413234000</v>
      </c>
      <c r="J358" s="328">
        <f t="shared" si="223"/>
        <v>0</v>
      </c>
      <c r="K358" s="328">
        <f t="shared" si="223"/>
        <v>0</v>
      </c>
      <c r="L358" s="328">
        <f t="shared" si="217"/>
        <v>0</v>
      </c>
      <c r="M358" s="328">
        <f t="shared" ref="M358" si="224">+I358+L358</f>
        <v>12413234000</v>
      </c>
      <c r="N358" s="327">
        <f t="shared" ref="N358:N366" si="225">+F358-M358</f>
        <v>312618554200</v>
      </c>
      <c r="P358" s="330"/>
      <c r="R358" s="331"/>
      <c r="S358" s="351"/>
      <c r="T358" s="351"/>
      <c r="U358" s="333"/>
    </row>
    <row r="359" spans="1:21" s="381" customFormat="1" ht="18" customHeight="1" x14ac:dyDescent="0.25">
      <c r="A359" s="384"/>
      <c r="B359" s="335"/>
      <c r="C359" s="335"/>
      <c r="D359" s="335" t="s">
        <v>289</v>
      </c>
      <c r="E359" s="335" t="s">
        <v>290</v>
      </c>
      <c r="F359" s="337">
        <f>+F363+F360</f>
        <v>325031788200</v>
      </c>
      <c r="G359" s="338">
        <f>+G363+G360</f>
        <v>6155127800</v>
      </c>
      <c r="H359" s="338">
        <f>+H363+H360</f>
        <v>6258106200</v>
      </c>
      <c r="I359" s="338">
        <f t="shared" si="221"/>
        <v>12413234000</v>
      </c>
      <c r="J359" s="338">
        <f>+J363+J360</f>
        <v>0</v>
      </c>
      <c r="K359" s="338">
        <f>+K363+K360</f>
        <v>0</v>
      </c>
      <c r="L359" s="338">
        <f>+J359+K359</f>
        <v>0</v>
      </c>
      <c r="M359" s="338">
        <f>+I359+L359</f>
        <v>12413234000</v>
      </c>
      <c r="N359" s="405">
        <f t="shared" si="225"/>
        <v>312618554200</v>
      </c>
      <c r="P359" s="340"/>
      <c r="S359" s="347"/>
      <c r="T359" s="347"/>
      <c r="U359" s="382"/>
    </row>
    <row r="360" spans="1:21" s="339" customFormat="1" ht="18" customHeight="1" x14ac:dyDescent="0.25">
      <c r="A360" s="366"/>
      <c r="B360" s="367"/>
      <c r="C360" s="367"/>
      <c r="D360" s="367" t="s">
        <v>291</v>
      </c>
      <c r="E360" s="407" t="s">
        <v>292</v>
      </c>
      <c r="F360" s="370">
        <f t="shared" ref="F360:H361" si="226">+F361</f>
        <v>540000000</v>
      </c>
      <c r="G360" s="408">
        <f t="shared" si="226"/>
        <v>0</v>
      </c>
      <c r="H360" s="408">
        <f t="shared" si="226"/>
        <v>0</v>
      </c>
      <c r="I360" s="408">
        <f t="shared" si="221"/>
        <v>0</v>
      </c>
      <c r="J360" s="408">
        <f>+J361</f>
        <v>0</v>
      </c>
      <c r="K360" s="408">
        <f>+K361</f>
        <v>0</v>
      </c>
      <c r="L360" s="408">
        <f>+J360+K360</f>
        <v>0</v>
      </c>
      <c r="M360" s="408">
        <f>+I360+L360</f>
        <v>0</v>
      </c>
      <c r="N360" s="370">
        <f t="shared" si="225"/>
        <v>540000000</v>
      </c>
      <c r="P360" s="340"/>
      <c r="S360" s="347"/>
      <c r="T360" s="347"/>
      <c r="U360" s="342"/>
    </row>
    <row r="361" spans="1:21" s="339" customFormat="1" ht="32.25" customHeight="1" x14ac:dyDescent="0.25">
      <c r="A361" s="366"/>
      <c r="B361" s="367"/>
      <c r="C361" s="367"/>
      <c r="D361" s="367" t="s">
        <v>293</v>
      </c>
      <c r="E361" s="369" t="s">
        <v>295</v>
      </c>
      <c r="F361" s="370">
        <f t="shared" si="226"/>
        <v>540000000</v>
      </c>
      <c r="G361" s="371">
        <f t="shared" si="226"/>
        <v>0</v>
      </c>
      <c r="H361" s="371">
        <f t="shared" si="226"/>
        <v>0</v>
      </c>
      <c r="I361" s="371">
        <f t="shared" si="221"/>
        <v>0</v>
      </c>
      <c r="J361" s="371">
        <f>+J362</f>
        <v>0</v>
      </c>
      <c r="K361" s="371">
        <f>+K362</f>
        <v>0</v>
      </c>
      <c r="L361" s="371">
        <f>+J361+K361</f>
        <v>0</v>
      </c>
      <c r="M361" s="371">
        <f>+I361+L361</f>
        <v>0</v>
      </c>
      <c r="N361" s="370">
        <f t="shared" si="225"/>
        <v>540000000</v>
      </c>
      <c r="P361" s="340"/>
      <c r="S361" s="347"/>
      <c r="T361" s="347"/>
      <c r="U361" s="342"/>
    </row>
    <row r="362" spans="1:21" s="339" customFormat="1" ht="29.25" customHeight="1" x14ac:dyDescent="0.25">
      <c r="A362" s="366"/>
      <c r="B362" s="367"/>
      <c r="C362" s="367"/>
      <c r="D362" s="367" t="s">
        <v>294</v>
      </c>
      <c r="E362" s="369" t="s">
        <v>295</v>
      </c>
      <c r="F362" s="370">
        <v>540000000</v>
      </c>
      <c r="G362" s="408"/>
      <c r="H362" s="408"/>
      <c r="I362" s="408">
        <f t="shared" si="221"/>
        <v>0</v>
      </c>
      <c r="J362" s="371"/>
      <c r="K362" s="408"/>
      <c r="L362" s="408">
        <f>+J362+K362</f>
        <v>0</v>
      </c>
      <c r="M362" s="408">
        <f>+I362+L362</f>
        <v>0</v>
      </c>
      <c r="N362" s="409">
        <f t="shared" si="225"/>
        <v>540000000</v>
      </c>
      <c r="P362" s="340"/>
      <c r="S362" s="347"/>
      <c r="T362" s="347"/>
      <c r="U362" s="342"/>
    </row>
    <row r="363" spans="1:21" s="339" customFormat="1" ht="18" customHeight="1" x14ac:dyDescent="0.25">
      <c r="A363" s="334"/>
      <c r="B363" s="335"/>
      <c r="C363" s="335"/>
      <c r="D363" s="335" t="s">
        <v>296</v>
      </c>
      <c r="E363" s="336" t="s">
        <v>298</v>
      </c>
      <c r="F363" s="337">
        <f>+F364+F366</f>
        <v>324491788200</v>
      </c>
      <c r="G363" s="338">
        <f>+G364+G366</f>
        <v>6155127800</v>
      </c>
      <c r="H363" s="338">
        <f>+H364+H366</f>
        <v>6258106200</v>
      </c>
      <c r="I363" s="338">
        <f t="shared" si="221"/>
        <v>12413234000</v>
      </c>
      <c r="J363" s="338">
        <f>+J364+J366</f>
        <v>0</v>
      </c>
      <c r="K363" s="338">
        <f>+K364+K366</f>
        <v>0</v>
      </c>
      <c r="L363" s="338">
        <f t="shared" si="217"/>
        <v>0</v>
      </c>
      <c r="M363" s="338">
        <f t="shared" si="218"/>
        <v>12413234000</v>
      </c>
      <c r="N363" s="337">
        <f t="shared" si="225"/>
        <v>312078554200</v>
      </c>
      <c r="P363" s="340"/>
      <c r="S363" s="347"/>
      <c r="T363" s="347"/>
      <c r="U363" s="342"/>
    </row>
    <row r="364" spans="1:21" s="339" customFormat="1" ht="32.25" customHeight="1" x14ac:dyDescent="0.25">
      <c r="A364" s="334"/>
      <c r="B364" s="335"/>
      <c r="C364" s="335"/>
      <c r="D364" s="335" t="s">
        <v>297</v>
      </c>
      <c r="E364" s="391" t="s">
        <v>300</v>
      </c>
      <c r="F364" s="337">
        <f>F365</f>
        <v>268985638200</v>
      </c>
      <c r="G364" s="344">
        <f>+G365</f>
        <v>6155127800</v>
      </c>
      <c r="H364" s="344">
        <f>+H365</f>
        <v>6258106200</v>
      </c>
      <c r="I364" s="338">
        <f t="shared" si="221"/>
        <v>12413234000</v>
      </c>
      <c r="J364" s="344">
        <f>+J365</f>
        <v>0</v>
      </c>
      <c r="K364" s="344">
        <f>+K365</f>
        <v>0</v>
      </c>
      <c r="L364" s="338">
        <f t="shared" si="217"/>
        <v>0</v>
      </c>
      <c r="M364" s="344">
        <f t="shared" si="218"/>
        <v>12413234000</v>
      </c>
      <c r="N364" s="337">
        <f t="shared" si="225"/>
        <v>256572404200</v>
      </c>
      <c r="P364" s="340"/>
      <c r="S364" s="347"/>
      <c r="T364" s="347"/>
      <c r="U364" s="342"/>
    </row>
    <row r="365" spans="1:21" s="339" customFormat="1" ht="29.25" customHeight="1" x14ac:dyDescent="0.25">
      <c r="A365" s="334"/>
      <c r="B365" s="335"/>
      <c r="C365" s="335"/>
      <c r="D365" s="335" t="s">
        <v>299</v>
      </c>
      <c r="E365" s="391" t="s">
        <v>300</v>
      </c>
      <c r="F365" s="337">
        <v>268985638200</v>
      </c>
      <c r="G365" s="338">
        <v>6155127800</v>
      </c>
      <c r="H365" s="338">
        <v>6258106200</v>
      </c>
      <c r="I365" s="338">
        <f t="shared" si="221"/>
        <v>12413234000</v>
      </c>
      <c r="J365" s="344"/>
      <c r="K365" s="338"/>
      <c r="L365" s="338">
        <f>J365+K365</f>
        <v>0</v>
      </c>
      <c r="M365" s="338">
        <f>+I365+L365</f>
        <v>12413234000</v>
      </c>
      <c r="N365" s="405">
        <f t="shared" si="225"/>
        <v>256572404200</v>
      </c>
      <c r="P365" s="340"/>
      <c r="S365" s="345"/>
      <c r="T365" s="455">
        <v>6258106200</v>
      </c>
      <c r="U365" s="342"/>
    </row>
    <row r="366" spans="1:21" s="339" customFormat="1" ht="32.25" customHeight="1" x14ac:dyDescent="0.25">
      <c r="A366" s="334"/>
      <c r="B366" s="335"/>
      <c r="C366" s="335"/>
      <c r="D366" s="335" t="s">
        <v>301</v>
      </c>
      <c r="E366" s="391" t="s">
        <v>303</v>
      </c>
      <c r="F366" s="337">
        <f>F367+F368</f>
        <v>55506150000</v>
      </c>
      <c r="G366" s="344">
        <f>+G367</f>
        <v>0</v>
      </c>
      <c r="H366" s="338">
        <f>+H367</f>
        <v>0</v>
      </c>
      <c r="I366" s="338">
        <f>+G366+H366</f>
        <v>0</v>
      </c>
      <c r="J366" s="344">
        <f>+J367</f>
        <v>0</v>
      </c>
      <c r="K366" s="344">
        <f>+K367</f>
        <v>0</v>
      </c>
      <c r="L366" s="344">
        <f>+J366+K366</f>
        <v>0</v>
      </c>
      <c r="M366" s="344">
        <f t="shared" ref="M366" si="227">+I366+L366</f>
        <v>0</v>
      </c>
      <c r="N366" s="337">
        <f t="shared" si="225"/>
        <v>55506150000</v>
      </c>
      <c r="P366" s="340"/>
      <c r="S366" s="345"/>
      <c r="T366" s="345"/>
      <c r="U366" s="342"/>
    </row>
    <row r="367" spans="1:21" s="153" customFormat="1" ht="29.25" customHeight="1" x14ac:dyDescent="0.25">
      <c r="A367" s="353"/>
      <c r="B367" s="355"/>
      <c r="C367" s="355"/>
      <c r="D367" s="355" t="s">
        <v>480</v>
      </c>
      <c r="E367" s="402" t="s">
        <v>481</v>
      </c>
      <c r="F367" s="356">
        <v>70000000</v>
      </c>
      <c r="G367" s="406"/>
      <c r="H367" s="406"/>
      <c r="I367" s="406">
        <f t="shared" si="221"/>
        <v>0</v>
      </c>
      <c r="J367" s="357"/>
      <c r="K367" s="406"/>
      <c r="L367" s="406">
        <f>J367+K367</f>
        <v>0</v>
      </c>
      <c r="M367" s="406">
        <f>+I367+L367</f>
        <v>0</v>
      </c>
      <c r="N367" s="405">
        <f>+F367-M367</f>
        <v>70000000</v>
      </c>
      <c r="P367" s="200"/>
      <c r="S367" s="410"/>
      <c r="T367" s="410"/>
      <c r="U367" s="254"/>
    </row>
    <row r="368" spans="1:21" s="153" customFormat="1" ht="29.25" customHeight="1" x14ac:dyDescent="0.25">
      <c r="A368" s="353"/>
      <c r="B368" s="355"/>
      <c r="C368" s="355"/>
      <c r="D368" s="355" t="s">
        <v>482</v>
      </c>
      <c r="E368" s="402" t="s">
        <v>483</v>
      </c>
      <c r="F368" s="356">
        <v>55436150000</v>
      </c>
      <c r="G368" s="406"/>
      <c r="H368" s="406"/>
      <c r="I368" s="406">
        <f t="shared" si="221"/>
        <v>0</v>
      </c>
      <c r="J368" s="357"/>
      <c r="K368" s="406"/>
      <c r="L368" s="406">
        <f>J368+K368</f>
        <v>0</v>
      </c>
      <c r="M368" s="406">
        <f>+I368+L368</f>
        <v>0</v>
      </c>
      <c r="N368" s="405">
        <f>+F368-M368</f>
        <v>55436150000</v>
      </c>
      <c r="P368" s="200"/>
      <c r="S368" s="410"/>
      <c r="T368" s="410"/>
      <c r="U368" s="254"/>
    </row>
    <row r="369" spans="1:21" s="319" customFormat="1" ht="18" customHeight="1" x14ac:dyDescent="0.25">
      <c r="A369" s="276">
        <v>22</v>
      </c>
      <c r="B369" s="305"/>
      <c r="C369" s="305" t="s">
        <v>304</v>
      </c>
      <c r="D369" s="363"/>
      <c r="E369" s="364" t="s">
        <v>305</v>
      </c>
      <c r="F369" s="307">
        <f t="shared" ref="F369:H372" si="228">+F370</f>
        <v>8000000000</v>
      </c>
      <c r="G369" s="308">
        <f t="shared" si="228"/>
        <v>0</v>
      </c>
      <c r="H369" s="308">
        <f t="shared" si="228"/>
        <v>0</v>
      </c>
      <c r="I369" s="308">
        <f>+G369+H369</f>
        <v>0</v>
      </c>
      <c r="J369" s="308">
        <f t="shared" ref="J369:K373" si="229">+J370</f>
        <v>0</v>
      </c>
      <c r="K369" s="308">
        <f t="shared" si="229"/>
        <v>0</v>
      </c>
      <c r="L369" s="308">
        <f>+J369+K369</f>
        <v>0</v>
      </c>
      <c r="M369" s="308">
        <f>+I369+L369</f>
        <v>0</v>
      </c>
      <c r="N369" s="307">
        <f>+F369-M369</f>
        <v>8000000000</v>
      </c>
      <c r="P369" s="320"/>
      <c r="R369" s="321"/>
      <c r="S369" s="411"/>
      <c r="T369" s="411"/>
      <c r="U369" s="350"/>
    </row>
    <row r="370" spans="1:21" s="329" customFormat="1" ht="18" customHeight="1" x14ac:dyDescent="0.25">
      <c r="A370" s="323"/>
      <c r="B370" s="324"/>
      <c r="C370" s="324"/>
      <c r="D370" s="325" t="s">
        <v>306</v>
      </c>
      <c r="E370" s="326" t="s">
        <v>307</v>
      </c>
      <c r="F370" s="327">
        <f t="shared" si="228"/>
        <v>8000000000</v>
      </c>
      <c r="G370" s="328">
        <f t="shared" si="228"/>
        <v>0</v>
      </c>
      <c r="H370" s="328">
        <f t="shared" si="228"/>
        <v>0</v>
      </c>
      <c r="I370" s="328">
        <f>+G370+H370</f>
        <v>0</v>
      </c>
      <c r="J370" s="328">
        <f t="shared" si="229"/>
        <v>0</v>
      </c>
      <c r="K370" s="328">
        <f t="shared" si="229"/>
        <v>0</v>
      </c>
      <c r="L370" s="328">
        <f>+J370+K370</f>
        <v>0</v>
      </c>
      <c r="M370" s="328">
        <f t="shared" ref="M370:M373" si="230">+I370+L370</f>
        <v>0</v>
      </c>
      <c r="N370" s="327">
        <f t="shared" ref="N370:N373" si="231">+F370-M370</f>
        <v>8000000000</v>
      </c>
      <c r="P370" s="330"/>
      <c r="R370" s="331"/>
      <c r="S370" s="332"/>
      <c r="T370" s="332"/>
      <c r="U370" s="333"/>
    </row>
    <row r="371" spans="1:21" s="381" customFormat="1" ht="18" customHeight="1" x14ac:dyDescent="0.25">
      <c r="A371" s="384"/>
      <c r="B371" s="335"/>
      <c r="C371" s="335"/>
      <c r="D371" s="335" t="s">
        <v>308</v>
      </c>
      <c r="E371" s="335" t="s">
        <v>307</v>
      </c>
      <c r="F371" s="337">
        <f t="shared" si="228"/>
        <v>8000000000</v>
      </c>
      <c r="G371" s="338">
        <f t="shared" si="228"/>
        <v>0</v>
      </c>
      <c r="H371" s="338">
        <f t="shared" si="228"/>
        <v>0</v>
      </c>
      <c r="I371" s="338">
        <f>+G371+H371</f>
        <v>0</v>
      </c>
      <c r="J371" s="338">
        <f t="shared" si="229"/>
        <v>0</v>
      </c>
      <c r="K371" s="338">
        <f t="shared" si="229"/>
        <v>0</v>
      </c>
      <c r="L371" s="338">
        <f>+J371+K371</f>
        <v>0</v>
      </c>
      <c r="M371" s="338">
        <f t="shared" si="230"/>
        <v>0</v>
      </c>
      <c r="N371" s="405">
        <f t="shared" si="231"/>
        <v>8000000000</v>
      </c>
      <c r="P371" s="340"/>
      <c r="S371" s="412"/>
      <c r="T371" s="412"/>
      <c r="U371" s="382"/>
    </row>
    <row r="372" spans="1:21" s="339" customFormat="1" ht="18" customHeight="1" x14ac:dyDescent="0.25">
      <c r="A372" s="334"/>
      <c r="B372" s="335"/>
      <c r="C372" s="335"/>
      <c r="D372" s="335" t="s">
        <v>309</v>
      </c>
      <c r="E372" s="336" t="s">
        <v>307</v>
      </c>
      <c r="F372" s="337">
        <f t="shared" si="228"/>
        <v>8000000000</v>
      </c>
      <c r="G372" s="338">
        <f t="shared" si="228"/>
        <v>0</v>
      </c>
      <c r="H372" s="338">
        <f t="shared" si="228"/>
        <v>0</v>
      </c>
      <c r="I372" s="338">
        <f>+G372+H372</f>
        <v>0</v>
      </c>
      <c r="J372" s="338">
        <f t="shared" si="229"/>
        <v>0</v>
      </c>
      <c r="K372" s="338">
        <f t="shared" si="229"/>
        <v>0</v>
      </c>
      <c r="L372" s="338">
        <f>+J372+K372</f>
        <v>0</v>
      </c>
      <c r="M372" s="338">
        <f t="shared" si="230"/>
        <v>0</v>
      </c>
      <c r="N372" s="337">
        <f t="shared" si="231"/>
        <v>8000000000</v>
      </c>
      <c r="P372" s="340"/>
      <c r="S372" s="341"/>
      <c r="T372" s="341"/>
      <c r="U372" s="342"/>
    </row>
    <row r="373" spans="1:21" s="339" customFormat="1" ht="17.25" customHeight="1" x14ac:dyDescent="0.25">
      <c r="A373" s="334"/>
      <c r="B373" s="335"/>
      <c r="C373" s="335"/>
      <c r="D373" s="335" t="s">
        <v>310</v>
      </c>
      <c r="E373" s="391" t="s">
        <v>307</v>
      </c>
      <c r="F373" s="337">
        <f>F374</f>
        <v>8000000000</v>
      </c>
      <c r="G373" s="344">
        <f>+G374</f>
        <v>0</v>
      </c>
      <c r="H373" s="344">
        <f>+H374</f>
        <v>0</v>
      </c>
      <c r="I373" s="338">
        <f>+G373+H373</f>
        <v>0</v>
      </c>
      <c r="J373" s="344">
        <f t="shared" si="229"/>
        <v>0</v>
      </c>
      <c r="K373" s="344">
        <f t="shared" si="229"/>
        <v>0</v>
      </c>
      <c r="L373" s="338">
        <f>+J373+K373</f>
        <v>0</v>
      </c>
      <c r="M373" s="344">
        <f t="shared" si="230"/>
        <v>0</v>
      </c>
      <c r="N373" s="337">
        <f t="shared" si="231"/>
        <v>8000000000</v>
      </c>
      <c r="P373" s="340"/>
      <c r="S373" s="345"/>
      <c r="T373" s="345"/>
      <c r="U373" s="342"/>
    </row>
    <row r="374" spans="1:21" s="153" customFormat="1" ht="20.25" customHeight="1" x14ac:dyDescent="0.25">
      <c r="A374" s="353"/>
      <c r="B374" s="355"/>
      <c r="C374" s="355"/>
      <c r="D374" s="355" t="s">
        <v>311</v>
      </c>
      <c r="E374" s="402" t="s">
        <v>307</v>
      </c>
      <c r="F374" s="356">
        <v>8000000000</v>
      </c>
      <c r="G374" s="406"/>
      <c r="H374" s="406"/>
      <c r="I374" s="406">
        <f t="shared" ref="I374:I383" si="232">+G374+H374</f>
        <v>0</v>
      </c>
      <c r="J374" s="357"/>
      <c r="K374" s="406"/>
      <c r="L374" s="406">
        <f>J374+K374</f>
        <v>0</v>
      </c>
      <c r="M374" s="406">
        <f>+I374+L374</f>
        <v>0</v>
      </c>
      <c r="N374" s="405">
        <f>+F374-M374</f>
        <v>8000000000</v>
      </c>
      <c r="P374" s="200"/>
      <c r="S374" s="410"/>
      <c r="T374" s="410"/>
      <c r="U374" s="254"/>
    </row>
    <row r="375" spans="1:21" s="319" customFormat="1" ht="18" customHeight="1" x14ac:dyDescent="0.25">
      <c r="A375" s="276">
        <v>23</v>
      </c>
      <c r="B375" s="305"/>
      <c r="C375" s="305" t="s">
        <v>320</v>
      </c>
      <c r="D375" s="363"/>
      <c r="E375" s="364" t="s">
        <v>312</v>
      </c>
      <c r="F375" s="307">
        <f t="shared" ref="F375:H376" si="233">+F376</f>
        <v>19577417200</v>
      </c>
      <c r="G375" s="308">
        <f t="shared" si="233"/>
        <v>0</v>
      </c>
      <c r="H375" s="308">
        <f t="shared" si="233"/>
        <v>0</v>
      </c>
      <c r="I375" s="308">
        <f t="shared" si="232"/>
        <v>0</v>
      </c>
      <c r="J375" s="308">
        <f>+J376</f>
        <v>0</v>
      </c>
      <c r="K375" s="308">
        <f>+K376</f>
        <v>0</v>
      </c>
      <c r="L375" s="308">
        <f>+J375+K375</f>
        <v>0</v>
      </c>
      <c r="M375" s="308">
        <f>+I375+L375</f>
        <v>0</v>
      </c>
      <c r="N375" s="307">
        <f>+F375-M375</f>
        <v>19577417200</v>
      </c>
      <c r="P375" s="320"/>
      <c r="R375" s="321"/>
      <c r="S375" s="411"/>
      <c r="T375" s="411"/>
      <c r="U375" s="350"/>
    </row>
    <row r="376" spans="1:21" s="329" customFormat="1" ht="18" customHeight="1" x14ac:dyDescent="0.25">
      <c r="A376" s="323"/>
      <c r="B376" s="324"/>
      <c r="C376" s="324"/>
      <c r="D376" s="325" t="s">
        <v>287</v>
      </c>
      <c r="E376" s="326" t="s">
        <v>288</v>
      </c>
      <c r="F376" s="327">
        <f t="shared" si="233"/>
        <v>19577417200</v>
      </c>
      <c r="G376" s="328">
        <f t="shared" si="233"/>
        <v>0</v>
      </c>
      <c r="H376" s="328">
        <f t="shared" si="233"/>
        <v>0</v>
      </c>
      <c r="I376" s="328">
        <f t="shared" si="232"/>
        <v>0</v>
      </c>
      <c r="J376" s="328">
        <f>+J377</f>
        <v>0</v>
      </c>
      <c r="K376" s="328">
        <f>+K377</f>
        <v>0</v>
      </c>
      <c r="L376" s="328">
        <f>+J376+K376</f>
        <v>0</v>
      </c>
      <c r="M376" s="328">
        <f t="shared" ref="M376:M379" si="234">+I376+L376</f>
        <v>0</v>
      </c>
      <c r="N376" s="327">
        <f t="shared" ref="N376:N379" si="235">+F376-M376</f>
        <v>19577417200</v>
      </c>
      <c r="P376" s="330"/>
      <c r="R376" s="331"/>
      <c r="S376" s="332"/>
      <c r="T376" s="332"/>
      <c r="U376" s="333"/>
    </row>
    <row r="377" spans="1:21" s="381" customFormat="1" ht="18" customHeight="1" x14ac:dyDescent="0.25">
      <c r="A377" s="384"/>
      <c r="B377" s="335"/>
      <c r="C377" s="335"/>
      <c r="D377" s="335" t="s">
        <v>313</v>
      </c>
      <c r="E377" s="335" t="s">
        <v>415</v>
      </c>
      <c r="F377" s="337">
        <f>+F378+F381</f>
        <v>19577417200</v>
      </c>
      <c r="G377" s="338">
        <f>+G378+G381</f>
        <v>0</v>
      </c>
      <c r="H377" s="338">
        <f>+H378+H381</f>
        <v>0</v>
      </c>
      <c r="I377" s="338">
        <f t="shared" si="232"/>
        <v>0</v>
      </c>
      <c r="J377" s="338">
        <f>+J378+J381</f>
        <v>0</v>
      </c>
      <c r="K377" s="338">
        <f>+K378+K381</f>
        <v>0</v>
      </c>
      <c r="L377" s="338">
        <f>+J377+K377</f>
        <v>0</v>
      </c>
      <c r="M377" s="338">
        <f t="shared" si="234"/>
        <v>0</v>
      </c>
      <c r="N377" s="405">
        <f t="shared" si="235"/>
        <v>19577417200</v>
      </c>
      <c r="P377" s="340"/>
      <c r="S377" s="412"/>
      <c r="T377" s="412"/>
      <c r="U377" s="382"/>
    </row>
    <row r="378" spans="1:21" s="339" customFormat="1" ht="31.5" customHeight="1" x14ac:dyDescent="0.25">
      <c r="A378" s="334"/>
      <c r="B378" s="335"/>
      <c r="C378" s="335"/>
      <c r="D378" s="335" t="s">
        <v>314</v>
      </c>
      <c r="E378" s="413" t="s">
        <v>416</v>
      </c>
      <c r="F378" s="337">
        <f>+F379</f>
        <v>18835000000</v>
      </c>
      <c r="G378" s="338">
        <f>+G379</f>
        <v>0</v>
      </c>
      <c r="H378" s="338">
        <f>+H379</f>
        <v>0</v>
      </c>
      <c r="I378" s="338">
        <f t="shared" si="232"/>
        <v>0</v>
      </c>
      <c r="J378" s="338">
        <f>+J379</f>
        <v>0</v>
      </c>
      <c r="K378" s="338">
        <f>+K379</f>
        <v>0</v>
      </c>
      <c r="L378" s="338">
        <f>+J378+K378</f>
        <v>0</v>
      </c>
      <c r="M378" s="338">
        <f t="shared" si="234"/>
        <v>0</v>
      </c>
      <c r="N378" s="337">
        <f t="shared" si="235"/>
        <v>18835000000</v>
      </c>
      <c r="P378" s="340"/>
      <c r="S378" s="341"/>
      <c r="T378" s="341"/>
      <c r="U378" s="342"/>
    </row>
    <row r="379" spans="1:21" s="339" customFormat="1" ht="17.25" customHeight="1" x14ac:dyDescent="0.25">
      <c r="A379" s="334"/>
      <c r="B379" s="335"/>
      <c r="C379" s="335"/>
      <c r="D379" s="335" t="s">
        <v>315</v>
      </c>
      <c r="E379" s="391" t="s">
        <v>417</v>
      </c>
      <c r="F379" s="337">
        <f>F380</f>
        <v>18835000000</v>
      </c>
      <c r="G379" s="344">
        <f>+G380</f>
        <v>0</v>
      </c>
      <c r="H379" s="344">
        <f>+H380</f>
        <v>0</v>
      </c>
      <c r="I379" s="338">
        <f t="shared" si="232"/>
        <v>0</v>
      </c>
      <c r="J379" s="344">
        <f>+J380</f>
        <v>0</v>
      </c>
      <c r="K379" s="344">
        <f>+K380</f>
        <v>0</v>
      </c>
      <c r="L379" s="338">
        <f>+J379+K379</f>
        <v>0</v>
      </c>
      <c r="M379" s="344">
        <f t="shared" si="234"/>
        <v>0</v>
      </c>
      <c r="N379" s="337">
        <f t="shared" si="235"/>
        <v>18835000000</v>
      </c>
      <c r="P379" s="340"/>
      <c r="S379" s="345"/>
      <c r="T379" s="345"/>
      <c r="U379" s="342"/>
    </row>
    <row r="380" spans="1:21" s="339" customFormat="1" ht="20.25" customHeight="1" x14ac:dyDescent="0.25">
      <c r="A380" s="334"/>
      <c r="B380" s="335"/>
      <c r="C380" s="335"/>
      <c r="D380" s="335" t="s">
        <v>316</v>
      </c>
      <c r="E380" s="391" t="s">
        <v>417</v>
      </c>
      <c r="F380" s="337">
        <v>18835000000</v>
      </c>
      <c r="G380" s="338"/>
      <c r="H380" s="338"/>
      <c r="I380" s="338">
        <f t="shared" si="232"/>
        <v>0</v>
      </c>
      <c r="J380" s="344"/>
      <c r="K380" s="338"/>
      <c r="L380" s="338">
        <f>J380+K380</f>
        <v>0</v>
      </c>
      <c r="M380" s="338">
        <f>+I380+L380</f>
        <v>0</v>
      </c>
      <c r="N380" s="405">
        <f>+F380-M380</f>
        <v>18835000000</v>
      </c>
      <c r="P380" s="340"/>
      <c r="S380" s="345"/>
      <c r="T380" s="345"/>
      <c r="U380" s="342"/>
    </row>
    <row r="381" spans="1:21" s="339" customFormat="1" ht="20.25" customHeight="1" x14ac:dyDescent="0.25">
      <c r="A381" s="334"/>
      <c r="B381" s="335"/>
      <c r="C381" s="335"/>
      <c r="D381" s="335" t="s">
        <v>317</v>
      </c>
      <c r="E381" s="413" t="s">
        <v>418</v>
      </c>
      <c r="F381" s="337">
        <f>+F382</f>
        <v>742417200</v>
      </c>
      <c r="G381" s="338">
        <f>+G382</f>
        <v>0</v>
      </c>
      <c r="H381" s="338">
        <f>+H382</f>
        <v>0</v>
      </c>
      <c r="I381" s="338">
        <f t="shared" si="232"/>
        <v>0</v>
      </c>
      <c r="J381" s="338">
        <f>+J382</f>
        <v>0</v>
      </c>
      <c r="K381" s="338">
        <f>+K382</f>
        <v>0</v>
      </c>
      <c r="L381" s="338">
        <f>+J381+K381</f>
        <v>0</v>
      </c>
      <c r="M381" s="338">
        <f t="shared" ref="M381:M382" si="236">+I381+L381</f>
        <v>0</v>
      </c>
      <c r="N381" s="337">
        <f t="shared" ref="N381:N382" si="237">+F381-M381</f>
        <v>742417200</v>
      </c>
      <c r="P381" s="340"/>
      <c r="S381" s="341"/>
      <c r="T381" s="341"/>
      <c r="U381" s="342"/>
    </row>
    <row r="382" spans="1:21" s="339" customFormat="1" ht="17.25" customHeight="1" x14ac:dyDescent="0.25">
      <c r="A382" s="334"/>
      <c r="B382" s="335"/>
      <c r="C382" s="335"/>
      <c r="D382" s="335" t="s">
        <v>318</v>
      </c>
      <c r="E382" s="391" t="s">
        <v>418</v>
      </c>
      <c r="F382" s="337">
        <f>F383</f>
        <v>742417200</v>
      </c>
      <c r="G382" s="344">
        <f>+G383</f>
        <v>0</v>
      </c>
      <c r="H382" s="344">
        <f>+H383</f>
        <v>0</v>
      </c>
      <c r="I382" s="338">
        <f t="shared" si="232"/>
        <v>0</v>
      </c>
      <c r="J382" s="344">
        <f>+J383</f>
        <v>0</v>
      </c>
      <c r="K382" s="344">
        <f>+K383</f>
        <v>0</v>
      </c>
      <c r="L382" s="338">
        <f>+J382+K382</f>
        <v>0</v>
      </c>
      <c r="M382" s="344">
        <f t="shared" si="236"/>
        <v>0</v>
      </c>
      <c r="N382" s="337">
        <f t="shared" si="237"/>
        <v>742417200</v>
      </c>
      <c r="P382" s="340"/>
      <c r="S382" s="345"/>
      <c r="T382" s="345"/>
      <c r="U382" s="342"/>
    </row>
    <row r="383" spans="1:21" ht="20.25" customHeight="1" x14ac:dyDescent="0.25">
      <c r="A383" s="301"/>
      <c r="B383" s="414"/>
      <c r="C383" s="414"/>
      <c r="D383" s="414" t="s">
        <v>319</v>
      </c>
      <c r="E383" s="415" t="s">
        <v>418</v>
      </c>
      <c r="F383" s="416">
        <v>742417200</v>
      </c>
      <c r="G383" s="417"/>
      <c r="H383" s="417"/>
      <c r="I383" s="417">
        <f t="shared" si="232"/>
        <v>0</v>
      </c>
      <c r="J383" s="35"/>
      <c r="K383" s="417"/>
      <c r="L383" s="417">
        <f>J383+K383</f>
        <v>0</v>
      </c>
      <c r="M383" s="417">
        <f>+I383+L383</f>
        <v>0</v>
      </c>
      <c r="N383" s="418">
        <f>+F383-M383</f>
        <v>742417200</v>
      </c>
      <c r="S383" s="419"/>
      <c r="T383" s="419"/>
      <c r="U383" s="420"/>
    </row>
    <row r="384" spans="1:21" ht="18" customHeight="1" x14ac:dyDescent="0.25">
      <c r="A384" s="302"/>
      <c r="B384" s="421"/>
      <c r="C384" s="421"/>
      <c r="D384" s="421"/>
      <c r="E384" s="421"/>
      <c r="F384" s="422"/>
      <c r="G384" s="423"/>
      <c r="H384" s="423"/>
      <c r="I384" s="423"/>
      <c r="J384" s="423"/>
      <c r="K384" s="423"/>
      <c r="L384" s="423"/>
      <c r="M384" s="423"/>
      <c r="N384" s="422"/>
      <c r="U384" s="420"/>
    </row>
    <row r="385" spans="1:21" ht="18" customHeight="1" x14ac:dyDescent="0.25">
      <c r="A385" s="301"/>
      <c r="B385" s="414"/>
      <c r="C385" s="414"/>
      <c r="D385" s="414"/>
      <c r="E385" s="414" t="s">
        <v>41</v>
      </c>
      <c r="F385" s="35"/>
      <c r="G385" s="35"/>
      <c r="H385" s="35"/>
      <c r="I385" s="35"/>
      <c r="J385" s="35"/>
      <c r="K385" s="35"/>
      <c r="L385" s="35"/>
      <c r="M385" s="35"/>
      <c r="N385" s="416"/>
      <c r="U385" s="420"/>
    </row>
    <row r="386" spans="1:21" ht="18" customHeight="1" x14ac:dyDescent="0.25">
      <c r="A386" s="301"/>
      <c r="B386" s="414"/>
      <c r="C386" s="414"/>
      <c r="D386" s="414"/>
      <c r="E386" s="414" t="s">
        <v>21</v>
      </c>
      <c r="F386" s="35"/>
      <c r="G386" s="35">
        <f>+G17</f>
        <v>9805797967</v>
      </c>
      <c r="H386" s="35">
        <f>+H17</f>
        <v>9782812369</v>
      </c>
      <c r="I386" s="35">
        <f>+I17</f>
        <v>19588610336</v>
      </c>
      <c r="J386" s="35">
        <f>+J17</f>
        <v>114284700</v>
      </c>
      <c r="K386" s="35">
        <f>+K17</f>
        <v>345746731</v>
      </c>
      <c r="L386" s="35">
        <f t="shared" ref="L386:L391" si="238">+J386+K386</f>
        <v>460031431</v>
      </c>
      <c r="M386" s="35">
        <f>+I386+L386</f>
        <v>20048641767</v>
      </c>
      <c r="N386" s="416"/>
      <c r="U386" s="420"/>
    </row>
    <row r="387" spans="1:21" ht="18" customHeight="1" x14ac:dyDescent="0.25">
      <c r="A387" s="301"/>
      <c r="B387" s="414"/>
      <c r="C387" s="414"/>
      <c r="D387" s="414"/>
      <c r="E387" s="414" t="s">
        <v>42</v>
      </c>
      <c r="F387" s="35"/>
      <c r="G387" s="35">
        <f>+SUM(G388:G401)</f>
        <v>69770614</v>
      </c>
      <c r="H387" s="35">
        <f>+SUM(H388:H401)</f>
        <v>146259456</v>
      </c>
      <c r="I387" s="35">
        <f>+G387+H387</f>
        <v>216030070</v>
      </c>
      <c r="J387" s="35">
        <f>+SUM(J388:J401)</f>
        <v>2165454</v>
      </c>
      <c r="K387" s="35">
        <f>+SUM(K388:K401)</f>
        <v>11391265</v>
      </c>
      <c r="L387" s="35">
        <f>+J387+K387</f>
        <v>13556719</v>
      </c>
      <c r="M387" s="424">
        <f>+I387+L387</f>
        <v>229586789</v>
      </c>
      <c r="N387" s="416"/>
      <c r="P387" s="294">
        <f>+M386+M387</f>
        <v>20278228556</v>
      </c>
      <c r="U387" s="420"/>
    </row>
    <row r="388" spans="1:21" ht="13.5" customHeight="1" x14ac:dyDescent="0.25">
      <c r="A388" s="301"/>
      <c r="B388" s="414"/>
      <c r="C388" s="414"/>
      <c r="D388" s="414"/>
      <c r="E388" s="425" t="s">
        <v>24</v>
      </c>
      <c r="F388" s="35"/>
      <c r="G388" s="35">
        <v>0</v>
      </c>
      <c r="H388" s="35">
        <v>1563375</v>
      </c>
      <c r="I388" s="35">
        <f>+G388+H388</f>
        <v>1563375</v>
      </c>
      <c r="J388" s="35">
        <v>1804545</v>
      </c>
      <c r="K388" s="35">
        <f>1804545+241802+281937+205631+1672297+541854+748644</f>
        <v>5496710</v>
      </c>
      <c r="L388" s="35">
        <f t="shared" si="238"/>
        <v>7301255</v>
      </c>
      <c r="M388" s="35">
        <f t="shared" ref="M388:M391" si="239">+I388+L388</f>
        <v>8864630</v>
      </c>
      <c r="N388" s="416"/>
      <c r="U388" s="420"/>
    </row>
    <row r="389" spans="1:21" ht="13.5" customHeight="1" x14ac:dyDescent="0.25">
      <c r="A389" s="301"/>
      <c r="B389" s="414"/>
      <c r="C389" s="414"/>
      <c r="D389" s="414"/>
      <c r="E389" s="425" t="s">
        <v>22</v>
      </c>
      <c r="F389" s="35"/>
      <c r="G389" s="35">
        <v>22804617</v>
      </c>
      <c r="H389" s="35">
        <f>277647</f>
        <v>277647</v>
      </c>
      <c r="I389" s="35">
        <f>+G389+H389</f>
        <v>23082264</v>
      </c>
      <c r="J389" s="35">
        <v>0</v>
      </c>
      <c r="K389" s="35"/>
      <c r="L389" s="35">
        <f t="shared" si="238"/>
        <v>0</v>
      </c>
      <c r="M389" s="35">
        <f t="shared" si="239"/>
        <v>23082264</v>
      </c>
      <c r="N389" s="416"/>
      <c r="U389" s="420"/>
    </row>
    <row r="390" spans="1:21" ht="13.5" customHeight="1" x14ac:dyDescent="0.25">
      <c r="A390" s="299"/>
      <c r="B390" s="426"/>
      <c r="C390" s="426"/>
      <c r="D390" s="426"/>
      <c r="E390" s="427" t="s">
        <v>25</v>
      </c>
      <c r="F390" s="236"/>
      <c r="G390" s="236">
        <v>0</v>
      </c>
      <c r="H390" s="236"/>
      <c r="I390" s="236">
        <f>+G390+H390</f>
        <v>0</v>
      </c>
      <c r="J390" s="236">
        <v>0</v>
      </c>
      <c r="K390" s="236">
        <f>187500+234000+37500+37500+50250+30000+22500+228041+98519+102088</f>
        <v>1027898</v>
      </c>
      <c r="L390" s="236">
        <f t="shared" si="238"/>
        <v>1027898</v>
      </c>
      <c r="M390" s="236">
        <f t="shared" si="239"/>
        <v>1027898</v>
      </c>
      <c r="N390" s="428"/>
      <c r="Q390" s="298"/>
      <c r="U390" s="420"/>
    </row>
    <row r="391" spans="1:21" ht="13.5" customHeight="1" x14ac:dyDescent="0.25">
      <c r="A391" s="301"/>
      <c r="B391" s="414"/>
      <c r="C391" s="414"/>
      <c r="D391" s="414"/>
      <c r="E391" s="425" t="s">
        <v>26</v>
      </c>
      <c r="F391" s="35"/>
      <c r="G391" s="35">
        <v>0</v>
      </c>
      <c r="H391" s="35">
        <v>2842500</v>
      </c>
      <c r="I391" s="35">
        <f>+G391+H391</f>
        <v>2842500</v>
      </c>
      <c r="J391" s="35">
        <v>360909</v>
      </c>
      <c r="K391" s="35">
        <f>35200+37100+37200+360909+48800+35000+28800+51261+37387</f>
        <v>671657</v>
      </c>
      <c r="L391" s="35">
        <f t="shared" si="238"/>
        <v>1032566</v>
      </c>
      <c r="M391" s="35">
        <f t="shared" si="239"/>
        <v>3875066</v>
      </c>
      <c r="N391" s="416"/>
      <c r="U391" s="420"/>
    </row>
    <row r="392" spans="1:21" ht="13.5" customHeight="1" x14ac:dyDescent="0.25">
      <c r="A392" s="301"/>
      <c r="B392" s="414"/>
      <c r="C392" s="414"/>
      <c r="D392" s="414"/>
      <c r="E392" s="425" t="s">
        <v>40</v>
      </c>
      <c r="F392" s="35"/>
      <c r="G392" s="35"/>
      <c r="H392" s="35"/>
      <c r="I392" s="35"/>
      <c r="J392" s="35"/>
      <c r="K392" s="35"/>
      <c r="L392" s="35"/>
      <c r="M392" s="35"/>
      <c r="N392" s="416"/>
      <c r="U392" s="420"/>
    </row>
    <row r="393" spans="1:21" ht="13.5" customHeight="1" x14ac:dyDescent="0.25">
      <c r="A393" s="301"/>
      <c r="B393" s="414"/>
      <c r="C393" s="414"/>
      <c r="D393" s="414"/>
      <c r="E393" s="425" t="s">
        <v>321</v>
      </c>
      <c r="F393" s="35"/>
      <c r="G393" s="35">
        <v>0</v>
      </c>
      <c r="H393" s="35"/>
      <c r="I393" s="35">
        <f>+G393+H393</f>
        <v>0</v>
      </c>
      <c r="J393" s="35">
        <v>0</v>
      </c>
      <c r="K393" s="35"/>
      <c r="L393" s="35">
        <f>+J393+K393</f>
        <v>0</v>
      </c>
      <c r="M393" s="35">
        <f>+I393+L393</f>
        <v>0</v>
      </c>
      <c r="N393" s="416"/>
      <c r="U393" s="420"/>
    </row>
    <row r="394" spans="1:21" ht="13.5" customHeight="1" x14ac:dyDescent="0.25">
      <c r="A394" s="301"/>
      <c r="B394" s="414"/>
      <c r="C394" s="414"/>
      <c r="D394" s="414"/>
      <c r="E394" s="425" t="s">
        <v>322</v>
      </c>
      <c r="F394" s="35"/>
      <c r="G394" s="35">
        <v>4666566</v>
      </c>
      <c r="H394" s="35">
        <f>103141200+2940178</f>
        <v>106081378</v>
      </c>
      <c r="I394" s="35">
        <f t="shared" ref="I394:I400" si="240">+G394+H394</f>
        <v>110747944</v>
      </c>
      <c r="J394" s="35">
        <v>0</v>
      </c>
      <c r="K394" s="35"/>
      <c r="L394" s="35">
        <f>+J394+K394</f>
        <v>0</v>
      </c>
      <c r="M394" s="35">
        <f t="shared" ref="M394:M400" si="241">+I394+L394</f>
        <v>110747944</v>
      </c>
      <c r="N394" s="416"/>
      <c r="U394" s="420"/>
    </row>
    <row r="395" spans="1:21" ht="13.5" customHeight="1" x14ac:dyDescent="0.25">
      <c r="A395" s="301"/>
      <c r="B395" s="414"/>
      <c r="C395" s="414"/>
      <c r="D395" s="414"/>
      <c r="E395" s="425" t="s">
        <v>323</v>
      </c>
      <c r="F395" s="35"/>
      <c r="G395" s="35">
        <v>18666278</v>
      </c>
      <c r="H395" s="35">
        <f>11760731</f>
        <v>11760731</v>
      </c>
      <c r="I395" s="35">
        <f t="shared" si="240"/>
        <v>30427009</v>
      </c>
      <c r="J395" s="35"/>
      <c r="K395" s="35"/>
      <c r="L395" s="35"/>
      <c r="M395" s="35">
        <f t="shared" si="241"/>
        <v>30427009</v>
      </c>
      <c r="N395" s="416"/>
      <c r="U395" s="420"/>
    </row>
    <row r="396" spans="1:21" ht="13.5" customHeight="1" x14ac:dyDescent="0.25">
      <c r="A396" s="301"/>
      <c r="B396" s="414"/>
      <c r="C396" s="414"/>
      <c r="D396" s="414"/>
      <c r="E396" s="425" t="s">
        <v>324</v>
      </c>
      <c r="F396" s="35"/>
      <c r="G396" s="35">
        <v>580644</v>
      </c>
      <c r="H396" s="35">
        <f>583091</f>
        <v>583091</v>
      </c>
      <c r="I396" s="35">
        <f t="shared" si="240"/>
        <v>1163735</v>
      </c>
      <c r="J396" s="35"/>
      <c r="K396" s="35"/>
      <c r="L396" s="35"/>
      <c r="M396" s="35">
        <f t="shared" si="241"/>
        <v>1163735</v>
      </c>
      <c r="N396" s="416"/>
      <c r="U396" s="420"/>
    </row>
    <row r="397" spans="1:21" ht="13.5" customHeight="1" x14ac:dyDescent="0.25">
      <c r="A397" s="301"/>
      <c r="B397" s="414"/>
      <c r="C397" s="414"/>
      <c r="D397" s="414"/>
      <c r="E397" s="425" t="s">
        <v>325</v>
      </c>
      <c r="F397" s="35"/>
      <c r="G397" s="35">
        <v>1741930</v>
      </c>
      <c r="H397" s="35">
        <f>1749275</f>
        <v>1749275</v>
      </c>
      <c r="I397" s="35">
        <f t="shared" si="240"/>
        <v>3491205</v>
      </c>
      <c r="J397" s="35"/>
      <c r="K397" s="35"/>
      <c r="L397" s="35"/>
      <c r="M397" s="35">
        <f t="shared" si="241"/>
        <v>3491205</v>
      </c>
      <c r="N397" s="416"/>
      <c r="U397" s="420"/>
    </row>
    <row r="398" spans="1:21" ht="13.5" customHeight="1" x14ac:dyDescent="0.25">
      <c r="A398" s="301"/>
      <c r="B398" s="414"/>
      <c r="C398" s="414"/>
      <c r="D398" s="414"/>
      <c r="E398" s="425" t="s">
        <v>326</v>
      </c>
      <c r="F398" s="35"/>
      <c r="G398" s="35">
        <v>21310579</v>
      </c>
      <c r="H398" s="35">
        <f>21401459</f>
        <v>21401459</v>
      </c>
      <c r="I398" s="35">
        <f t="shared" si="240"/>
        <v>42712038</v>
      </c>
      <c r="J398" s="35"/>
      <c r="K398" s="35"/>
      <c r="L398" s="35"/>
      <c r="M398" s="35">
        <f t="shared" si="241"/>
        <v>42712038</v>
      </c>
      <c r="N398" s="416"/>
      <c r="U398" s="420"/>
    </row>
    <row r="399" spans="1:21" ht="13.5" customHeight="1" x14ac:dyDescent="0.25">
      <c r="A399" s="299"/>
      <c r="B399" s="426"/>
      <c r="C399" s="426"/>
      <c r="D399" s="426"/>
      <c r="E399" s="427" t="s">
        <v>327</v>
      </c>
      <c r="F399" s="236"/>
      <c r="G399" s="236"/>
      <c r="H399" s="236"/>
      <c r="I399" s="236"/>
      <c r="J399" s="236">
        <v>0</v>
      </c>
      <c r="K399" s="236">
        <f>200000+1250000+1560000+250000+250000+335000+200000+150000</f>
        <v>4195000</v>
      </c>
      <c r="L399" s="236">
        <f>+J399+K399</f>
        <v>4195000</v>
      </c>
      <c r="M399" s="236">
        <f t="shared" si="241"/>
        <v>4195000</v>
      </c>
      <c r="N399" s="428"/>
      <c r="U399" s="420"/>
    </row>
    <row r="400" spans="1:21" ht="13.5" customHeight="1" x14ac:dyDescent="0.25">
      <c r="A400" s="301"/>
      <c r="B400" s="414"/>
      <c r="C400" s="414"/>
      <c r="D400" s="414"/>
      <c r="E400" s="425" t="s">
        <v>426</v>
      </c>
      <c r="F400" s="35"/>
      <c r="G400" s="35"/>
      <c r="H400" s="35"/>
      <c r="I400" s="35">
        <f t="shared" si="240"/>
        <v>0</v>
      </c>
      <c r="J400" s="35"/>
      <c r="K400" s="35"/>
      <c r="L400" s="35"/>
      <c r="M400" s="35">
        <f t="shared" si="241"/>
        <v>0</v>
      </c>
      <c r="N400" s="416"/>
      <c r="U400" s="420"/>
    </row>
    <row r="401" spans="1:21" ht="18" customHeight="1" x14ac:dyDescent="0.25">
      <c r="A401" s="301"/>
      <c r="B401" s="414"/>
      <c r="C401" s="414"/>
      <c r="D401" s="414"/>
      <c r="E401" s="414" t="s">
        <v>23</v>
      </c>
      <c r="F401" s="35"/>
      <c r="G401" s="35"/>
      <c r="H401" s="35"/>
      <c r="I401" s="35"/>
      <c r="J401" s="35"/>
      <c r="K401" s="35"/>
      <c r="L401" s="35"/>
      <c r="M401" s="35"/>
      <c r="N401" s="416"/>
      <c r="U401" s="420"/>
    </row>
    <row r="402" spans="1:21" ht="18" customHeight="1" x14ac:dyDescent="0.25">
      <c r="A402" s="301"/>
      <c r="B402" s="414"/>
      <c r="C402" s="414"/>
      <c r="D402" s="414"/>
      <c r="E402" s="429" t="s">
        <v>27</v>
      </c>
      <c r="F402" s="423"/>
      <c r="G402" s="430"/>
      <c r="H402" s="430">
        <v>0</v>
      </c>
      <c r="I402" s="430">
        <v>0</v>
      </c>
      <c r="J402" s="430">
        <v>0</v>
      </c>
      <c r="K402" s="430">
        <v>0</v>
      </c>
      <c r="L402" s="430">
        <v>0</v>
      </c>
      <c r="M402" s="430">
        <v>0</v>
      </c>
      <c r="N402" s="422"/>
      <c r="Q402" s="298"/>
      <c r="U402" s="420"/>
    </row>
    <row r="403" spans="1:21" ht="8.25" customHeight="1" x14ac:dyDescent="0.25">
      <c r="A403" s="301"/>
      <c r="B403" s="414"/>
      <c r="C403" s="414"/>
      <c r="D403" s="414"/>
      <c r="E403" s="414"/>
      <c r="F403" s="35"/>
      <c r="G403" s="35"/>
      <c r="H403" s="35"/>
      <c r="I403" s="35"/>
      <c r="J403" s="35"/>
      <c r="K403" s="35"/>
      <c r="L403" s="35"/>
      <c r="M403" s="35"/>
      <c r="N403" s="416"/>
      <c r="U403" s="420"/>
    </row>
    <row r="404" spans="1:21" ht="18" customHeight="1" x14ac:dyDescent="0.25">
      <c r="A404" s="301"/>
      <c r="B404" s="414"/>
      <c r="C404" s="414"/>
      <c r="D404" s="414"/>
      <c r="E404" s="414" t="s">
        <v>328</v>
      </c>
      <c r="F404" s="35"/>
      <c r="G404" s="35"/>
      <c r="H404" s="35"/>
      <c r="I404" s="35"/>
      <c r="J404" s="35"/>
      <c r="K404" s="35"/>
      <c r="L404" s="35"/>
      <c r="M404" s="35"/>
      <c r="N404" s="416"/>
      <c r="U404" s="420"/>
    </row>
    <row r="405" spans="1:21" ht="18" customHeight="1" x14ac:dyDescent="0.25">
      <c r="A405" s="301"/>
      <c r="B405" s="414"/>
      <c r="C405" s="414"/>
      <c r="D405" s="414"/>
      <c r="E405" s="414" t="s">
        <v>21</v>
      </c>
      <c r="F405" s="35"/>
      <c r="G405" s="35">
        <f>+G386</f>
        <v>9805797967</v>
      </c>
      <c r="H405" s="424">
        <f>+H386</f>
        <v>9782812369</v>
      </c>
      <c r="I405" s="35">
        <f t="shared" ref="I405:L405" si="242">+I386</f>
        <v>19588610336</v>
      </c>
      <c r="J405" s="35">
        <f t="shared" si="242"/>
        <v>114284700</v>
      </c>
      <c r="K405" s="35">
        <f t="shared" si="242"/>
        <v>345746731</v>
      </c>
      <c r="L405" s="35">
        <f t="shared" si="242"/>
        <v>460031431</v>
      </c>
      <c r="M405" s="35">
        <f>+M386</f>
        <v>20048641767</v>
      </c>
      <c r="N405" s="416"/>
      <c r="O405" s="431"/>
      <c r="U405" s="420"/>
    </row>
    <row r="406" spans="1:21" ht="18" customHeight="1" x14ac:dyDescent="0.25">
      <c r="A406" s="301"/>
      <c r="B406" s="414"/>
      <c r="C406" s="414"/>
      <c r="D406" s="414"/>
      <c r="E406" s="414" t="s">
        <v>42</v>
      </c>
      <c r="F406" s="35"/>
      <c r="G406" s="35">
        <f>+SUM(G407:G420)</f>
        <v>69770614</v>
      </c>
      <c r="H406" s="35">
        <f>+SUM(H407:H420)</f>
        <v>146259456</v>
      </c>
      <c r="I406" s="35">
        <f>+G406+H406</f>
        <v>216030070</v>
      </c>
      <c r="J406" s="35">
        <f>+SUM(J407:J420)</f>
        <v>2165454</v>
      </c>
      <c r="K406" s="35">
        <f>+SUM(K407:K420)</f>
        <v>11391265</v>
      </c>
      <c r="L406" s="35">
        <f>+J406+K406</f>
        <v>13556719</v>
      </c>
      <c r="M406" s="424">
        <f>+I406+L406</f>
        <v>229586789</v>
      </c>
      <c r="N406" s="416"/>
      <c r="U406" s="420"/>
    </row>
    <row r="407" spans="1:21" ht="15" customHeight="1" x14ac:dyDescent="0.25">
      <c r="A407" s="301"/>
      <c r="B407" s="414"/>
      <c r="C407" s="414"/>
      <c r="D407" s="414"/>
      <c r="E407" s="425" t="s">
        <v>24</v>
      </c>
      <c r="F407" s="35"/>
      <c r="G407" s="35">
        <v>0</v>
      </c>
      <c r="H407" s="35">
        <v>1563375</v>
      </c>
      <c r="I407" s="35">
        <f>+G407+H407</f>
        <v>1563375</v>
      </c>
      <c r="J407" s="35">
        <v>1804545</v>
      </c>
      <c r="K407" s="35">
        <f>1804545+241802+281937+205631+1672297+541854+748644</f>
        <v>5496710</v>
      </c>
      <c r="L407" s="35">
        <f>+J407+K407</f>
        <v>7301255</v>
      </c>
      <c r="M407" s="35">
        <f>+I407+L407</f>
        <v>8864630</v>
      </c>
      <c r="N407" s="416"/>
      <c r="U407" s="420"/>
    </row>
    <row r="408" spans="1:21" ht="15" customHeight="1" x14ac:dyDescent="0.25">
      <c r="A408" s="301"/>
      <c r="B408" s="414"/>
      <c r="C408" s="414"/>
      <c r="D408" s="414"/>
      <c r="E408" s="425" t="s">
        <v>22</v>
      </c>
      <c r="F408" s="35"/>
      <c r="G408" s="35">
        <v>22804617</v>
      </c>
      <c r="H408" s="35">
        <f>277647</f>
        <v>277647</v>
      </c>
      <c r="I408" s="35">
        <f>+G408+H408</f>
        <v>23082264</v>
      </c>
      <c r="J408" s="35">
        <v>0</v>
      </c>
      <c r="K408" s="35"/>
      <c r="L408" s="35">
        <f>+J408+K408</f>
        <v>0</v>
      </c>
      <c r="M408" s="35">
        <f>+I408+L408</f>
        <v>23082264</v>
      </c>
      <c r="N408" s="416"/>
      <c r="U408" s="420"/>
    </row>
    <row r="409" spans="1:21" ht="15" customHeight="1" x14ac:dyDescent="0.25">
      <c r="A409" s="301"/>
      <c r="B409" s="414"/>
      <c r="C409" s="414"/>
      <c r="D409" s="414"/>
      <c r="E409" s="425" t="s">
        <v>25</v>
      </c>
      <c r="F409" s="35"/>
      <c r="G409" s="35">
        <v>0</v>
      </c>
      <c r="H409" s="236"/>
      <c r="I409" s="35">
        <f>+G409+H409</f>
        <v>0</v>
      </c>
      <c r="J409" s="35">
        <v>0</v>
      </c>
      <c r="K409" s="236">
        <f>187500+234000+37500+37500+50250+30000+22500+228041+98519+102088</f>
        <v>1027898</v>
      </c>
      <c r="L409" s="35">
        <f>+J409+K409</f>
        <v>1027898</v>
      </c>
      <c r="M409" s="35">
        <f>+I409+L409</f>
        <v>1027898</v>
      </c>
      <c r="N409" s="416"/>
      <c r="U409" s="420"/>
    </row>
    <row r="410" spans="1:21" ht="15" customHeight="1" x14ac:dyDescent="0.25">
      <c r="A410" s="301"/>
      <c r="B410" s="414"/>
      <c r="C410" s="414"/>
      <c r="D410" s="414"/>
      <c r="E410" s="425" t="s">
        <v>26</v>
      </c>
      <c r="F410" s="35"/>
      <c r="G410" s="35">
        <v>0</v>
      </c>
      <c r="H410" s="35">
        <v>2842500</v>
      </c>
      <c r="I410" s="35">
        <f>+G410+H410</f>
        <v>2842500</v>
      </c>
      <c r="J410" s="35">
        <v>360909</v>
      </c>
      <c r="K410" s="35">
        <f>35200+37100+37200+360909+48800+35000+28800+51261+37387</f>
        <v>671657</v>
      </c>
      <c r="L410" s="35">
        <f>+J410+K410</f>
        <v>1032566</v>
      </c>
      <c r="M410" s="35">
        <f>+I410+L410</f>
        <v>3875066</v>
      </c>
      <c r="N410" s="416"/>
      <c r="U410" s="420"/>
    </row>
    <row r="411" spans="1:21" ht="15" customHeight="1" x14ac:dyDescent="0.25">
      <c r="A411" s="301"/>
      <c r="B411" s="414"/>
      <c r="C411" s="414"/>
      <c r="D411" s="414"/>
      <c r="E411" s="425" t="s">
        <v>40</v>
      </c>
      <c r="F411" s="35"/>
      <c r="G411" s="35"/>
      <c r="H411" s="35"/>
      <c r="I411" s="35"/>
      <c r="J411" s="35"/>
      <c r="K411" s="35"/>
      <c r="L411" s="35"/>
      <c r="M411" s="35"/>
      <c r="N411" s="416"/>
      <c r="U411" s="420"/>
    </row>
    <row r="412" spans="1:21" ht="15" customHeight="1" x14ac:dyDescent="0.25">
      <c r="A412" s="301"/>
      <c r="B412" s="414"/>
      <c r="C412" s="414"/>
      <c r="D412" s="414"/>
      <c r="E412" s="425" t="s">
        <v>321</v>
      </c>
      <c r="F412" s="35"/>
      <c r="G412" s="35">
        <v>0</v>
      </c>
      <c r="H412" s="35"/>
      <c r="I412" s="35">
        <f>+G412+H412</f>
        <v>0</v>
      </c>
      <c r="J412" s="35">
        <v>0</v>
      </c>
      <c r="K412" s="35"/>
      <c r="L412" s="35">
        <f>+J412+K412</f>
        <v>0</v>
      </c>
      <c r="M412" s="35">
        <f t="shared" ref="M412:M419" si="243">+I412+L412</f>
        <v>0</v>
      </c>
      <c r="N412" s="416"/>
      <c r="U412" s="420"/>
    </row>
    <row r="413" spans="1:21" ht="15" customHeight="1" x14ac:dyDescent="0.25">
      <c r="A413" s="301"/>
      <c r="B413" s="414"/>
      <c r="C413" s="414"/>
      <c r="D413" s="414"/>
      <c r="E413" s="425" t="s">
        <v>322</v>
      </c>
      <c r="F413" s="35"/>
      <c r="G413" s="35">
        <v>4666566</v>
      </c>
      <c r="H413" s="35">
        <f>103141200+2940178</f>
        <v>106081378</v>
      </c>
      <c r="I413" s="35">
        <f t="shared" ref="I413:I419" si="244">+G413+H413</f>
        <v>110747944</v>
      </c>
      <c r="J413" s="35"/>
      <c r="K413" s="35"/>
      <c r="L413" s="35"/>
      <c r="M413" s="35">
        <f t="shared" si="243"/>
        <v>110747944</v>
      </c>
      <c r="N413" s="416"/>
      <c r="U413" s="420"/>
    </row>
    <row r="414" spans="1:21" ht="15" customHeight="1" x14ac:dyDescent="0.25">
      <c r="A414" s="301"/>
      <c r="B414" s="414"/>
      <c r="C414" s="414"/>
      <c r="D414" s="414"/>
      <c r="E414" s="425" t="s">
        <v>323</v>
      </c>
      <c r="F414" s="35"/>
      <c r="G414" s="35">
        <v>18666278</v>
      </c>
      <c r="H414" s="35">
        <f>11760731</f>
        <v>11760731</v>
      </c>
      <c r="I414" s="35">
        <f t="shared" si="244"/>
        <v>30427009</v>
      </c>
      <c r="J414" s="35"/>
      <c r="K414" s="35"/>
      <c r="L414" s="35"/>
      <c r="M414" s="35">
        <f t="shared" si="243"/>
        <v>30427009</v>
      </c>
      <c r="N414" s="416"/>
      <c r="U414" s="420"/>
    </row>
    <row r="415" spans="1:21" ht="15" customHeight="1" x14ac:dyDescent="0.25">
      <c r="A415" s="301"/>
      <c r="B415" s="414"/>
      <c r="C415" s="414"/>
      <c r="D415" s="414"/>
      <c r="E415" s="425" t="s">
        <v>324</v>
      </c>
      <c r="F415" s="35"/>
      <c r="G415" s="35">
        <v>580644</v>
      </c>
      <c r="H415" s="35">
        <f>583091</f>
        <v>583091</v>
      </c>
      <c r="I415" s="35">
        <f t="shared" si="244"/>
        <v>1163735</v>
      </c>
      <c r="J415" s="35"/>
      <c r="K415" s="35"/>
      <c r="L415" s="35"/>
      <c r="M415" s="35">
        <f t="shared" si="243"/>
        <v>1163735</v>
      </c>
      <c r="N415" s="416"/>
      <c r="U415" s="420"/>
    </row>
    <row r="416" spans="1:21" ht="15" customHeight="1" x14ac:dyDescent="0.25">
      <c r="A416" s="301"/>
      <c r="B416" s="414"/>
      <c r="C416" s="414"/>
      <c r="D416" s="414"/>
      <c r="E416" s="425" t="s">
        <v>325</v>
      </c>
      <c r="F416" s="35"/>
      <c r="G416" s="35">
        <v>1741930</v>
      </c>
      <c r="H416" s="35">
        <f>1749275</f>
        <v>1749275</v>
      </c>
      <c r="I416" s="35">
        <f t="shared" si="244"/>
        <v>3491205</v>
      </c>
      <c r="J416" s="35"/>
      <c r="K416" s="35"/>
      <c r="L416" s="35"/>
      <c r="M416" s="35">
        <f t="shared" si="243"/>
        <v>3491205</v>
      </c>
      <c r="N416" s="416"/>
      <c r="U416" s="420"/>
    </row>
    <row r="417" spans="1:21" ht="15" customHeight="1" x14ac:dyDescent="0.25">
      <c r="A417" s="301"/>
      <c r="B417" s="414"/>
      <c r="C417" s="414"/>
      <c r="D417" s="414"/>
      <c r="E417" s="425" t="s">
        <v>326</v>
      </c>
      <c r="F417" s="35"/>
      <c r="G417" s="35">
        <v>21310579</v>
      </c>
      <c r="H417" s="35">
        <f>21401459</f>
        <v>21401459</v>
      </c>
      <c r="I417" s="35">
        <f t="shared" si="244"/>
        <v>42712038</v>
      </c>
      <c r="J417" s="35"/>
      <c r="K417" s="35"/>
      <c r="L417" s="35"/>
      <c r="M417" s="35">
        <f t="shared" si="243"/>
        <v>42712038</v>
      </c>
      <c r="N417" s="416"/>
      <c r="U417" s="420"/>
    </row>
    <row r="418" spans="1:21" ht="15" customHeight="1" x14ac:dyDescent="0.25">
      <c r="A418" s="301"/>
      <c r="B418" s="414"/>
      <c r="C418" s="414"/>
      <c r="D418" s="414"/>
      <c r="E418" s="425" t="s">
        <v>327</v>
      </c>
      <c r="F418" s="35"/>
      <c r="G418" s="35"/>
      <c r="H418" s="236"/>
      <c r="I418" s="35"/>
      <c r="J418" s="35"/>
      <c r="K418" s="236">
        <f>200000+1250000+1560000+250000+250000+335000+200000+150000</f>
        <v>4195000</v>
      </c>
      <c r="L418" s="35">
        <f>+J418+K418</f>
        <v>4195000</v>
      </c>
      <c r="M418" s="35">
        <f t="shared" si="243"/>
        <v>4195000</v>
      </c>
      <c r="N418" s="416"/>
      <c r="U418" s="420"/>
    </row>
    <row r="419" spans="1:21" ht="15" customHeight="1" x14ac:dyDescent="0.25">
      <c r="A419" s="301"/>
      <c r="B419" s="414"/>
      <c r="C419" s="414"/>
      <c r="D419" s="414"/>
      <c r="E419" s="425" t="s">
        <v>426</v>
      </c>
      <c r="F419" s="35"/>
      <c r="G419" s="35"/>
      <c r="H419" s="35"/>
      <c r="I419" s="35">
        <f t="shared" si="244"/>
        <v>0</v>
      </c>
      <c r="J419" s="35"/>
      <c r="K419" s="35"/>
      <c r="L419" s="35"/>
      <c r="M419" s="35">
        <f t="shared" si="243"/>
        <v>0</v>
      </c>
      <c r="N419" s="416"/>
      <c r="U419" s="420"/>
    </row>
    <row r="420" spans="1:21" ht="15" customHeight="1" x14ac:dyDescent="0.25">
      <c r="A420" s="301"/>
      <c r="B420" s="414"/>
      <c r="C420" s="414"/>
      <c r="D420" s="414"/>
      <c r="E420" s="414" t="s">
        <v>23</v>
      </c>
      <c r="F420" s="35"/>
      <c r="G420" s="35"/>
      <c r="H420" s="35"/>
      <c r="I420" s="35"/>
      <c r="J420" s="35"/>
      <c r="K420" s="35"/>
      <c r="L420" s="35"/>
      <c r="M420" s="35"/>
      <c r="N420" s="416"/>
      <c r="U420" s="420"/>
    </row>
    <row r="421" spans="1:21" ht="18" customHeight="1" x14ac:dyDescent="0.25">
      <c r="A421" s="301"/>
      <c r="B421" s="414"/>
      <c r="C421" s="414"/>
      <c r="D421" s="414"/>
      <c r="E421" s="429" t="s">
        <v>27</v>
      </c>
      <c r="F421" s="423"/>
      <c r="G421" s="430" t="s">
        <v>49</v>
      </c>
      <c r="H421" s="430" t="s">
        <v>49</v>
      </c>
      <c r="I421" s="430" t="s">
        <v>49</v>
      </c>
      <c r="J421" s="430" t="s">
        <v>49</v>
      </c>
      <c r="K421" s="430" t="s">
        <v>49</v>
      </c>
      <c r="L421" s="430" t="s">
        <v>49</v>
      </c>
      <c r="M421" s="430" t="s">
        <v>49</v>
      </c>
      <c r="N421" s="422"/>
      <c r="U421" s="420"/>
    </row>
    <row r="422" spans="1:21" ht="18" customHeight="1" x14ac:dyDescent="0.25">
      <c r="A422" s="301"/>
      <c r="B422" s="414"/>
      <c r="C422" s="414"/>
      <c r="D422" s="414"/>
      <c r="E422" s="414"/>
      <c r="F422" s="416"/>
      <c r="G422" s="416"/>
      <c r="H422" s="416"/>
      <c r="I422" s="416"/>
      <c r="J422" s="416"/>
      <c r="K422" s="416"/>
      <c r="L422" s="416"/>
      <c r="M422" s="416"/>
      <c r="N422" s="416"/>
      <c r="U422" s="420"/>
    </row>
    <row r="423" spans="1:21" ht="18" customHeight="1" x14ac:dyDescent="0.25">
      <c r="A423" s="432"/>
      <c r="B423" s="432"/>
      <c r="C423" s="432"/>
      <c r="D423" s="432"/>
      <c r="E423" s="429" t="s">
        <v>28</v>
      </c>
      <c r="F423" s="422"/>
      <c r="G423" s="422">
        <v>0</v>
      </c>
      <c r="H423" s="422">
        <v>0</v>
      </c>
      <c r="I423" s="422">
        <v>0</v>
      </c>
      <c r="J423" s="422">
        <v>0</v>
      </c>
      <c r="K423" s="422">
        <v>0</v>
      </c>
      <c r="L423" s="422">
        <v>0</v>
      </c>
      <c r="M423" s="422">
        <v>0</v>
      </c>
      <c r="N423" s="422"/>
      <c r="U423" s="420"/>
    </row>
    <row r="424" spans="1:21" ht="18" customHeight="1" x14ac:dyDescent="0.25">
      <c r="U424" s="420"/>
    </row>
    <row r="425" spans="1:21" ht="18" customHeight="1" x14ac:dyDescent="0.25">
      <c r="A425" s="537" t="s">
        <v>52</v>
      </c>
      <c r="B425" s="537"/>
      <c r="C425" s="537"/>
      <c r="D425" s="537"/>
      <c r="L425" s="539" t="s">
        <v>486</v>
      </c>
      <c r="M425" s="539"/>
      <c r="N425" s="539"/>
      <c r="U425" s="420"/>
    </row>
    <row r="426" spans="1:21" ht="18" customHeight="1" x14ac:dyDescent="0.25">
      <c r="A426" s="537" t="s">
        <v>59</v>
      </c>
      <c r="B426" s="537"/>
      <c r="C426" s="537"/>
      <c r="D426" s="537"/>
      <c r="U426" s="420"/>
    </row>
    <row r="427" spans="1:21" ht="18" customHeight="1" x14ac:dyDescent="0.25">
      <c r="A427" s="537" t="s">
        <v>60</v>
      </c>
      <c r="B427" s="537"/>
      <c r="C427" s="537"/>
      <c r="D427" s="537"/>
      <c r="E427" s="434" t="s">
        <v>38</v>
      </c>
      <c r="F427" s="538" t="s">
        <v>39</v>
      </c>
      <c r="G427" s="538"/>
      <c r="H427" s="538"/>
      <c r="I427" s="435"/>
      <c r="J427" s="435"/>
      <c r="K427" s="435"/>
      <c r="L427" s="538" t="s">
        <v>422</v>
      </c>
      <c r="M427" s="538"/>
      <c r="N427" s="538"/>
      <c r="U427" s="420"/>
    </row>
    <row r="428" spans="1:21" ht="18" customHeight="1" x14ac:dyDescent="0.25">
      <c r="A428" s="537" t="s">
        <v>53</v>
      </c>
      <c r="B428" s="537"/>
      <c r="C428" s="537"/>
      <c r="D428" s="537"/>
      <c r="E428" s="434" t="s">
        <v>330</v>
      </c>
      <c r="F428" s="538" t="s">
        <v>54</v>
      </c>
      <c r="G428" s="538"/>
      <c r="H428" s="538"/>
      <c r="I428" s="435"/>
      <c r="J428" s="435"/>
      <c r="K428" s="435"/>
      <c r="L428" s="538" t="s">
        <v>330</v>
      </c>
      <c r="M428" s="538"/>
      <c r="N428" s="538"/>
      <c r="U428" s="420"/>
    </row>
    <row r="429" spans="1:21" ht="18" customHeight="1" x14ac:dyDescent="0.25">
      <c r="A429" s="485"/>
      <c r="B429" s="436"/>
      <c r="C429" s="436"/>
      <c r="D429" s="436"/>
      <c r="E429" s="485"/>
      <c r="G429" s="486"/>
      <c r="H429" s="438"/>
      <c r="I429" s="438"/>
      <c r="K429" s="438"/>
      <c r="L429" s="438"/>
      <c r="M429" s="438"/>
      <c r="N429" s="438"/>
      <c r="U429" s="420"/>
    </row>
    <row r="430" spans="1:21" ht="18" customHeight="1" x14ac:dyDescent="0.25">
      <c r="A430" s="485"/>
      <c r="B430" s="436"/>
      <c r="C430" s="436"/>
      <c r="D430" s="436"/>
      <c r="E430" s="485"/>
      <c r="G430" s="438"/>
      <c r="H430" s="438"/>
      <c r="K430" s="438"/>
      <c r="L430" s="438"/>
      <c r="M430" s="438"/>
    </row>
    <row r="431" spans="1:21" ht="18" customHeight="1" x14ac:dyDescent="0.25">
      <c r="A431" s="439"/>
      <c r="B431" s="436"/>
      <c r="C431" s="436"/>
      <c r="D431" s="436"/>
      <c r="E431" s="485"/>
      <c r="G431" s="438"/>
      <c r="H431" s="438"/>
      <c r="K431" s="438"/>
      <c r="L431" s="438"/>
      <c r="M431" s="438"/>
    </row>
    <row r="432" spans="1:21" ht="18" customHeight="1" x14ac:dyDescent="0.25">
      <c r="A432" s="537" t="s">
        <v>56</v>
      </c>
      <c r="B432" s="537"/>
      <c r="C432" s="537"/>
      <c r="D432" s="537"/>
      <c r="E432" s="485" t="s">
        <v>421</v>
      </c>
      <c r="F432" s="539" t="s">
        <v>51</v>
      </c>
      <c r="G432" s="539"/>
      <c r="H432" s="539"/>
      <c r="I432" s="161"/>
      <c r="J432" s="161"/>
      <c r="K432" s="161"/>
      <c r="L432" s="539" t="s">
        <v>423</v>
      </c>
      <c r="M432" s="539"/>
      <c r="N432" s="539"/>
    </row>
    <row r="433" spans="1:14" ht="18" customHeight="1" x14ac:dyDescent="0.25">
      <c r="A433" s="537" t="s">
        <v>29</v>
      </c>
      <c r="B433" s="537"/>
      <c r="C433" s="537"/>
      <c r="D433" s="537"/>
      <c r="E433" s="485" t="s">
        <v>419</v>
      </c>
      <c r="F433" s="540" t="s">
        <v>58</v>
      </c>
      <c r="G433" s="540"/>
      <c r="H433" s="540"/>
      <c r="I433" s="161"/>
      <c r="J433" s="161"/>
      <c r="K433" s="161"/>
      <c r="L433" s="540" t="s">
        <v>425</v>
      </c>
      <c r="M433" s="540"/>
      <c r="N433" s="540"/>
    </row>
    <row r="434" spans="1:14" ht="18" customHeight="1" x14ac:dyDescent="0.25">
      <c r="A434" s="537" t="s">
        <v>57</v>
      </c>
      <c r="B434" s="537"/>
      <c r="C434" s="537"/>
      <c r="D434" s="537"/>
      <c r="E434" s="485" t="s">
        <v>420</v>
      </c>
      <c r="F434" s="539" t="s">
        <v>47</v>
      </c>
      <c r="G434" s="539"/>
      <c r="H434" s="539"/>
      <c r="I434" s="161"/>
      <c r="J434" s="161"/>
      <c r="K434" s="161"/>
      <c r="L434" s="539" t="s">
        <v>424</v>
      </c>
      <c r="M434" s="539"/>
      <c r="N434" s="539"/>
    </row>
  </sheetData>
  <mergeCells count="33"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  <mergeCell ref="B17:D17"/>
    <mergeCell ref="A426:D426"/>
    <mergeCell ref="A427:D427"/>
    <mergeCell ref="F427:H427"/>
    <mergeCell ref="L427:N427"/>
    <mergeCell ref="A425:D425"/>
    <mergeCell ref="L425:N425"/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</mergeCells>
  <printOptions horizontalCentered="1"/>
  <pageMargins left="0.59055118110236227" right="0.19685039370078741" top="0.39370078740157483" bottom="0.19685039370078741" header="0.31496062992125984" footer="0.31496062992125984"/>
  <pageSetup paperSize="258" scale="56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U434"/>
  <sheetViews>
    <sheetView showGridLines="0" view="pageBreakPreview" zoomScale="90" zoomScaleNormal="85" zoomScaleSheetLayoutView="90" workbookViewId="0">
      <pane xSplit="4" ySplit="16" topLeftCell="H369" activePane="bottomRight" state="frozen"/>
      <selection activeCell="H365" sqref="H365"/>
      <selection pane="topRight" activeCell="H365" sqref="H365"/>
      <selection pane="bottomLeft" activeCell="H365" sqref="H365"/>
      <selection pane="bottomRight" activeCell="H365" sqref="H365"/>
    </sheetView>
  </sheetViews>
  <sheetFormatPr defaultRowHeight="15" customHeight="1" x14ac:dyDescent="0.25"/>
  <cols>
    <col min="1" max="1" width="6" style="1" customWidth="1"/>
    <col min="2" max="2" width="11.5703125" style="1" customWidth="1"/>
    <col min="3" max="3" width="13.7109375" style="1" customWidth="1"/>
    <col min="4" max="4" width="15.85546875" style="1" customWidth="1"/>
    <col min="5" max="5" width="68.5703125" style="1" customWidth="1"/>
    <col min="6" max="6" width="18.140625" style="1" customWidth="1"/>
    <col min="7" max="7" width="16.85546875" style="1" customWidth="1"/>
    <col min="8" max="8" width="15.85546875" style="1" customWidth="1"/>
    <col min="9" max="9" width="18.7109375" style="1" customWidth="1"/>
    <col min="10" max="10" width="15" style="1" customWidth="1"/>
    <col min="11" max="11" width="14" style="1" customWidth="1"/>
    <col min="12" max="12" width="15.140625" style="1" customWidth="1"/>
    <col min="13" max="13" width="16.7109375" style="1" customWidth="1"/>
    <col min="14" max="14" width="19.28515625" style="1" customWidth="1"/>
    <col min="15" max="15" width="4.28515625" style="1" customWidth="1"/>
    <col min="16" max="16" width="18.42578125" style="188" customWidth="1"/>
    <col min="17" max="17" width="14.85546875" style="1" customWidth="1"/>
    <col min="18" max="18" width="15.42578125" style="1" customWidth="1"/>
    <col min="19" max="19" width="20.140625" style="207" customWidth="1"/>
    <col min="20" max="20" width="25.7109375" style="207" customWidth="1"/>
    <col min="21" max="21" width="26.140625" style="1" customWidth="1"/>
    <col min="22" max="16384" width="9.140625" style="1"/>
  </cols>
  <sheetData>
    <row r="1" spans="1:18" ht="15" customHeight="1" x14ac:dyDescent="0.25">
      <c r="A1" s="503" t="s">
        <v>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</row>
    <row r="2" spans="1:18" ht="15" hidden="1" customHeight="1" x14ac:dyDescent="0.25">
      <c r="A2" s="503" t="s">
        <v>1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</row>
    <row r="3" spans="1:18" ht="15" hidden="1" customHeight="1" x14ac:dyDescent="0.25">
      <c r="A3" s="503" t="s">
        <v>2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1:18" ht="15" hidden="1" customHeight="1" x14ac:dyDescent="0.25"/>
    <row r="5" spans="1:18" ht="15" hidden="1" customHeight="1" x14ac:dyDescent="0.25"/>
    <row r="6" spans="1:18" ht="15" hidden="1" customHeight="1" x14ac:dyDescent="0.25">
      <c r="A6" s="1" t="s">
        <v>3</v>
      </c>
      <c r="D6" s="1" t="s">
        <v>45</v>
      </c>
    </row>
    <row r="7" spans="1:18" ht="15" hidden="1" customHeight="1" x14ac:dyDescent="0.25">
      <c r="A7" s="1" t="s">
        <v>4</v>
      </c>
      <c r="D7" s="1" t="s">
        <v>55</v>
      </c>
    </row>
    <row r="8" spans="1:18" ht="15" hidden="1" customHeight="1" x14ac:dyDescent="0.25">
      <c r="A8" s="1" t="s">
        <v>5</v>
      </c>
      <c r="D8" s="504" t="s">
        <v>50</v>
      </c>
      <c r="E8" s="504"/>
      <c r="F8" s="504"/>
    </row>
    <row r="9" spans="1:18" ht="15" hidden="1" customHeight="1" x14ac:dyDescent="0.25">
      <c r="A9" s="1" t="s">
        <v>6</v>
      </c>
      <c r="D9" s="1" t="s">
        <v>449</v>
      </c>
      <c r="R9" s="2"/>
    </row>
    <row r="10" spans="1:18" ht="15" hidden="1" customHeight="1" x14ac:dyDescent="0.25">
      <c r="A10" s="1" t="s">
        <v>7</v>
      </c>
      <c r="D10" s="1" t="s">
        <v>487</v>
      </c>
      <c r="R10" s="2"/>
    </row>
    <row r="11" spans="1:18" ht="15" hidden="1" customHeight="1" x14ac:dyDescent="0.25">
      <c r="R11" s="2"/>
    </row>
    <row r="12" spans="1:18" ht="15" customHeight="1" x14ac:dyDescent="0.25">
      <c r="R12" s="2"/>
    </row>
    <row r="13" spans="1:18" ht="15" customHeight="1" x14ac:dyDescent="0.25">
      <c r="A13" s="505" t="s">
        <v>37</v>
      </c>
      <c r="B13" s="507" t="s">
        <v>10</v>
      </c>
      <c r="C13" s="508"/>
      <c r="D13" s="509"/>
      <c r="E13" s="513" t="s">
        <v>8</v>
      </c>
      <c r="F13" s="513" t="s">
        <v>9</v>
      </c>
      <c r="G13" s="515" t="s">
        <v>14</v>
      </c>
      <c r="H13" s="515"/>
      <c r="I13" s="515"/>
      <c r="J13" s="515" t="s">
        <v>15</v>
      </c>
      <c r="K13" s="515"/>
      <c r="L13" s="515"/>
      <c r="M13" s="513" t="s">
        <v>17</v>
      </c>
      <c r="N13" s="513" t="s">
        <v>16</v>
      </c>
      <c r="R13" s="2"/>
    </row>
    <row r="14" spans="1:18" ht="15" customHeight="1" x14ac:dyDescent="0.25">
      <c r="A14" s="506"/>
      <c r="B14" s="510"/>
      <c r="C14" s="511"/>
      <c r="D14" s="512"/>
      <c r="E14" s="513"/>
      <c r="F14" s="514"/>
      <c r="G14" s="464" t="s">
        <v>11</v>
      </c>
      <c r="H14" s="464" t="s">
        <v>12</v>
      </c>
      <c r="I14" s="464" t="s">
        <v>13</v>
      </c>
      <c r="J14" s="464" t="s">
        <v>11</v>
      </c>
      <c r="K14" s="464" t="s">
        <v>12</v>
      </c>
      <c r="L14" s="464" t="s">
        <v>13</v>
      </c>
      <c r="M14" s="513"/>
      <c r="N14" s="513"/>
      <c r="R14" s="3"/>
    </row>
    <row r="15" spans="1:18" ht="15" customHeight="1" x14ac:dyDescent="0.25">
      <c r="A15" s="4"/>
      <c r="B15" s="497">
        <v>1</v>
      </c>
      <c r="C15" s="498"/>
      <c r="D15" s="499"/>
      <c r="E15" s="465">
        <v>2</v>
      </c>
      <c r="F15" s="465">
        <v>3</v>
      </c>
      <c r="G15" s="465">
        <v>7</v>
      </c>
      <c r="H15" s="465">
        <v>8</v>
      </c>
      <c r="I15" s="465" t="s">
        <v>18</v>
      </c>
      <c r="J15" s="465">
        <v>10</v>
      </c>
      <c r="K15" s="465">
        <v>11</v>
      </c>
      <c r="L15" s="465" t="s">
        <v>19</v>
      </c>
      <c r="M15" s="465" t="s">
        <v>155</v>
      </c>
      <c r="N15" s="465" t="s">
        <v>36</v>
      </c>
    </row>
    <row r="16" spans="1:18" ht="15" customHeight="1" x14ac:dyDescent="0.25">
      <c r="A16" s="8"/>
      <c r="B16" s="500"/>
      <c r="C16" s="501"/>
      <c r="D16" s="502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21" ht="17.100000000000001" customHeight="1" x14ac:dyDescent="0.25">
      <c r="A17" s="99"/>
      <c r="B17" s="494" t="s">
        <v>20</v>
      </c>
      <c r="C17" s="495"/>
      <c r="D17" s="496"/>
      <c r="E17" s="99"/>
      <c r="F17" s="100">
        <f>+F18+F47+F122+F138+F239+F247+F298+F350</f>
        <v>428263811167</v>
      </c>
      <c r="G17" s="100">
        <f>+G18+G47+G122+G138+G239+G247+G298+G350</f>
        <v>19588610336</v>
      </c>
      <c r="H17" s="100">
        <f>+H18+H47+H122+H138+H239+H247+H298+H350</f>
        <v>28967363516</v>
      </c>
      <c r="I17" s="100">
        <f>+G17+H17</f>
        <v>48555973852</v>
      </c>
      <c r="J17" s="100">
        <f>+J18+J47+J122+J138+J239+J247+J298+J350</f>
        <v>460031431</v>
      </c>
      <c r="K17" s="100">
        <f>+K18+K47+K122+K138+K239+K247+K298+K350</f>
        <v>316277418</v>
      </c>
      <c r="L17" s="100">
        <f>+J17+K17</f>
        <v>776308849</v>
      </c>
      <c r="M17" s="100">
        <f>+I17+L17</f>
        <v>49332282701</v>
      </c>
      <c r="N17" s="100">
        <f>+F17-M17</f>
        <v>378931528466</v>
      </c>
      <c r="R17" s="3"/>
      <c r="U17" s="188">
        <f>178000000+33460000+79728000+22342995000+29162378+3014333670+6242819000+179060000+4822000000+316799545+177216575</f>
        <v>37415574168</v>
      </c>
    </row>
    <row r="18" spans="1:21" s="114" customFormat="1" ht="18" customHeight="1" x14ac:dyDescent="0.25">
      <c r="A18" s="109"/>
      <c r="B18" s="110" t="s">
        <v>336</v>
      </c>
      <c r="C18" s="110"/>
      <c r="D18" s="110"/>
      <c r="E18" s="111" t="s">
        <v>335</v>
      </c>
      <c r="F18" s="112">
        <f>+F19+F32</f>
        <v>276269500</v>
      </c>
      <c r="G18" s="113">
        <f>+G19+G32</f>
        <v>0</v>
      </c>
      <c r="H18" s="113">
        <f>+H19+H32</f>
        <v>0</v>
      </c>
      <c r="I18" s="113">
        <f>+G18+H18</f>
        <v>0</v>
      </c>
      <c r="J18" s="113">
        <f>+J19+J32</f>
        <v>48567500</v>
      </c>
      <c r="K18" s="113">
        <f>+K19+K32</f>
        <v>24428500</v>
      </c>
      <c r="L18" s="113">
        <f>+J18+K18</f>
        <v>72996000</v>
      </c>
      <c r="M18" s="113">
        <f>+I18+L18</f>
        <v>72996000</v>
      </c>
      <c r="N18" s="112">
        <f>+F18-M18</f>
        <v>203273500</v>
      </c>
      <c r="P18" s="189">
        <f>+N19+N32+N48+N113+N123+N139+N165+N173+N184+N206+N240+N248+N256+N269+N278+N299+N312+N331+N337+N343+N351+N357+N369+N375</f>
        <v>378931528466</v>
      </c>
      <c r="Q18" s="114" t="s">
        <v>332</v>
      </c>
      <c r="R18" s="115"/>
      <c r="S18" s="238" t="s">
        <v>427</v>
      </c>
      <c r="T18" s="208"/>
    </row>
    <row r="19" spans="1:21" s="121" customFormat="1" ht="18" customHeight="1" x14ac:dyDescent="0.25">
      <c r="A19" s="154">
        <v>1</v>
      </c>
      <c r="B19" s="155"/>
      <c r="C19" s="155" t="s">
        <v>61</v>
      </c>
      <c r="D19" s="156"/>
      <c r="E19" s="157" t="s">
        <v>62</v>
      </c>
      <c r="F19" s="158">
        <f t="shared" ref="F19:H20" si="0">+F20</f>
        <v>117975500</v>
      </c>
      <c r="G19" s="159">
        <f t="shared" si="0"/>
        <v>0</v>
      </c>
      <c r="H19" s="159">
        <f t="shared" si="0"/>
        <v>0</v>
      </c>
      <c r="I19" s="159">
        <f>+G19+H19</f>
        <v>0</v>
      </c>
      <c r="J19" s="159">
        <f>+J20</f>
        <v>39967500</v>
      </c>
      <c r="K19" s="159">
        <f>+K20</f>
        <v>4190000</v>
      </c>
      <c r="L19" s="159">
        <f>+J19+K19</f>
        <v>44157500</v>
      </c>
      <c r="M19" s="159">
        <f>+I19+L19</f>
        <v>44157500</v>
      </c>
      <c r="N19" s="158">
        <f>+F19-M19</f>
        <v>73818000</v>
      </c>
      <c r="P19" s="190"/>
      <c r="R19" s="122"/>
      <c r="S19" s="209">
        <f>SUM(S24:S361)</f>
        <v>316277418</v>
      </c>
      <c r="T19" s="209">
        <f>SUM(T24:T434)</f>
        <v>28967363516</v>
      </c>
    </row>
    <row r="20" spans="1:21" s="107" customFormat="1" ht="18" customHeight="1" x14ac:dyDescent="0.25">
      <c r="A20" s="101"/>
      <c r="B20" s="102"/>
      <c r="C20" s="102"/>
      <c r="D20" s="103" t="s">
        <v>207</v>
      </c>
      <c r="E20" s="104" t="s">
        <v>262</v>
      </c>
      <c r="F20" s="105">
        <f t="shared" si="0"/>
        <v>117975500</v>
      </c>
      <c r="G20" s="106">
        <f t="shared" si="0"/>
        <v>0</v>
      </c>
      <c r="H20" s="106">
        <f t="shared" si="0"/>
        <v>0</v>
      </c>
      <c r="I20" s="106">
        <f>+G20+H20</f>
        <v>0</v>
      </c>
      <c r="J20" s="106">
        <f>+J21</f>
        <v>39967500</v>
      </c>
      <c r="K20" s="106">
        <f>+K21</f>
        <v>4190000</v>
      </c>
      <c r="L20" s="106">
        <f t="shared" ref="L20:L28" si="1">+J20+K20</f>
        <v>44157500</v>
      </c>
      <c r="M20" s="106">
        <f>+I20+L20</f>
        <v>44157500</v>
      </c>
      <c r="N20" s="105">
        <f>+F20-M20</f>
        <v>73818000</v>
      </c>
      <c r="P20" s="191"/>
      <c r="R20" s="108"/>
      <c r="S20" s="278"/>
      <c r="T20" s="278"/>
      <c r="U20" s="241"/>
    </row>
    <row r="21" spans="1:21" s="49" customFormat="1" ht="18" customHeight="1" x14ac:dyDescent="0.25">
      <c r="A21" s="44"/>
      <c r="B21" s="45"/>
      <c r="C21" s="45"/>
      <c r="D21" s="45" t="s">
        <v>63</v>
      </c>
      <c r="E21" s="46" t="s">
        <v>30</v>
      </c>
      <c r="F21" s="47">
        <f>+F22+F29</f>
        <v>117975500</v>
      </c>
      <c r="G21" s="48">
        <f>+G22+G29</f>
        <v>0</v>
      </c>
      <c r="H21" s="48">
        <f>+H22+H29</f>
        <v>0</v>
      </c>
      <c r="I21" s="48">
        <f>+G21+H21</f>
        <v>0</v>
      </c>
      <c r="J21" s="48">
        <f>+J22+J29</f>
        <v>39967500</v>
      </c>
      <c r="K21" s="48">
        <f>+K22+K29</f>
        <v>4190000</v>
      </c>
      <c r="L21" s="48">
        <f>+J21+K21</f>
        <v>44157500</v>
      </c>
      <c r="M21" s="48">
        <f>+I21+L21</f>
        <v>44157500</v>
      </c>
      <c r="N21" s="47">
        <f>+F21-M21</f>
        <v>73818000</v>
      </c>
      <c r="P21" s="192">
        <f>H386+H387+K386+K387</f>
        <v>29427298627</v>
      </c>
      <c r="Q21" s="49" t="s">
        <v>334</v>
      </c>
      <c r="S21" s="279"/>
      <c r="T21" s="279"/>
      <c r="U21" s="242"/>
    </row>
    <row r="22" spans="1:21" s="55" customFormat="1" ht="18" customHeight="1" x14ac:dyDescent="0.25">
      <c r="A22" s="50"/>
      <c r="B22" s="51"/>
      <c r="C22" s="51"/>
      <c r="D22" s="51" t="s">
        <v>263</v>
      </c>
      <c r="E22" s="52" t="s">
        <v>264</v>
      </c>
      <c r="F22" s="53">
        <f>+F23</f>
        <v>65295500</v>
      </c>
      <c r="G22" s="54">
        <f>+G23</f>
        <v>0</v>
      </c>
      <c r="H22" s="54">
        <f>+H23</f>
        <v>0</v>
      </c>
      <c r="I22" s="54">
        <f t="shared" ref="I22:I31" si="2">+G22+H22</f>
        <v>0</v>
      </c>
      <c r="J22" s="54">
        <f>+J23</f>
        <v>31587500</v>
      </c>
      <c r="K22" s="54">
        <f>+K23</f>
        <v>0</v>
      </c>
      <c r="L22" s="54">
        <f t="shared" si="1"/>
        <v>31587500</v>
      </c>
      <c r="M22" s="54">
        <f t="shared" ref="M22:M31" si="3">+I22+L22</f>
        <v>31587500</v>
      </c>
      <c r="N22" s="53">
        <f t="shared" ref="N22:N31" si="4">+F22-M22</f>
        <v>33708000</v>
      </c>
      <c r="P22" s="193">
        <f>+H17+K17</f>
        <v>29283640934</v>
      </c>
      <c r="Q22" s="49" t="s">
        <v>333</v>
      </c>
      <c r="S22" s="279"/>
      <c r="T22" s="279"/>
      <c r="U22" s="243"/>
    </row>
    <row r="23" spans="1:21" s="49" customFormat="1" ht="18" customHeight="1" x14ac:dyDescent="0.25">
      <c r="A23" s="56"/>
      <c r="B23" s="57"/>
      <c r="C23" s="57"/>
      <c r="D23" s="57" t="s">
        <v>64</v>
      </c>
      <c r="E23" s="57" t="s">
        <v>65</v>
      </c>
      <c r="F23" s="58">
        <f>SUM(F24:F28)</f>
        <v>65295500</v>
      </c>
      <c r="G23" s="59">
        <f>SUM(G24:G28)</f>
        <v>0</v>
      </c>
      <c r="H23" s="59">
        <f>SUM(H24:H28)</f>
        <v>0</v>
      </c>
      <c r="I23" s="60">
        <f>+G23+H23</f>
        <v>0</v>
      </c>
      <c r="J23" s="60">
        <f>+SUM(J24:J28)</f>
        <v>31587500</v>
      </c>
      <c r="K23" s="60">
        <f>+SUM(K24:K28)</f>
        <v>0</v>
      </c>
      <c r="L23" s="60">
        <f>+J23+K23</f>
        <v>31587500</v>
      </c>
      <c r="M23" s="60">
        <f>+I23+L23</f>
        <v>31587500</v>
      </c>
      <c r="N23" s="58">
        <f>+F23-M23</f>
        <v>33708000</v>
      </c>
      <c r="P23" s="192"/>
      <c r="S23" s="279"/>
      <c r="T23" s="279"/>
      <c r="U23" s="242"/>
    </row>
    <row r="24" spans="1:21" s="65" customFormat="1" ht="18" customHeight="1" x14ac:dyDescent="0.25">
      <c r="A24" s="61"/>
      <c r="B24" s="62"/>
      <c r="C24" s="62"/>
      <c r="D24" s="62" t="s">
        <v>66</v>
      </c>
      <c r="E24" s="62" t="s">
        <v>67</v>
      </c>
      <c r="F24" s="63">
        <v>7554500</v>
      </c>
      <c r="G24" s="64"/>
      <c r="H24" s="64"/>
      <c r="I24" s="64">
        <f t="shared" si="2"/>
        <v>0</v>
      </c>
      <c r="J24" s="64">
        <v>7554500</v>
      </c>
      <c r="K24" s="64"/>
      <c r="L24" s="64">
        <f t="shared" si="1"/>
        <v>7554500</v>
      </c>
      <c r="M24" s="64">
        <f>+I24+L24</f>
        <v>7554500</v>
      </c>
      <c r="N24" s="63">
        <f t="shared" si="4"/>
        <v>0</v>
      </c>
      <c r="P24" s="194"/>
      <c r="S24" s="280"/>
      <c r="T24" s="280"/>
      <c r="U24" s="244"/>
    </row>
    <row r="25" spans="1:21" s="65" customFormat="1" ht="18" customHeight="1" x14ac:dyDescent="0.25">
      <c r="A25" s="61"/>
      <c r="B25" s="62"/>
      <c r="C25" s="62"/>
      <c r="D25" s="62" t="s">
        <v>337</v>
      </c>
      <c r="E25" s="62" t="s">
        <v>338</v>
      </c>
      <c r="F25" s="63">
        <v>6408000</v>
      </c>
      <c r="G25" s="64"/>
      <c r="H25" s="64"/>
      <c r="I25" s="64">
        <f>+G25+H25</f>
        <v>0</v>
      </c>
      <c r="J25" s="64">
        <v>6408000</v>
      </c>
      <c r="K25" s="64"/>
      <c r="L25" s="64">
        <f t="shared" si="1"/>
        <v>6408000</v>
      </c>
      <c r="M25" s="64">
        <f t="shared" si="3"/>
        <v>6408000</v>
      </c>
      <c r="N25" s="63">
        <f t="shared" si="4"/>
        <v>0</v>
      </c>
      <c r="P25" s="194"/>
      <c r="S25" s="280"/>
      <c r="T25" s="280"/>
      <c r="U25" s="244"/>
    </row>
    <row r="26" spans="1:21" s="65" customFormat="1" ht="18" customHeight="1" x14ac:dyDescent="0.25">
      <c r="A26" s="61"/>
      <c r="B26" s="62"/>
      <c r="C26" s="62"/>
      <c r="D26" s="62" t="s">
        <v>68</v>
      </c>
      <c r="E26" s="62" t="s">
        <v>69</v>
      </c>
      <c r="F26" s="63">
        <v>44208000</v>
      </c>
      <c r="G26" s="64"/>
      <c r="H26" s="64"/>
      <c r="I26" s="64">
        <f t="shared" si="2"/>
        <v>0</v>
      </c>
      <c r="J26" s="64">
        <v>17625000</v>
      </c>
      <c r="K26" s="64"/>
      <c r="L26" s="64">
        <f t="shared" si="1"/>
        <v>17625000</v>
      </c>
      <c r="M26" s="64">
        <f t="shared" si="3"/>
        <v>17625000</v>
      </c>
      <c r="N26" s="63">
        <f t="shared" si="4"/>
        <v>26583000</v>
      </c>
      <c r="P26" s="194">
        <f>5440000000+63000000+730000000+7470000000+6242819000+3024665072+31328939+4570000000+12239500000+3046850000+197720000+310724118</f>
        <v>43366607129</v>
      </c>
      <c r="Q26" s="65" t="s">
        <v>428</v>
      </c>
      <c r="S26" s="280"/>
      <c r="T26" s="280"/>
      <c r="U26" s="244"/>
    </row>
    <row r="27" spans="1:21" s="65" customFormat="1" ht="18" customHeight="1" x14ac:dyDescent="0.25">
      <c r="A27" s="61"/>
      <c r="B27" s="62"/>
      <c r="C27" s="62"/>
      <c r="D27" s="62" t="s">
        <v>339</v>
      </c>
      <c r="E27" s="62" t="s">
        <v>340</v>
      </c>
      <c r="F27" s="63">
        <v>2125000</v>
      </c>
      <c r="G27" s="64"/>
      <c r="H27" s="64"/>
      <c r="I27" s="64"/>
      <c r="J27" s="64"/>
      <c r="K27" s="64"/>
      <c r="L27" s="64">
        <f t="shared" si="1"/>
        <v>0</v>
      </c>
      <c r="M27" s="64">
        <f t="shared" si="3"/>
        <v>0</v>
      </c>
      <c r="N27" s="63">
        <f t="shared" si="4"/>
        <v>2125000</v>
      </c>
      <c r="P27" s="194"/>
      <c r="S27" s="280"/>
      <c r="T27" s="280"/>
      <c r="U27" s="244"/>
    </row>
    <row r="28" spans="1:21" s="65" customFormat="1" ht="18" customHeight="1" x14ac:dyDescent="0.25">
      <c r="A28" s="61"/>
      <c r="B28" s="62"/>
      <c r="C28" s="62"/>
      <c r="D28" s="62" t="s">
        <v>70</v>
      </c>
      <c r="E28" s="62" t="s">
        <v>33</v>
      </c>
      <c r="F28" s="63">
        <v>5000000</v>
      </c>
      <c r="G28" s="64"/>
      <c r="H28" s="64"/>
      <c r="I28" s="64"/>
      <c r="J28" s="64"/>
      <c r="K28" s="64"/>
      <c r="L28" s="64">
        <f t="shared" si="1"/>
        <v>0</v>
      </c>
      <c r="M28" s="64">
        <f t="shared" si="3"/>
        <v>0</v>
      </c>
      <c r="N28" s="63">
        <f t="shared" si="4"/>
        <v>5000000</v>
      </c>
      <c r="P28" s="194"/>
      <c r="S28" s="280"/>
      <c r="T28" s="280"/>
      <c r="U28" s="244"/>
    </row>
    <row r="29" spans="1:21" s="55" customFormat="1" ht="18" customHeight="1" x14ac:dyDescent="0.25">
      <c r="A29" s="50"/>
      <c r="B29" s="51"/>
      <c r="C29" s="51"/>
      <c r="D29" s="51" t="s">
        <v>271</v>
      </c>
      <c r="E29" s="52" t="s">
        <v>272</v>
      </c>
      <c r="F29" s="53">
        <f>+F30</f>
        <v>52680000</v>
      </c>
      <c r="G29" s="54">
        <f>+G30</f>
        <v>0</v>
      </c>
      <c r="H29" s="54">
        <f>+H30</f>
        <v>0</v>
      </c>
      <c r="I29" s="54">
        <f>+G29+H29</f>
        <v>0</v>
      </c>
      <c r="J29" s="54">
        <f>+J30</f>
        <v>8380000</v>
      </c>
      <c r="K29" s="54">
        <f>+K30</f>
        <v>4190000</v>
      </c>
      <c r="L29" s="54">
        <f>+J29+K29</f>
        <v>12570000</v>
      </c>
      <c r="M29" s="54">
        <f>+I29+L29</f>
        <v>12570000</v>
      </c>
      <c r="N29" s="53">
        <f t="shared" si="4"/>
        <v>40110000</v>
      </c>
      <c r="P29" s="195"/>
      <c r="S29" s="279"/>
      <c r="T29" s="279"/>
      <c r="U29" s="243"/>
    </row>
    <row r="30" spans="1:21" s="49" customFormat="1" ht="18" customHeight="1" x14ac:dyDescent="0.25">
      <c r="A30" s="56"/>
      <c r="B30" s="57"/>
      <c r="C30" s="57"/>
      <c r="D30" s="57" t="s">
        <v>81</v>
      </c>
      <c r="E30" s="57" t="s">
        <v>31</v>
      </c>
      <c r="F30" s="58">
        <f>SUM(F31:F31)</f>
        <v>52680000</v>
      </c>
      <c r="G30" s="59">
        <f>+G31</f>
        <v>0</v>
      </c>
      <c r="H30" s="60">
        <f>+SUM(H31:H31)</f>
        <v>0</v>
      </c>
      <c r="I30" s="60">
        <f t="shared" si="2"/>
        <v>0</v>
      </c>
      <c r="J30" s="60">
        <f>+SUM(J31:J31)</f>
        <v>8380000</v>
      </c>
      <c r="K30" s="60">
        <f>+SUM(K31:K31)</f>
        <v>4190000</v>
      </c>
      <c r="L30" s="60">
        <f>+J30+K30</f>
        <v>12570000</v>
      </c>
      <c r="M30" s="60">
        <f t="shared" si="3"/>
        <v>12570000</v>
      </c>
      <c r="N30" s="58">
        <f t="shared" si="4"/>
        <v>40110000</v>
      </c>
      <c r="P30" s="192"/>
      <c r="S30" s="279"/>
      <c r="T30" s="279"/>
      <c r="U30" s="242"/>
    </row>
    <row r="31" spans="1:21" s="65" customFormat="1" ht="18" customHeight="1" x14ac:dyDescent="0.25">
      <c r="A31" s="61"/>
      <c r="B31" s="62"/>
      <c r="C31" s="62"/>
      <c r="D31" s="62" t="s">
        <v>82</v>
      </c>
      <c r="E31" s="62" t="s">
        <v>83</v>
      </c>
      <c r="F31" s="63">
        <v>52680000</v>
      </c>
      <c r="G31" s="64"/>
      <c r="H31" s="64"/>
      <c r="I31" s="64">
        <f t="shared" si="2"/>
        <v>0</v>
      </c>
      <c r="J31" s="64">
        <v>8380000</v>
      </c>
      <c r="K31" s="64">
        <v>4190000</v>
      </c>
      <c r="L31" s="64">
        <f t="shared" ref="L31" si="5">+J31+K31</f>
        <v>12570000</v>
      </c>
      <c r="M31" s="64">
        <f t="shared" si="3"/>
        <v>12570000</v>
      </c>
      <c r="N31" s="63">
        <f t="shared" si="4"/>
        <v>40110000</v>
      </c>
      <c r="P31" s="194"/>
      <c r="S31" s="445">
        <v>4190000</v>
      </c>
      <c r="T31" s="282"/>
      <c r="U31" s="244"/>
    </row>
    <row r="32" spans="1:21" s="121" customFormat="1" ht="32.25" customHeight="1" x14ac:dyDescent="0.25">
      <c r="A32" s="154">
        <v>2</v>
      </c>
      <c r="B32" s="155"/>
      <c r="C32" s="155" t="s">
        <v>79</v>
      </c>
      <c r="D32" s="156"/>
      <c r="E32" s="164" t="s">
        <v>80</v>
      </c>
      <c r="F32" s="158">
        <f t="shared" ref="F32:H33" si="6">+F33</f>
        <v>158294000</v>
      </c>
      <c r="G32" s="159">
        <f t="shared" si="6"/>
        <v>0</v>
      </c>
      <c r="H32" s="159">
        <f t="shared" si="6"/>
        <v>0</v>
      </c>
      <c r="I32" s="159">
        <f>+G32+H32</f>
        <v>0</v>
      </c>
      <c r="J32" s="159">
        <f>+J33</f>
        <v>8600000</v>
      </c>
      <c r="K32" s="159">
        <f>+K33</f>
        <v>20238500</v>
      </c>
      <c r="L32" s="159">
        <f>+J32+K32</f>
        <v>28838500</v>
      </c>
      <c r="M32" s="159">
        <f>+I32+L32</f>
        <v>28838500</v>
      </c>
      <c r="N32" s="158">
        <f>+F32-M32</f>
        <v>129455500</v>
      </c>
      <c r="P32" s="190"/>
      <c r="R32" s="122"/>
      <c r="S32" s="283"/>
      <c r="T32" s="283"/>
      <c r="U32" s="246"/>
    </row>
    <row r="33" spans="1:21" s="107" customFormat="1" ht="18" customHeight="1" x14ac:dyDescent="0.25">
      <c r="A33" s="101"/>
      <c r="B33" s="102"/>
      <c r="C33" s="102"/>
      <c r="D33" s="103" t="s">
        <v>207</v>
      </c>
      <c r="E33" s="104" t="s">
        <v>262</v>
      </c>
      <c r="F33" s="105">
        <f t="shared" si="6"/>
        <v>158294000</v>
      </c>
      <c r="G33" s="106">
        <f t="shared" si="6"/>
        <v>0</v>
      </c>
      <c r="H33" s="106">
        <f t="shared" si="6"/>
        <v>0</v>
      </c>
      <c r="I33" s="106">
        <f t="shared" ref="I33:I37" si="7">+G33+H33</f>
        <v>0</v>
      </c>
      <c r="J33" s="106">
        <f>+J34</f>
        <v>8600000</v>
      </c>
      <c r="K33" s="106">
        <f>+K34</f>
        <v>20238500</v>
      </c>
      <c r="L33" s="106">
        <f t="shared" ref="L33:L35" si="8">+J33+K33</f>
        <v>28838500</v>
      </c>
      <c r="M33" s="106">
        <f>+I33+L33</f>
        <v>28838500</v>
      </c>
      <c r="N33" s="105">
        <f t="shared" ref="N33:N36" si="9">+F33-M33</f>
        <v>129455500</v>
      </c>
      <c r="P33" s="191"/>
      <c r="R33" s="108"/>
      <c r="S33" s="284"/>
      <c r="T33" s="284"/>
      <c r="U33" s="241"/>
    </row>
    <row r="34" spans="1:21" s="49" customFormat="1" ht="18" customHeight="1" x14ac:dyDescent="0.25">
      <c r="A34" s="44"/>
      <c r="B34" s="45"/>
      <c r="C34" s="45"/>
      <c r="D34" s="45" t="s">
        <v>63</v>
      </c>
      <c r="E34" s="46" t="s">
        <v>30</v>
      </c>
      <c r="F34" s="47">
        <f>+F35+F42</f>
        <v>158294000</v>
      </c>
      <c r="G34" s="48">
        <f>+G35+G42</f>
        <v>0</v>
      </c>
      <c r="H34" s="48">
        <f>+H35+H42</f>
        <v>0</v>
      </c>
      <c r="I34" s="48">
        <f t="shared" si="7"/>
        <v>0</v>
      </c>
      <c r="J34" s="48">
        <f>+J35+J42</f>
        <v>8600000</v>
      </c>
      <c r="K34" s="48">
        <f>+K35+K42</f>
        <v>20238500</v>
      </c>
      <c r="L34" s="48">
        <f t="shared" si="8"/>
        <v>28838500</v>
      </c>
      <c r="M34" s="48">
        <f t="shared" ref="M34:M35" si="10">+I34+L34</f>
        <v>28838500</v>
      </c>
      <c r="N34" s="47">
        <f t="shared" si="9"/>
        <v>129455500</v>
      </c>
      <c r="P34" s="192"/>
      <c r="S34" s="282"/>
      <c r="T34" s="282"/>
      <c r="U34" s="242"/>
    </row>
    <row r="35" spans="1:21" s="55" customFormat="1" ht="18" customHeight="1" x14ac:dyDescent="0.25">
      <c r="A35" s="50"/>
      <c r="B35" s="51"/>
      <c r="C35" s="51"/>
      <c r="D35" s="51" t="s">
        <v>263</v>
      </c>
      <c r="E35" s="52" t="s">
        <v>264</v>
      </c>
      <c r="F35" s="53">
        <f t="shared" ref="F35" si="11">+F36</f>
        <v>76694000</v>
      </c>
      <c r="G35" s="54">
        <f>+G36</f>
        <v>0</v>
      </c>
      <c r="H35" s="54">
        <f>+H36</f>
        <v>0</v>
      </c>
      <c r="I35" s="54">
        <f t="shared" si="7"/>
        <v>0</v>
      </c>
      <c r="J35" s="54">
        <f>+J36</f>
        <v>0</v>
      </c>
      <c r="K35" s="54">
        <f>+K36</f>
        <v>15938500</v>
      </c>
      <c r="L35" s="54">
        <f t="shared" si="8"/>
        <v>15938500</v>
      </c>
      <c r="M35" s="54">
        <f t="shared" si="10"/>
        <v>15938500</v>
      </c>
      <c r="N35" s="53">
        <f t="shared" si="9"/>
        <v>60755500</v>
      </c>
      <c r="P35" s="195"/>
      <c r="S35" s="282"/>
      <c r="T35" s="282"/>
      <c r="U35" s="243"/>
    </row>
    <row r="36" spans="1:21" s="49" customFormat="1" ht="18" customHeight="1" x14ac:dyDescent="0.25">
      <c r="A36" s="56"/>
      <c r="B36" s="57"/>
      <c r="C36" s="57"/>
      <c r="D36" s="57" t="s">
        <v>64</v>
      </c>
      <c r="E36" s="57" t="s">
        <v>65</v>
      </c>
      <c r="F36" s="58">
        <f>SUM(F37:F41)</f>
        <v>76694000</v>
      </c>
      <c r="G36" s="59">
        <f>SUM(G37:G41)</f>
        <v>0</v>
      </c>
      <c r="H36" s="59">
        <f>SUM(H37:H41)</f>
        <v>0</v>
      </c>
      <c r="I36" s="60">
        <f t="shared" si="7"/>
        <v>0</v>
      </c>
      <c r="J36" s="60">
        <f>SUM(J37:J41)</f>
        <v>0</v>
      </c>
      <c r="K36" s="60">
        <f>SUM(K37:K41)</f>
        <v>15938500</v>
      </c>
      <c r="L36" s="60">
        <f>+J36+K36</f>
        <v>15938500</v>
      </c>
      <c r="M36" s="60">
        <f>+I36+L36</f>
        <v>15938500</v>
      </c>
      <c r="N36" s="58">
        <f t="shared" si="9"/>
        <v>60755500</v>
      </c>
      <c r="P36" s="192"/>
      <c r="S36" s="282"/>
      <c r="T36" s="282"/>
      <c r="U36" s="242"/>
    </row>
    <row r="37" spans="1:21" s="65" customFormat="1" ht="18" customHeight="1" x14ac:dyDescent="0.25">
      <c r="A37" s="61"/>
      <c r="B37" s="66"/>
      <c r="C37" s="62"/>
      <c r="D37" s="62" t="s">
        <v>66</v>
      </c>
      <c r="E37" s="62" t="s">
        <v>67</v>
      </c>
      <c r="F37" s="63">
        <v>8160000</v>
      </c>
      <c r="G37" s="64"/>
      <c r="H37" s="64"/>
      <c r="I37" s="64">
        <f t="shared" si="7"/>
        <v>0</v>
      </c>
      <c r="J37" s="64"/>
      <c r="K37" s="64">
        <v>8160000</v>
      </c>
      <c r="L37" s="64">
        <f t="shared" ref="L37" si="12">+J37+K37</f>
        <v>8160000</v>
      </c>
      <c r="M37" s="64">
        <f t="shared" ref="M37" si="13">+I37+L37</f>
        <v>8160000</v>
      </c>
      <c r="N37" s="63">
        <f>+F37-M37</f>
        <v>0</v>
      </c>
      <c r="P37" s="194"/>
      <c r="S37" s="281">
        <v>8160000</v>
      </c>
      <c r="T37" s="282"/>
      <c r="U37" s="244"/>
    </row>
    <row r="38" spans="1:21" s="65" customFormat="1" ht="18" customHeight="1" x14ac:dyDescent="0.25">
      <c r="A38" s="61"/>
      <c r="B38" s="66"/>
      <c r="C38" s="62"/>
      <c r="D38" s="62" t="s">
        <v>337</v>
      </c>
      <c r="E38" s="62" t="s">
        <v>338</v>
      </c>
      <c r="F38" s="63">
        <v>5112000</v>
      </c>
      <c r="G38" s="64"/>
      <c r="H38" s="64"/>
      <c r="I38" s="64"/>
      <c r="J38" s="64"/>
      <c r="K38" s="64"/>
      <c r="L38" s="64">
        <f>+J38+K38</f>
        <v>0</v>
      </c>
      <c r="M38" s="64">
        <f>+I38+L38</f>
        <v>0</v>
      </c>
      <c r="N38" s="63">
        <f>+F38-M38</f>
        <v>5112000</v>
      </c>
      <c r="P38" s="194"/>
      <c r="S38" s="281"/>
      <c r="T38" s="282"/>
      <c r="U38" s="244"/>
    </row>
    <row r="39" spans="1:21" s="65" customFormat="1" ht="18" customHeight="1" x14ac:dyDescent="0.25">
      <c r="A39" s="61"/>
      <c r="B39" s="66"/>
      <c r="C39" s="62"/>
      <c r="D39" s="62" t="s">
        <v>68</v>
      </c>
      <c r="E39" s="62" t="s">
        <v>69</v>
      </c>
      <c r="F39" s="63">
        <v>36414000</v>
      </c>
      <c r="G39" s="64"/>
      <c r="H39" s="64"/>
      <c r="I39" s="64"/>
      <c r="J39" s="64"/>
      <c r="K39" s="64">
        <v>5713500</v>
      </c>
      <c r="L39" s="64">
        <f t="shared" ref="L39:L41" si="14">+J39+K39</f>
        <v>5713500</v>
      </c>
      <c r="M39" s="64">
        <f t="shared" ref="M39:M41" si="15">+I39+L39</f>
        <v>5713500</v>
      </c>
      <c r="N39" s="63">
        <f t="shared" ref="N39:N45" si="16">+F39-M39</f>
        <v>30700500</v>
      </c>
      <c r="P39" s="194"/>
      <c r="S39" s="281">
        <v>5713500</v>
      </c>
      <c r="T39" s="282"/>
      <c r="U39" s="244"/>
    </row>
    <row r="40" spans="1:21" s="65" customFormat="1" ht="18" customHeight="1" x14ac:dyDescent="0.25">
      <c r="A40" s="61"/>
      <c r="B40" s="66"/>
      <c r="C40" s="62"/>
      <c r="D40" s="62" t="s">
        <v>339</v>
      </c>
      <c r="E40" s="62" t="s">
        <v>340</v>
      </c>
      <c r="F40" s="63">
        <v>12008000</v>
      </c>
      <c r="G40" s="64"/>
      <c r="H40" s="64"/>
      <c r="I40" s="64"/>
      <c r="J40" s="64"/>
      <c r="K40" s="64">
        <v>2065000</v>
      </c>
      <c r="L40" s="64">
        <f t="shared" si="14"/>
        <v>2065000</v>
      </c>
      <c r="M40" s="64">
        <f t="shared" si="15"/>
        <v>2065000</v>
      </c>
      <c r="N40" s="63">
        <f t="shared" si="16"/>
        <v>9943000</v>
      </c>
      <c r="P40" s="194"/>
      <c r="S40" s="281">
        <v>2065000</v>
      </c>
      <c r="T40" s="282"/>
      <c r="U40" s="244"/>
    </row>
    <row r="41" spans="1:21" s="65" customFormat="1" ht="18" customHeight="1" x14ac:dyDescent="0.25">
      <c r="A41" s="61"/>
      <c r="B41" s="66"/>
      <c r="C41" s="62"/>
      <c r="D41" s="62" t="s">
        <v>70</v>
      </c>
      <c r="E41" s="62" t="s">
        <v>33</v>
      </c>
      <c r="F41" s="63">
        <v>15000000</v>
      </c>
      <c r="G41" s="64"/>
      <c r="H41" s="64"/>
      <c r="I41" s="64">
        <f>+G41+H41</f>
        <v>0</v>
      </c>
      <c r="J41" s="64"/>
      <c r="K41" s="64"/>
      <c r="L41" s="64">
        <f t="shared" si="14"/>
        <v>0</v>
      </c>
      <c r="M41" s="64">
        <f t="shared" si="15"/>
        <v>0</v>
      </c>
      <c r="N41" s="63">
        <f t="shared" si="16"/>
        <v>15000000</v>
      </c>
      <c r="P41" s="194"/>
      <c r="S41" s="282"/>
      <c r="T41" s="282"/>
      <c r="U41" s="244"/>
    </row>
    <row r="42" spans="1:21" s="55" customFormat="1" ht="18" customHeight="1" x14ac:dyDescent="0.25">
      <c r="A42" s="50"/>
      <c r="B42" s="51"/>
      <c r="C42" s="51"/>
      <c r="D42" s="51" t="s">
        <v>271</v>
      </c>
      <c r="E42" s="52" t="s">
        <v>272</v>
      </c>
      <c r="F42" s="53">
        <f>+F43</f>
        <v>81600000</v>
      </c>
      <c r="G42" s="54">
        <f>+G43</f>
        <v>0</v>
      </c>
      <c r="H42" s="54">
        <f>+H43</f>
        <v>0</v>
      </c>
      <c r="I42" s="54">
        <f t="shared" ref="I42:I45" si="17">+G42+H42</f>
        <v>0</v>
      </c>
      <c r="J42" s="54">
        <f>+J43</f>
        <v>8600000</v>
      </c>
      <c r="K42" s="54">
        <f>+K43</f>
        <v>4300000</v>
      </c>
      <c r="L42" s="54">
        <f>+J42+K42</f>
        <v>12900000</v>
      </c>
      <c r="M42" s="54">
        <f>+I42+L42</f>
        <v>12900000</v>
      </c>
      <c r="N42" s="53">
        <f t="shared" si="16"/>
        <v>68700000</v>
      </c>
      <c r="P42" s="195"/>
      <c r="S42" s="282"/>
      <c r="T42" s="282"/>
      <c r="U42" s="243"/>
    </row>
    <row r="43" spans="1:21" s="49" customFormat="1" ht="18" customHeight="1" x14ac:dyDescent="0.25">
      <c r="A43" s="56"/>
      <c r="B43" s="57"/>
      <c r="C43" s="57"/>
      <c r="D43" s="57" t="s">
        <v>81</v>
      </c>
      <c r="E43" s="57" t="s">
        <v>31</v>
      </c>
      <c r="F43" s="58">
        <f>SUM(F44:F45)</f>
        <v>81600000</v>
      </c>
      <c r="G43" s="59">
        <f>+G45</f>
        <v>0</v>
      </c>
      <c r="H43" s="60">
        <f>+SUM(H45:H45)</f>
        <v>0</v>
      </c>
      <c r="I43" s="60">
        <f t="shared" si="17"/>
        <v>0</v>
      </c>
      <c r="J43" s="60">
        <f>+SUM(J45:J45)</f>
        <v>8600000</v>
      </c>
      <c r="K43" s="60">
        <f>+SUM(K45:K45)</f>
        <v>4300000</v>
      </c>
      <c r="L43" s="60">
        <f t="shared" ref="L43:L45" si="18">+J43+K43</f>
        <v>12900000</v>
      </c>
      <c r="M43" s="60">
        <f t="shared" ref="M43:M45" si="19">+I43+L43</f>
        <v>12900000</v>
      </c>
      <c r="N43" s="58">
        <f t="shared" si="16"/>
        <v>68700000</v>
      </c>
      <c r="P43" s="192"/>
      <c r="S43" s="282"/>
      <c r="T43" s="282"/>
      <c r="U43" s="242"/>
    </row>
    <row r="44" spans="1:21" s="65" customFormat="1" ht="18" customHeight="1" x14ac:dyDescent="0.25">
      <c r="A44" s="61"/>
      <c r="B44" s="62"/>
      <c r="C44" s="62"/>
      <c r="D44" s="62" t="s">
        <v>451</v>
      </c>
      <c r="E44" s="62" t="s">
        <v>452</v>
      </c>
      <c r="F44" s="63">
        <v>30000000</v>
      </c>
      <c r="G44" s="64"/>
      <c r="H44" s="64"/>
      <c r="I44" s="64">
        <f t="shared" si="17"/>
        <v>0</v>
      </c>
      <c r="J44" s="64"/>
      <c r="K44" s="64"/>
      <c r="L44" s="64">
        <f t="shared" si="18"/>
        <v>0</v>
      </c>
      <c r="M44" s="64">
        <f t="shared" si="19"/>
        <v>0</v>
      </c>
      <c r="N44" s="63">
        <f t="shared" si="16"/>
        <v>30000000</v>
      </c>
      <c r="P44" s="194"/>
      <c r="S44" s="282"/>
      <c r="T44" s="282"/>
      <c r="U44" s="244"/>
    </row>
    <row r="45" spans="1:21" s="65" customFormat="1" ht="18" customHeight="1" x14ac:dyDescent="0.25">
      <c r="A45" s="61"/>
      <c r="B45" s="62"/>
      <c r="C45" s="62"/>
      <c r="D45" s="62" t="s">
        <v>82</v>
      </c>
      <c r="E45" s="62" t="s">
        <v>83</v>
      </c>
      <c r="F45" s="63">
        <v>51600000</v>
      </c>
      <c r="G45" s="64"/>
      <c r="H45" s="64"/>
      <c r="I45" s="64">
        <f t="shared" si="17"/>
        <v>0</v>
      </c>
      <c r="J45" s="64">
        <v>8600000</v>
      </c>
      <c r="K45" s="64">
        <v>4300000</v>
      </c>
      <c r="L45" s="64">
        <f t="shared" si="18"/>
        <v>12900000</v>
      </c>
      <c r="M45" s="64">
        <f t="shared" si="19"/>
        <v>12900000</v>
      </c>
      <c r="N45" s="63">
        <f t="shared" si="16"/>
        <v>38700000</v>
      </c>
      <c r="P45" s="194"/>
      <c r="S45" s="445">
        <v>4300000</v>
      </c>
      <c r="T45" s="282"/>
      <c r="U45" s="244"/>
    </row>
    <row r="46" spans="1:21" s="134" customFormat="1" ht="18" customHeight="1" x14ac:dyDescent="0.25">
      <c r="A46" s="129"/>
      <c r="B46" s="130"/>
      <c r="C46" s="130"/>
      <c r="D46" s="131"/>
      <c r="E46" s="131"/>
      <c r="F46" s="132"/>
      <c r="G46" s="133"/>
      <c r="H46" s="133"/>
      <c r="I46" s="133"/>
      <c r="J46" s="133"/>
      <c r="K46" s="133"/>
      <c r="L46" s="133"/>
      <c r="M46" s="133"/>
      <c r="N46" s="132"/>
      <c r="P46" s="197"/>
      <c r="S46" s="286"/>
      <c r="T46" s="286"/>
      <c r="U46" s="247"/>
    </row>
    <row r="47" spans="1:21" s="137" customFormat="1" ht="18" customHeight="1" x14ac:dyDescent="0.25">
      <c r="A47" s="109"/>
      <c r="B47" s="110" t="s">
        <v>407</v>
      </c>
      <c r="C47" s="110"/>
      <c r="D47" s="110"/>
      <c r="E47" s="110" t="s">
        <v>408</v>
      </c>
      <c r="F47" s="135">
        <f>+F48+F113</f>
        <v>27970445142</v>
      </c>
      <c r="G47" s="136">
        <f>+G48</f>
        <v>914829928</v>
      </c>
      <c r="H47" s="136">
        <f>+H48+H113</f>
        <v>312720646</v>
      </c>
      <c r="I47" s="136">
        <f>+G47+H47</f>
        <v>1227550574</v>
      </c>
      <c r="J47" s="136">
        <f>+J114</f>
        <v>2990625</v>
      </c>
      <c r="K47" s="136">
        <f>+K114</f>
        <v>0</v>
      </c>
      <c r="L47" s="136">
        <f>+J47+K47</f>
        <v>2990625</v>
      </c>
      <c r="M47" s="136">
        <f>+I47+L47</f>
        <v>1230541199</v>
      </c>
      <c r="N47" s="135">
        <f>+F47-M47</f>
        <v>26739903943</v>
      </c>
      <c r="P47" s="198"/>
      <c r="R47" s="138"/>
      <c r="S47" s="287"/>
      <c r="T47" s="287"/>
      <c r="U47" s="248"/>
    </row>
    <row r="48" spans="1:21" s="121" customFormat="1" ht="18" customHeight="1" x14ac:dyDescent="0.25">
      <c r="A48" s="116">
        <v>3</v>
      </c>
      <c r="B48" s="117"/>
      <c r="C48" s="117" t="s">
        <v>156</v>
      </c>
      <c r="D48" s="118"/>
      <c r="E48" s="128" t="s">
        <v>157</v>
      </c>
      <c r="F48" s="119">
        <f>+F49</f>
        <v>27939292142</v>
      </c>
      <c r="G48" s="120">
        <f>+G49</f>
        <v>914829928</v>
      </c>
      <c r="H48" s="120">
        <f>+H49</f>
        <v>312720646</v>
      </c>
      <c r="I48" s="120">
        <f>+G48+H48</f>
        <v>1227550574</v>
      </c>
      <c r="J48" s="120">
        <f>+J49</f>
        <v>0</v>
      </c>
      <c r="K48" s="120">
        <f>+K49</f>
        <v>0</v>
      </c>
      <c r="L48" s="120">
        <f>+J48+K48</f>
        <v>0</v>
      </c>
      <c r="M48" s="120">
        <f>+I48+L48</f>
        <v>1227550574</v>
      </c>
      <c r="N48" s="119">
        <f>+F48-M48</f>
        <v>26711741568</v>
      </c>
      <c r="P48" s="190"/>
      <c r="R48" s="122"/>
      <c r="S48" s="283"/>
      <c r="T48" s="283"/>
      <c r="U48" s="246"/>
    </row>
    <row r="49" spans="1:21" s="107" customFormat="1" ht="18" customHeight="1" x14ac:dyDescent="0.25">
      <c r="A49" s="101"/>
      <c r="B49" s="102"/>
      <c r="C49" s="102"/>
      <c r="D49" s="103" t="s">
        <v>207</v>
      </c>
      <c r="E49" s="104" t="s">
        <v>262</v>
      </c>
      <c r="F49" s="105">
        <f t="shared" ref="F49" si="20">+F50</f>
        <v>27939292142</v>
      </c>
      <c r="G49" s="106">
        <f>+G50</f>
        <v>914829928</v>
      </c>
      <c r="H49" s="106">
        <f>+H50</f>
        <v>312720646</v>
      </c>
      <c r="I49" s="106">
        <f t="shared" ref="I49:I50" si="21">+G49+H49</f>
        <v>1227550574</v>
      </c>
      <c r="J49" s="106"/>
      <c r="K49" s="106">
        <f>+K50</f>
        <v>0</v>
      </c>
      <c r="L49" s="106">
        <f t="shared" ref="L49:L112" si="22">+J49+K49</f>
        <v>0</v>
      </c>
      <c r="M49" s="106">
        <f t="shared" ref="M49:M72" si="23">+I49+L49</f>
        <v>1227550574</v>
      </c>
      <c r="N49" s="105">
        <f t="shared" ref="N49:N54" si="24">+F49-M49</f>
        <v>26711741568</v>
      </c>
      <c r="P49" s="191"/>
      <c r="R49" s="108"/>
      <c r="S49" s="284"/>
      <c r="T49" s="284"/>
      <c r="U49" s="241"/>
    </row>
    <row r="50" spans="1:21" s="49" customFormat="1" ht="18" customHeight="1" x14ac:dyDescent="0.25">
      <c r="A50" s="44"/>
      <c r="B50" s="45"/>
      <c r="C50" s="45"/>
      <c r="D50" s="69" t="s">
        <v>158</v>
      </c>
      <c r="E50" s="45" t="s">
        <v>159</v>
      </c>
      <c r="F50" s="47">
        <f>F51+F76+F83+F101</f>
        <v>27939292142</v>
      </c>
      <c r="G50" s="70">
        <f>+G51+G83+G101+G76</f>
        <v>914829928</v>
      </c>
      <c r="H50" s="70">
        <f>+H51+H83+H101+H76</f>
        <v>312720646</v>
      </c>
      <c r="I50" s="70">
        <f t="shared" si="21"/>
        <v>1227550574</v>
      </c>
      <c r="J50" s="70"/>
      <c r="K50" s="70">
        <f>+K51+K76+K83+K101</f>
        <v>0</v>
      </c>
      <c r="L50" s="70">
        <f t="shared" si="22"/>
        <v>0</v>
      </c>
      <c r="M50" s="70">
        <f t="shared" si="23"/>
        <v>1227550574</v>
      </c>
      <c r="N50" s="47">
        <f t="shared" si="24"/>
        <v>26711741568</v>
      </c>
      <c r="P50" s="192"/>
      <c r="S50" s="282"/>
      <c r="T50" s="282"/>
      <c r="U50" s="242"/>
    </row>
    <row r="51" spans="1:21" s="55" customFormat="1" ht="18" customHeight="1" x14ac:dyDescent="0.25">
      <c r="A51" s="50"/>
      <c r="B51" s="51"/>
      <c r="C51" s="51"/>
      <c r="D51" s="71" t="s">
        <v>208</v>
      </c>
      <c r="E51" s="51" t="s">
        <v>209</v>
      </c>
      <c r="F51" s="53">
        <f>F52+F54+F56+F58+F60+F62+F64+F66+F68+F70+F72+F74</f>
        <v>15098272502</v>
      </c>
      <c r="G51" s="72">
        <f>+G52+G54+G56+G58+G60+G62+G64+G66+G68+G70+G72+G74</f>
        <v>644411140</v>
      </c>
      <c r="H51" s="72">
        <f>+H52+H54+H56+H58+H60+H62+H64+H66+H68+H70+H72+H74</f>
        <v>312720646</v>
      </c>
      <c r="I51" s="72">
        <f>+G51+H51</f>
        <v>957131786</v>
      </c>
      <c r="J51" s="72"/>
      <c r="K51" s="72">
        <f>+K52+K54+K56+K58+K60+K62+K64+K66+K68+K70+K72+K74</f>
        <v>0</v>
      </c>
      <c r="L51" s="72">
        <f t="shared" si="22"/>
        <v>0</v>
      </c>
      <c r="M51" s="72">
        <f t="shared" si="23"/>
        <v>957131786</v>
      </c>
      <c r="N51" s="53">
        <f t="shared" si="24"/>
        <v>14141140716</v>
      </c>
      <c r="P51" s="195"/>
      <c r="S51" s="282"/>
      <c r="T51" s="282"/>
      <c r="U51" s="243"/>
    </row>
    <row r="52" spans="1:21" s="49" customFormat="1" ht="18" customHeight="1" x14ac:dyDescent="0.25">
      <c r="A52" s="56"/>
      <c r="B52" s="57"/>
      <c r="C52" s="57"/>
      <c r="D52" s="73" t="s">
        <v>160</v>
      </c>
      <c r="E52" s="57" t="s">
        <v>162</v>
      </c>
      <c r="F52" s="58">
        <f>+F53</f>
        <v>13525507924</v>
      </c>
      <c r="G52" s="59">
        <f>+G53</f>
        <v>484889600</v>
      </c>
      <c r="H52" s="59">
        <f>+H53</f>
        <v>236043300</v>
      </c>
      <c r="I52" s="59">
        <f t="shared" ref="I52" si="25">+G52+H52</f>
        <v>720932900</v>
      </c>
      <c r="J52" s="59"/>
      <c r="K52" s="59">
        <f>+K53</f>
        <v>0</v>
      </c>
      <c r="L52" s="59">
        <f>+J52+K52</f>
        <v>0</v>
      </c>
      <c r="M52" s="59">
        <f t="shared" si="23"/>
        <v>720932900</v>
      </c>
      <c r="N52" s="58">
        <f t="shared" si="24"/>
        <v>12804575024</v>
      </c>
      <c r="P52" s="192"/>
      <c r="S52" s="282"/>
      <c r="T52" s="282"/>
      <c r="U52" s="242"/>
    </row>
    <row r="53" spans="1:21" s="49" customFormat="1" ht="18" customHeight="1" x14ac:dyDescent="0.25">
      <c r="A53" s="61"/>
      <c r="B53" s="62"/>
      <c r="C53" s="62"/>
      <c r="D53" s="74" t="s">
        <v>161</v>
      </c>
      <c r="E53" s="62" t="s">
        <v>163</v>
      </c>
      <c r="F53" s="63">
        <v>13525507924</v>
      </c>
      <c r="G53" s="75">
        <v>484889600</v>
      </c>
      <c r="H53" s="75">
        <v>236043300</v>
      </c>
      <c r="I53" s="75">
        <f>+G53+H53</f>
        <v>720932900</v>
      </c>
      <c r="J53" s="75"/>
      <c r="K53" s="75"/>
      <c r="L53" s="75">
        <f t="shared" si="22"/>
        <v>0</v>
      </c>
      <c r="M53" s="75">
        <f t="shared" si="23"/>
        <v>720932900</v>
      </c>
      <c r="N53" s="63">
        <f t="shared" si="24"/>
        <v>12804575024</v>
      </c>
      <c r="P53" s="192"/>
      <c r="S53" s="282"/>
      <c r="T53" s="281">
        <v>236043300</v>
      </c>
      <c r="U53" s="242"/>
    </row>
    <row r="54" spans="1:21" s="49" customFormat="1" ht="18" customHeight="1" x14ac:dyDescent="0.25">
      <c r="A54" s="56"/>
      <c r="B54" s="57"/>
      <c r="C54" s="57"/>
      <c r="D54" s="73" t="s">
        <v>164</v>
      </c>
      <c r="E54" s="57" t="s">
        <v>166</v>
      </c>
      <c r="F54" s="58">
        <f>+F55</f>
        <v>401878814</v>
      </c>
      <c r="G54" s="59">
        <f>+G55</f>
        <v>49010896</v>
      </c>
      <c r="H54" s="59">
        <f>+H55</f>
        <v>23328042</v>
      </c>
      <c r="I54" s="59">
        <f t="shared" ref="I54:I73" si="26">+G54+H54</f>
        <v>72338938</v>
      </c>
      <c r="J54" s="59"/>
      <c r="K54" s="59">
        <f>+K55</f>
        <v>0</v>
      </c>
      <c r="L54" s="59">
        <f>+J54+K54</f>
        <v>0</v>
      </c>
      <c r="M54" s="59">
        <f t="shared" si="23"/>
        <v>72338938</v>
      </c>
      <c r="N54" s="58">
        <f t="shared" si="24"/>
        <v>329539876</v>
      </c>
      <c r="P54" s="192"/>
      <c r="S54" s="282"/>
      <c r="T54" s="281"/>
      <c r="U54" s="242"/>
    </row>
    <row r="55" spans="1:21" s="49" customFormat="1" ht="18" customHeight="1" x14ac:dyDescent="0.25">
      <c r="A55" s="61"/>
      <c r="B55" s="62"/>
      <c r="C55" s="62"/>
      <c r="D55" s="74" t="s">
        <v>165</v>
      </c>
      <c r="E55" s="62" t="s">
        <v>167</v>
      </c>
      <c r="F55" s="63">
        <v>401878814</v>
      </c>
      <c r="G55" s="75">
        <v>49010896</v>
      </c>
      <c r="H55" s="75">
        <v>23328042</v>
      </c>
      <c r="I55" s="75">
        <f t="shared" si="26"/>
        <v>72338938</v>
      </c>
      <c r="J55" s="75"/>
      <c r="K55" s="75"/>
      <c r="L55" s="75">
        <f t="shared" si="22"/>
        <v>0</v>
      </c>
      <c r="M55" s="75">
        <f t="shared" si="23"/>
        <v>72338938</v>
      </c>
      <c r="N55" s="63">
        <f>+F55-M55</f>
        <v>329539876</v>
      </c>
      <c r="P55" s="192"/>
      <c r="S55" s="282"/>
      <c r="T55" s="281">
        <v>23328042</v>
      </c>
      <c r="U55" s="242"/>
    </row>
    <row r="56" spans="1:21" s="49" customFormat="1" ht="18" customHeight="1" x14ac:dyDescent="0.25">
      <c r="A56" s="56"/>
      <c r="B56" s="57"/>
      <c r="C56" s="57"/>
      <c r="D56" s="73" t="s">
        <v>168</v>
      </c>
      <c r="E56" s="57" t="s">
        <v>170</v>
      </c>
      <c r="F56" s="58">
        <f>+F57</f>
        <v>290052000</v>
      </c>
      <c r="G56" s="59">
        <f>+G57</f>
        <v>35610000</v>
      </c>
      <c r="H56" s="59">
        <f>+H57</f>
        <v>17265000</v>
      </c>
      <c r="I56" s="59">
        <f t="shared" si="26"/>
        <v>52875000</v>
      </c>
      <c r="J56" s="59"/>
      <c r="K56" s="59">
        <f>+K57</f>
        <v>0</v>
      </c>
      <c r="L56" s="59">
        <f t="shared" si="22"/>
        <v>0</v>
      </c>
      <c r="M56" s="59">
        <f t="shared" si="23"/>
        <v>52875000</v>
      </c>
      <c r="N56" s="58">
        <f t="shared" ref="N56:N58" si="27">+F56-M56</f>
        <v>237177000</v>
      </c>
      <c r="P56" s="192"/>
      <c r="S56" s="282"/>
      <c r="T56" s="281"/>
      <c r="U56" s="242"/>
    </row>
    <row r="57" spans="1:21" s="49" customFormat="1" ht="18" customHeight="1" x14ac:dyDescent="0.25">
      <c r="A57" s="61"/>
      <c r="B57" s="62"/>
      <c r="C57" s="62"/>
      <c r="D57" s="74" t="s">
        <v>169</v>
      </c>
      <c r="E57" s="62" t="s">
        <v>171</v>
      </c>
      <c r="F57" s="63">
        <v>290052000</v>
      </c>
      <c r="G57" s="75">
        <v>35610000</v>
      </c>
      <c r="H57" s="75">
        <v>17265000</v>
      </c>
      <c r="I57" s="75">
        <f t="shared" si="26"/>
        <v>52875000</v>
      </c>
      <c r="J57" s="75"/>
      <c r="K57" s="75"/>
      <c r="L57" s="75">
        <f t="shared" si="22"/>
        <v>0</v>
      </c>
      <c r="M57" s="75">
        <f t="shared" si="23"/>
        <v>52875000</v>
      </c>
      <c r="N57" s="63">
        <f t="shared" si="27"/>
        <v>237177000</v>
      </c>
      <c r="P57" s="192"/>
      <c r="S57" s="282"/>
      <c r="T57" s="281">
        <v>17265000</v>
      </c>
      <c r="U57" s="242"/>
    </row>
    <row r="58" spans="1:21" s="49" customFormat="1" ht="18" customHeight="1" x14ac:dyDescent="0.25">
      <c r="A58" s="56"/>
      <c r="B58" s="57"/>
      <c r="C58" s="57"/>
      <c r="D58" s="73" t="s">
        <v>172</v>
      </c>
      <c r="E58" s="57" t="s">
        <v>174</v>
      </c>
      <c r="F58" s="58">
        <f>+F59</f>
        <v>62496000</v>
      </c>
      <c r="G58" s="59">
        <f>+G59</f>
        <v>1920000</v>
      </c>
      <c r="H58" s="59">
        <f>+H59</f>
        <v>960000</v>
      </c>
      <c r="I58" s="59">
        <f t="shared" si="26"/>
        <v>2880000</v>
      </c>
      <c r="J58" s="59"/>
      <c r="K58" s="59">
        <f>+K59</f>
        <v>0</v>
      </c>
      <c r="L58" s="59">
        <f t="shared" si="22"/>
        <v>0</v>
      </c>
      <c r="M58" s="59">
        <f t="shared" si="23"/>
        <v>2880000</v>
      </c>
      <c r="N58" s="58">
        <f t="shared" si="27"/>
        <v>59616000</v>
      </c>
      <c r="P58" s="192"/>
      <c r="S58" s="282"/>
      <c r="T58" s="282"/>
      <c r="U58" s="242"/>
    </row>
    <row r="59" spans="1:21" s="49" customFormat="1" ht="18" customHeight="1" x14ac:dyDescent="0.25">
      <c r="A59" s="61"/>
      <c r="B59" s="62"/>
      <c r="C59" s="62"/>
      <c r="D59" s="74" t="s">
        <v>173</v>
      </c>
      <c r="E59" s="62" t="s">
        <v>175</v>
      </c>
      <c r="F59" s="63">
        <v>62496000</v>
      </c>
      <c r="G59" s="75">
        <v>1920000</v>
      </c>
      <c r="H59" s="75">
        <v>960000</v>
      </c>
      <c r="I59" s="75">
        <f t="shared" si="26"/>
        <v>2880000</v>
      </c>
      <c r="J59" s="75"/>
      <c r="K59" s="75"/>
      <c r="L59" s="75">
        <f t="shared" si="22"/>
        <v>0</v>
      </c>
      <c r="M59" s="75">
        <f t="shared" si="23"/>
        <v>2880000</v>
      </c>
      <c r="N59" s="63">
        <f>+F59-M59</f>
        <v>59616000</v>
      </c>
      <c r="P59" s="192"/>
      <c r="S59" s="282"/>
      <c r="T59" s="281">
        <v>960000</v>
      </c>
      <c r="U59" s="242"/>
    </row>
    <row r="60" spans="1:21" s="49" customFormat="1" ht="18" customHeight="1" x14ac:dyDescent="0.25">
      <c r="A60" s="56"/>
      <c r="B60" s="57"/>
      <c r="C60" s="57"/>
      <c r="D60" s="73" t="s">
        <v>176</v>
      </c>
      <c r="E60" s="57" t="s">
        <v>178</v>
      </c>
      <c r="F60" s="58">
        <f>+F61</f>
        <v>126672000</v>
      </c>
      <c r="G60" s="59">
        <f>+G61</f>
        <v>15465000</v>
      </c>
      <c r="H60" s="59">
        <f>+H61</f>
        <v>7545000</v>
      </c>
      <c r="I60" s="59">
        <f t="shared" si="26"/>
        <v>23010000</v>
      </c>
      <c r="J60" s="59"/>
      <c r="K60" s="59">
        <f>+K61</f>
        <v>0</v>
      </c>
      <c r="L60" s="59">
        <f t="shared" si="22"/>
        <v>0</v>
      </c>
      <c r="M60" s="59">
        <f t="shared" si="23"/>
        <v>23010000</v>
      </c>
      <c r="N60" s="58">
        <f t="shared" ref="N60:N72" si="28">+F60-M60</f>
        <v>103662000</v>
      </c>
      <c r="P60" s="192"/>
      <c r="S60" s="282"/>
      <c r="T60" s="281"/>
      <c r="U60" s="242"/>
    </row>
    <row r="61" spans="1:21" s="49" customFormat="1" ht="18" customHeight="1" x14ac:dyDescent="0.25">
      <c r="A61" s="61"/>
      <c r="B61" s="62"/>
      <c r="C61" s="62"/>
      <c r="D61" s="74" t="s">
        <v>177</v>
      </c>
      <c r="E61" s="62" t="s">
        <v>179</v>
      </c>
      <c r="F61" s="63">
        <v>126672000</v>
      </c>
      <c r="G61" s="75">
        <v>15465000</v>
      </c>
      <c r="H61" s="75">
        <v>7545000</v>
      </c>
      <c r="I61" s="75">
        <f t="shared" si="26"/>
        <v>23010000</v>
      </c>
      <c r="J61" s="75"/>
      <c r="K61" s="75"/>
      <c r="L61" s="75">
        <f t="shared" si="22"/>
        <v>0</v>
      </c>
      <c r="M61" s="75">
        <f t="shared" si="23"/>
        <v>23010000</v>
      </c>
      <c r="N61" s="63">
        <f t="shared" si="28"/>
        <v>103662000</v>
      </c>
      <c r="P61" s="192"/>
      <c r="S61" s="282"/>
      <c r="T61" s="281">
        <v>7545000</v>
      </c>
      <c r="U61" s="242"/>
    </row>
    <row r="62" spans="1:21" s="49" customFormat="1" ht="18" customHeight="1" x14ac:dyDescent="0.25">
      <c r="A62" s="56"/>
      <c r="B62" s="57"/>
      <c r="C62" s="57"/>
      <c r="D62" s="73" t="s">
        <v>180</v>
      </c>
      <c r="E62" s="57" t="s">
        <v>182</v>
      </c>
      <c r="F62" s="58">
        <f>+F63</f>
        <v>237247920</v>
      </c>
      <c r="G62" s="59">
        <f>+G63</f>
        <v>28823160</v>
      </c>
      <c r="H62" s="59">
        <f>+H63</f>
        <v>13614960</v>
      </c>
      <c r="I62" s="59">
        <f t="shared" si="26"/>
        <v>42438120</v>
      </c>
      <c r="J62" s="59"/>
      <c r="K62" s="59">
        <f>+K63</f>
        <v>0</v>
      </c>
      <c r="L62" s="59">
        <f t="shared" si="22"/>
        <v>0</v>
      </c>
      <c r="M62" s="59">
        <f t="shared" si="23"/>
        <v>42438120</v>
      </c>
      <c r="N62" s="58">
        <f t="shared" si="28"/>
        <v>194809800</v>
      </c>
      <c r="P62" s="192"/>
      <c r="S62" s="282"/>
      <c r="T62" s="281"/>
      <c r="U62" s="242"/>
    </row>
    <row r="63" spans="1:21" s="49" customFormat="1" ht="18" customHeight="1" x14ac:dyDescent="0.25">
      <c r="A63" s="61"/>
      <c r="B63" s="62"/>
      <c r="C63" s="62"/>
      <c r="D63" s="74" t="s">
        <v>181</v>
      </c>
      <c r="E63" s="62" t="s">
        <v>183</v>
      </c>
      <c r="F63" s="63">
        <v>237247920</v>
      </c>
      <c r="G63" s="75">
        <v>28823160</v>
      </c>
      <c r="H63" s="75">
        <v>13614960</v>
      </c>
      <c r="I63" s="75">
        <f t="shared" si="26"/>
        <v>42438120</v>
      </c>
      <c r="J63" s="75"/>
      <c r="K63" s="75"/>
      <c r="L63" s="75">
        <f t="shared" si="22"/>
        <v>0</v>
      </c>
      <c r="M63" s="75">
        <f t="shared" si="23"/>
        <v>42438120</v>
      </c>
      <c r="N63" s="63">
        <f t="shared" si="28"/>
        <v>194809800</v>
      </c>
      <c r="P63" s="192"/>
      <c r="S63" s="282"/>
      <c r="T63" s="281">
        <v>13614960</v>
      </c>
      <c r="U63" s="242"/>
    </row>
    <row r="64" spans="1:21" s="49" customFormat="1" ht="18" customHeight="1" x14ac:dyDescent="0.25">
      <c r="A64" s="56"/>
      <c r="B64" s="57"/>
      <c r="C64" s="57"/>
      <c r="D64" s="73" t="s">
        <v>184</v>
      </c>
      <c r="E64" s="57" t="s">
        <v>186</v>
      </c>
      <c r="F64" s="58">
        <f>+F65</f>
        <v>202631050</v>
      </c>
      <c r="G64" s="59">
        <f>+G65</f>
        <v>555294</v>
      </c>
      <c r="H64" s="59">
        <f>+H65</f>
        <v>289559</v>
      </c>
      <c r="I64" s="59">
        <f t="shared" si="26"/>
        <v>844853</v>
      </c>
      <c r="J64" s="59"/>
      <c r="K64" s="59">
        <f>+K65</f>
        <v>0</v>
      </c>
      <c r="L64" s="59">
        <f t="shared" si="22"/>
        <v>0</v>
      </c>
      <c r="M64" s="59">
        <f t="shared" si="23"/>
        <v>844853</v>
      </c>
      <c r="N64" s="58">
        <f t="shared" si="28"/>
        <v>201786197</v>
      </c>
      <c r="P64" s="192"/>
      <c r="S64" s="282"/>
      <c r="T64" s="281"/>
      <c r="U64" s="242"/>
    </row>
    <row r="65" spans="1:21" s="49" customFormat="1" ht="18" customHeight="1" x14ac:dyDescent="0.25">
      <c r="A65" s="61"/>
      <c r="B65" s="62"/>
      <c r="C65" s="62"/>
      <c r="D65" s="74" t="s">
        <v>185</v>
      </c>
      <c r="E65" s="62" t="s">
        <v>187</v>
      </c>
      <c r="F65" s="63">
        <v>202631050</v>
      </c>
      <c r="G65" s="75">
        <v>555294</v>
      </c>
      <c r="H65" s="75">
        <v>289559</v>
      </c>
      <c r="I65" s="75">
        <f t="shared" si="26"/>
        <v>844853</v>
      </c>
      <c r="J65" s="75"/>
      <c r="K65" s="75"/>
      <c r="L65" s="75">
        <f t="shared" si="22"/>
        <v>0</v>
      </c>
      <c r="M65" s="75">
        <f t="shared" si="23"/>
        <v>844853</v>
      </c>
      <c r="N65" s="63">
        <f t="shared" si="28"/>
        <v>201786197</v>
      </c>
      <c r="P65" s="192"/>
      <c r="S65" s="282"/>
      <c r="T65" s="281">
        <v>289559</v>
      </c>
      <c r="U65" s="242"/>
    </row>
    <row r="66" spans="1:21" s="49" customFormat="1" ht="18" customHeight="1" x14ac:dyDescent="0.25">
      <c r="A66" s="56"/>
      <c r="B66" s="57"/>
      <c r="C66" s="57"/>
      <c r="D66" s="73" t="s">
        <v>188</v>
      </c>
      <c r="E66" s="57" t="s">
        <v>190</v>
      </c>
      <c r="F66" s="58">
        <f t="shared" ref="F66" si="29">+F67</f>
        <v>51845</v>
      </c>
      <c r="G66" s="59">
        <f>+G67</f>
        <v>6428</v>
      </c>
      <c r="H66" s="59">
        <f>+H67</f>
        <v>3115</v>
      </c>
      <c r="I66" s="59">
        <f t="shared" si="26"/>
        <v>9543</v>
      </c>
      <c r="J66" s="59"/>
      <c r="K66" s="59">
        <f>+K67</f>
        <v>0</v>
      </c>
      <c r="L66" s="59">
        <f t="shared" si="22"/>
        <v>0</v>
      </c>
      <c r="M66" s="59">
        <f t="shared" si="23"/>
        <v>9543</v>
      </c>
      <c r="N66" s="58">
        <f t="shared" si="28"/>
        <v>42302</v>
      </c>
      <c r="P66" s="192"/>
      <c r="S66" s="282"/>
      <c r="T66" s="281"/>
      <c r="U66" s="242"/>
    </row>
    <row r="67" spans="1:21" s="49" customFormat="1" ht="18" customHeight="1" x14ac:dyDescent="0.25">
      <c r="A67" s="61"/>
      <c r="B67" s="62"/>
      <c r="C67" s="62"/>
      <c r="D67" s="74" t="s">
        <v>189</v>
      </c>
      <c r="E67" s="62" t="s">
        <v>329</v>
      </c>
      <c r="F67" s="63">
        <v>51845</v>
      </c>
      <c r="G67" s="75">
        <v>6428</v>
      </c>
      <c r="H67" s="75">
        <v>3115</v>
      </c>
      <c r="I67" s="75">
        <f t="shared" si="26"/>
        <v>9543</v>
      </c>
      <c r="J67" s="75"/>
      <c r="K67" s="75"/>
      <c r="L67" s="75">
        <f t="shared" si="22"/>
        <v>0</v>
      </c>
      <c r="M67" s="75">
        <f t="shared" si="23"/>
        <v>9543</v>
      </c>
      <c r="N67" s="63">
        <f t="shared" si="28"/>
        <v>42302</v>
      </c>
      <c r="P67" s="192"/>
      <c r="S67" s="282"/>
      <c r="T67" s="281">
        <v>3115</v>
      </c>
      <c r="U67" s="242"/>
    </row>
    <row r="68" spans="1:21" s="49" customFormat="1" ht="18" customHeight="1" x14ac:dyDescent="0.25">
      <c r="A68" s="56"/>
      <c r="B68" s="57"/>
      <c r="C68" s="57"/>
      <c r="D68" s="73" t="s">
        <v>191</v>
      </c>
      <c r="E68" s="57" t="s">
        <v>193</v>
      </c>
      <c r="F68" s="58">
        <f t="shared" ref="F68" si="30">+F69</f>
        <v>190139023</v>
      </c>
      <c r="G68" s="59">
        <f>+G69</f>
        <v>23475822</v>
      </c>
      <c r="H68" s="59">
        <f>+H69</f>
        <v>11405655</v>
      </c>
      <c r="I68" s="59">
        <f t="shared" si="26"/>
        <v>34881477</v>
      </c>
      <c r="J68" s="59"/>
      <c r="K68" s="59">
        <f>+K69</f>
        <v>0</v>
      </c>
      <c r="L68" s="59">
        <f t="shared" si="22"/>
        <v>0</v>
      </c>
      <c r="M68" s="59">
        <f t="shared" si="23"/>
        <v>34881477</v>
      </c>
      <c r="N68" s="58">
        <f t="shared" si="28"/>
        <v>155257546</v>
      </c>
      <c r="P68" s="192"/>
      <c r="S68" s="282"/>
      <c r="T68" s="282"/>
      <c r="U68" s="242"/>
    </row>
    <row r="69" spans="1:21" s="49" customFormat="1" ht="18" customHeight="1" x14ac:dyDescent="0.25">
      <c r="A69" s="61"/>
      <c r="B69" s="62"/>
      <c r="C69" s="62"/>
      <c r="D69" s="74" t="s">
        <v>192</v>
      </c>
      <c r="E69" s="62" t="s">
        <v>194</v>
      </c>
      <c r="F69" s="63">
        <v>190139023</v>
      </c>
      <c r="G69" s="75">
        <v>23475822</v>
      </c>
      <c r="H69" s="75">
        <v>11405655</v>
      </c>
      <c r="I69" s="75">
        <f t="shared" si="26"/>
        <v>34881477</v>
      </c>
      <c r="J69" s="75"/>
      <c r="K69" s="75"/>
      <c r="L69" s="75">
        <f t="shared" si="22"/>
        <v>0</v>
      </c>
      <c r="M69" s="75">
        <f t="shared" si="23"/>
        <v>34881477</v>
      </c>
      <c r="N69" s="63">
        <f t="shared" si="28"/>
        <v>155257546</v>
      </c>
      <c r="P69" s="192"/>
      <c r="S69" s="282"/>
      <c r="T69" s="281">
        <v>11405655</v>
      </c>
      <c r="U69" s="242"/>
    </row>
    <row r="70" spans="1:21" s="49" customFormat="1" ht="18" customHeight="1" x14ac:dyDescent="0.25">
      <c r="A70" s="56"/>
      <c r="B70" s="57"/>
      <c r="C70" s="57"/>
      <c r="D70" s="73" t="s">
        <v>195</v>
      </c>
      <c r="E70" s="57" t="s">
        <v>197</v>
      </c>
      <c r="F70" s="58">
        <f t="shared" ref="F70" si="31">+F71</f>
        <v>9404942</v>
      </c>
      <c r="G70" s="59">
        <f>+G71</f>
        <v>1163735</v>
      </c>
      <c r="H70" s="59">
        <f>+H71</f>
        <v>566504</v>
      </c>
      <c r="I70" s="59">
        <f t="shared" si="26"/>
        <v>1730239</v>
      </c>
      <c r="J70" s="59"/>
      <c r="K70" s="59">
        <f>+K71</f>
        <v>0</v>
      </c>
      <c r="L70" s="59">
        <f t="shared" si="22"/>
        <v>0</v>
      </c>
      <c r="M70" s="59">
        <f t="shared" si="23"/>
        <v>1730239</v>
      </c>
      <c r="N70" s="58">
        <f t="shared" si="28"/>
        <v>7674703</v>
      </c>
      <c r="P70" s="192"/>
      <c r="S70" s="282"/>
      <c r="T70" s="281"/>
      <c r="U70" s="242"/>
    </row>
    <row r="71" spans="1:21" s="49" customFormat="1" ht="18" customHeight="1" x14ac:dyDescent="0.25">
      <c r="A71" s="61"/>
      <c r="B71" s="62"/>
      <c r="C71" s="62"/>
      <c r="D71" s="74" t="s">
        <v>196</v>
      </c>
      <c r="E71" s="62" t="s">
        <v>198</v>
      </c>
      <c r="F71" s="63">
        <v>9404942</v>
      </c>
      <c r="G71" s="75">
        <v>1163735</v>
      </c>
      <c r="H71" s="75">
        <v>566504</v>
      </c>
      <c r="I71" s="75">
        <f t="shared" si="26"/>
        <v>1730239</v>
      </c>
      <c r="J71" s="75"/>
      <c r="K71" s="75"/>
      <c r="L71" s="75">
        <f t="shared" si="22"/>
        <v>0</v>
      </c>
      <c r="M71" s="75">
        <f t="shared" si="23"/>
        <v>1730239</v>
      </c>
      <c r="N71" s="63">
        <f t="shared" si="28"/>
        <v>7674703</v>
      </c>
      <c r="P71" s="192"/>
      <c r="S71" s="282"/>
      <c r="T71" s="281">
        <v>566504</v>
      </c>
      <c r="U71" s="242"/>
    </row>
    <row r="72" spans="1:21" s="49" customFormat="1" ht="18" customHeight="1" x14ac:dyDescent="0.25">
      <c r="A72" s="56"/>
      <c r="B72" s="57"/>
      <c r="C72" s="57"/>
      <c r="D72" s="73" t="s">
        <v>199</v>
      </c>
      <c r="E72" s="57" t="s">
        <v>201</v>
      </c>
      <c r="F72" s="58">
        <f>+F73</f>
        <v>28215046</v>
      </c>
      <c r="G72" s="59">
        <f>+G73</f>
        <v>3491205</v>
      </c>
      <c r="H72" s="59">
        <f>+H73</f>
        <v>1699511</v>
      </c>
      <c r="I72" s="59">
        <f t="shared" si="26"/>
        <v>5190716</v>
      </c>
      <c r="J72" s="59"/>
      <c r="K72" s="59">
        <f>+K73</f>
        <v>0</v>
      </c>
      <c r="L72" s="59">
        <f t="shared" si="22"/>
        <v>0</v>
      </c>
      <c r="M72" s="59">
        <f t="shared" si="23"/>
        <v>5190716</v>
      </c>
      <c r="N72" s="58">
        <f t="shared" si="28"/>
        <v>23024330</v>
      </c>
      <c r="P72" s="192"/>
      <c r="S72" s="282"/>
      <c r="T72" s="281"/>
      <c r="U72" s="242"/>
    </row>
    <row r="73" spans="1:21" s="49" customFormat="1" ht="18" customHeight="1" x14ac:dyDescent="0.25">
      <c r="A73" s="61"/>
      <c r="B73" s="62"/>
      <c r="C73" s="62"/>
      <c r="D73" s="74" t="s">
        <v>200</v>
      </c>
      <c r="E73" s="62" t="s">
        <v>202</v>
      </c>
      <c r="F73" s="63">
        <v>28215046</v>
      </c>
      <c r="G73" s="75">
        <v>3491205</v>
      </c>
      <c r="H73" s="75">
        <v>1699511</v>
      </c>
      <c r="I73" s="75">
        <f t="shared" si="26"/>
        <v>5190716</v>
      </c>
      <c r="J73" s="75"/>
      <c r="K73" s="75"/>
      <c r="L73" s="75">
        <f t="shared" si="22"/>
        <v>0</v>
      </c>
      <c r="M73" s="75">
        <f>+I73+L73</f>
        <v>5190716</v>
      </c>
      <c r="N73" s="63">
        <f>+F73-M73</f>
        <v>23024330</v>
      </c>
      <c r="P73" s="192"/>
      <c r="S73" s="282"/>
      <c r="T73" s="281">
        <v>1699511</v>
      </c>
      <c r="U73" s="242"/>
    </row>
    <row r="74" spans="1:21" s="49" customFormat="1" ht="18" customHeight="1" x14ac:dyDescent="0.25">
      <c r="A74" s="56"/>
      <c r="B74" s="57"/>
      <c r="C74" s="57"/>
      <c r="D74" s="73" t="s">
        <v>203</v>
      </c>
      <c r="E74" s="57" t="s">
        <v>205</v>
      </c>
      <c r="F74" s="58">
        <f>+F75</f>
        <v>23975938</v>
      </c>
      <c r="G74" s="59">
        <f>G75</f>
        <v>0</v>
      </c>
      <c r="H74" s="59">
        <f>+H75</f>
        <v>0</v>
      </c>
      <c r="I74" s="59">
        <f>+I75</f>
        <v>0</v>
      </c>
      <c r="J74" s="59"/>
      <c r="K74" s="59">
        <f>+K75</f>
        <v>0</v>
      </c>
      <c r="L74" s="59">
        <f t="shared" si="22"/>
        <v>0</v>
      </c>
      <c r="M74" s="59">
        <f t="shared" ref="M74:M101" si="32">+I74+L74</f>
        <v>0</v>
      </c>
      <c r="N74" s="58">
        <f t="shared" ref="N74:N84" si="33">+F74-M74</f>
        <v>23975938</v>
      </c>
      <c r="P74" s="192"/>
      <c r="S74" s="282"/>
      <c r="T74" s="282"/>
      <c r="U74" s="242"/>
    </row>
    <row r="75" spans="1:21" s="49" customFormat="1" ht="18" customHeight="1" x14ac:dyDescent="0.25">
      <c r="A75" s="61"/>
      <c r="B75" s="62"/>
      <c r="C75" s="62"/>
      <c r="D75" s="74" t="s">
        <v>204</v>
      </c>
      <c r="E75" s="62" t="s">
        <v>206</v>
      </c>
      <c r="F75" s="63">
        <v>23975938</v>
      </c>
      <c r="G75" s="75"/>
      <c r="H75" s="75"/>
      <c r="I75" s="75">
        <f t="shared" ref="I75:I100" si="34">+G75+H75</f>
        <v>0</v>
      </c>
      <c r="J75" s="75"/>
      <c r="K75" s="75"/>
      <c r="L75" s="75">
        <f t="shared" si="22"/>
        <v>0</v>
      </c>
      <c r="M75" s="75">
        <f t="shared" si="32"/>
        <v>0</v>
      </c>
      <c r="N75" s="63">
        <f t="shared" si="33"/>
        <v>23975938</v>
      </c>
      <c r="P75" s="192"/>
      <c r="S75" s="282"/>
      <c r="T75" s="282"/>
      <c r="U75" s="242"/>
    </row>
    <row r="76" spans="1:21" s="55" customFormat="1" ht="18" customHeight="1" x14ac:dyDescent="0.25">
      <c r="A76" s="50"/>
      <c r="B76" s="51"/>
      <c r="C76" s="51"/>
      <c r="D76" s="71" t="s">
        <v>210</v>
      </c>
      <c r="E76" s="51" t="s">
        <v>211</v>
      </c>
      <c r="F76" s="53">
        <f>+F77+F79+F81</f>
        <v>2044369640</v>
      </c>
      <c r="G76" s="72">
        <f>+G77+G79+G81</f>
        <v>194118788</v>
      </c>
      <c r="H76" s="72">
        <f>+H77+H79+H81</f>
        <v>0</v>
      </c>
      <c r="I76" s="72">
        <f>+G76+H76</f>
        <v>194118788</v>
      </c>
      <c r="J76" s="72"/>
      <c r="K76" s="72">
        <f>+K77</f>
        <v>0</v>
      </c>
      <c r="L76" s="72">
        <f t="shared" si="22"/>
        <v>0</v>
      </c>
      <c r="M76" s="72">
        <f t="shared" si="32"/>
        <v>194118788</v>
      </c>
      <c r="N76" s="53">
        <f t="shared" si="33"/>
        <v>1850250852</v>
      </c>
      <c r="P76" s="195"/>
      <c r="S76" s="282"/>
      <c r="T76" s="282"/>
      <c r="U76" s="243"/>
    </row>
    <row r="77" spans="1:21" s="49" customFormat="1" ht="18" customHeight="1" x14ac:dyDescent="0.25">
      <c r="A77" s="56"/>
      <c r="B77" s="57"/>
      <c r="C77" s="57"/>
      <c r="D77" s="73" t="s">
        <v>212</v>
      </c>
      <c r="E77" s="57" t="s">
        <v>214</v>
      </c>
      <c r="F77" s="58">
        <f>+F78</f>
        <v>180000000</v>
      </c>
      <c r="G77" s="59">
        <f>+G78</f>
        <v>179148911</v>
      </c>
      <c r="H77" s="59">
        <f t="shared" ref="G77:H81" si="35">+H78</f>
        <v>0</v>
      </c>
      <c r="I77" s="59">
        <f t="shared" si="34"/>
        <v>179148911</v>
      </c>
      <c r="J77" s="59"/>
      <c r="K77" s="59">
        <f>+K78</f>
        <v>0</v>
      </c>
      <c r="L77" s="59">
        <f t="shared" si="22"/>
        <v>0</v>
      </c>
      <c r="M77" s="59">
        <f t="shared" si="32"/>
        <v>179148911</v>
      </c>
      <c r="N77" s="58">
        <f t="shared" si="33"/>
        <v>851089</v>
      </c>
      <c r="P77" s="192"/>
      <c r="S77" s="282"/>
      <c r="T77" s="282"/>
      <c r="U77" s="242"/>
    </row>
    <row r="78" spans="1:21" s="49" customFormat="1" ht="18" customHeight="1" x14ac:dyDescent="0.25">
      <c r="A78" s="61"/>
      <c r="B78" s="62"/>
      <c r="C78" s="62"/>
      <c r="D78" s="74" t="s">
        <v>213</v>
      </c>
      <c r="E78" s="62" t="s">
        <v>215</v>
      </c>
      <c r="F78" s="63">
        <v>180000000</v>
      </c>
      <c r="G78" s="75">
        <v>179148911</v>
      </c>
      <c r="H78" s="75"/>
      <c r="I78" s="75">
        <f t="shared" si="34"/>
        <v>179148911</v>
      </c>
      <c r="J78" s="75"/>
      <c r="K78" s="75"/>
      <c r="L78" s="75">
        <f t="shared" si="22"/>
        <v>0</v>
      </c>
      <c r="M78" s="75">
        <f t="shared" si="32"/>
        <v>179148911</v>
      </c>
      <c r="N78" s="63">
        <f t="shared" si="33"/>
        <v>851089</v>
      </c>
      <c r="P78" s="192"/>
      <c r="S78" s="282"/>
      <c r="T78" s="282"/>
      <c r="U78" s="242"/>
    </row>
    <row r="79" spans="1:21" s="49" customFormat="1" ht="18" customHeight="1" x14ac:dyDescent="0.25">
      <c r="A79" s="56"/>
      <c r="B79" s="57"/>
      <c r="C79" s="57"/>
      <c r="D79" s="73" t="s">
        <v>431</v>
      </c>
      <c r="E79" s="57" t="s">
        <v>432</v>
      </c>
      <c r="F79" s="58">
        <f>+F80</f>
        <v>123544200</v>
      </c>
      <c r="G79" s="59">
        <f t="shared" si="35"/>
        <v>9969877</v>
      </c>
      <c r="H79" s="59">
        <f t="shared" si="35"/>
        <v>0</v>
      </c>
      <c r="I79" s="59">
        <f>+G79+H79</f>
        <v>9969877</v>
      </c>
      <c r="J79" s="59"/>
      <c r="K79" s="59">
        <f>+K80</f>
        <v>0</v>
      </c>
      <c r="L79" s="59">
        <f t="shared" si="22"/>
        <v>0</v>
      </c>
      <c r="M79" s="59">
        <f t="shared" si="32"/>
        <v>9969877</v>
      </c>
      <c r="N79" s="58">
        <f t="shared" si="33"/>
        <v>113574323</v>
      </c>
      <c r="P79" s="192"/>
      <c r="S79" s="282"/>
      <c r="T79" s="282"/>
      <c r="U79" s="242"/>
    </row>
    <row r="80" spans="1:21" s="49" customFormat="1" ht="18" customHeight="1" x14ac:dyDescent="0.25">
      <c r="A80" s="61"/>
      <c r="B80" s="62"/>
      <c r="C80" s="62"/>
      <c r="D80" s="74" t="s">
        <v>429</v>
      </c>
      <c r="E80" s="62" t="s">
        <v>430</v>
      </c>
      <c r="F80" s="63">
        <v>123544200</v>
      </c>
      <c r="G80" s="75">
        <v>9969877</v>
      </c>
      <c r="H80" s="75"/>
      <c r="I80" s="75">
        <f>+G80+H80</f>
        <v>9969877</v>
      </c>
      <c r="J80" s="75"/>
      <c r="K80" s="75"/>
      <c r="L80" s="75"/>
      <c r="M80" s="75">
        <f t="shared" si="32"/>
        <v>9969877</v>
      </c>
      <c r="N80" s="63">
        <f>+F80-M80</f>
        <v>113574323</v>
      </c>
      <c r="P80" s="192"/>
      <c r="S80" s="282"/>
      <c r="T80" s="282"/>
      <c r="U80" s="242"/>
    </row>
    <row r="81" spans="1:21" s="49" customFormat="1" ht="18" customHeight="1" x14ac:dyDescent="0.25">
      <c r="A81" s="56"/>
      <c r="B81" s="57"/>
      <c r="C81" s="57"/>
      <c r="D81" s="73" t="s">
        <v>453</v>
      </c>
      <c r="E81" s="57" t="s">
        <v>456</v>
      </c>
      <c r="F81" s="58">
        <f>+F82</f>
        <v>1740825440</v>
      </c>
      <c r="G81" s="59">
        <f t="shared" si="35"/>
        <v>5000000</v>
      </c>
      <c r="H81" s="59">
        <f t="shared" si="35"/>
        <v>0</v>
      </c>
      <c r="I81" s="59">
        <f>+G81+H81</f>
        <v>5000000</v>
      </c>
      <c r="J81" s="59"/>
      <c r="K81" s="59">
        <f>+K82</f>
        <v>0</v>
      </c>
      <c r="L81" s="59">
        <f t="shared" ref="L81" si="36">+J81+K81</f>
        <v>0</v>
      </c>
      <c r="M81" s="59">
        <f t="shared" si="32"/>
        <v>5000000</v>
      </c>
      <c r="N81" s="58">
        <f t="shared" ref="N81" si="37">+F81-M81</f>
        <v>1735825440</v>
      </c>
      <c r="P81" s="192"/>
      <c r="S81" s="282"/>
      <c r="T81" s="282"/>
      <c r="U81" s="242"/>
    </row>
    <row r="82" spans="1:21" s="49" customFormat="1" ht="18" customHeight="1" x14ac:dyDescent="0.25">
      <c r="A82" s="61"/>
      <c r="B82" s="62"/>
      <c r="C82" s="62"/>
      <c r="D82" s="74" t="s">
        <v>454</v>
      </c>
      <c r="E82" s="62" t="s">
        <v>455</v>
      </c>
      <c r="F82" s="63">
        <v>1740825440</v>
      </c>
      <c r="G82" s="75">
        <v>5000000</v>
      </c>
      <c r="H82" s="75"/>
      <c r="I82" s="75">
        <f>+G82+H82</f>
        <v>5000000</v>
      </c>
      <c r="J82" s="75"/>
      <c r="K82" s="75"/>
      <c r="L82" s="75"/>
      <c r="M82" s="75">
        <f t="shared" si="32"/>
        <v>5000000</v>
      </c>
      <c r="N82" s="63">
        <f>+F82-M82</f>
        <v>1735825440</v>
      </c>
      <c r="P82" s="192"/>
      <c r="S82" s="282"/>
      <c r="T82" s="282"/>
      <c r="U82" s="242"/>
    </row>
    <row r="83" spans="1:21" s="55" customFormat="1" ht="18" customHeight="1" x14ac:dyDescent="0.25">
      <c r="A83" s="50"/>
      <c r="B83" s="51"/>
      <c r="C83" s="51"/>
      <c r="D83" s="71" t="s">
        <v>216</v>
      </c>
      <c r="E83" s="51" t="s">
        <v>219</v>
      </c>
      <c r="F83" s="53">
        <f>+F84+F95+F99</f>
        <v>10039198750</v>
      </c>
      <c r="G83" s="72">
        <f>+G84+G95+G99</f>
        <v>76300000</v>
      </c>
      <c r="H83" s="72">
        <f>+H84+H95+H99</f>
        <v>0</v>
      </c>
      <c r="I83" s="72">
        <f>+G83+H83</f>
        <v>76300000</v>
      </c>
      <c r="J83" s="72"/>
      <c r="K83" s="72">
        <f>+K84</f>
        <v>0</v>
      </c>
      <c r="L83" s="72">
        <f t="shared" si="22"/>
        <v>0</v>
      </c>
      <c r="M83" s="72">
        <f t="shared" si="32"/>
        <v>76300000</v>
      </c>
      <c r="N83" s="53">
        <f t="shared" si="33"/>
        <v>9962898750</v>
      </c>
      <c r="P83" s="195"/>
      <c r="S83" s="282"/>
      <c r="T83" s="282"/>
      <c r="U83" s="243"/>
    </row>
    <row r="84" spans="1:21" s="49" customFormat="1" ht="18" customHeight="1" x14ac:dyDescent="0.25">
      <c r="A84" s="56"/>
      <c r="B84" s="57"/>
      <c r="C84" s="57"/>
      <c r="D84" s="73" t="s">
        <v>217</v>
      </c>
      <c r="E84" s="57" t="s">
        <v>220</v>
      </c>
      <c r="F84" s="58">
        <f>SUM(F85:F94)</f>
        <v>8593798750</v>
      </c>
      <c r="G84" s="59">
        <f>SUM(G85:G94)</f>
        <v>0</v>
      </c>
      <c r="H84" s="59">
        <f>SUM(H85:H94)</f>
        <v>0</v>
      </c>
      <c r="I84" s="59">
        <f t="shared" si="34"/>
        <v>0</v>
      </c>
      <c r="J84" s="59"/>
      <c r="K84" s="59">
        <f>+SUM(K85:K94)</f>
        <v>0</v>
      </c>
      <c r="L84" s="59">
        <f t="shared" si="22"/>
        <v>0</v>
      </c>
      <c r="M84" s="59">
        <f t="shared" si="32"/>
        <v>0</v>
      </c>
      <c r="N84" s="58">
        <f t="shared" si="33"/>
        <v>8593798750</v>
      </c>
      <c r="P84" s="192"/>
      <c r="S84" s="282"/>
      <c r="T84" s="282"/>
      <c r="U84" s="242"/>
    </row>
    <row r="85" spans="1:21" s="49" customFormat="1" ht="18" customHeight="1" x14ac:dyDescent="0.25">
      <c r="A85" s="61"/>
      <c r="B85" s="62"/>
      <c r="C85" s="62"/>
      <c r="D85" s="74" t="s">
        <v>218</v>
      </c>
      <c r="E85" s="62" t="s">
        <v>221</v>
      </c>
      <c r="F85" s="63">
        <v>356112500</v>
      </c>
      <c r="G85" s="75"/>
      <c r="H85" s="75"/>
      <c r="I85" s="75">
        <f t="shared" si="34"/>
        <v>0</v>
      </c>
      <c r="J85" s="75"/>
      <c r="K85" s="75"/>
      <c r="L85" s="75">
        <f t="shared" si="22"/>
        <v>0</v>
      </c>
      <c r="M85" s="75">
        <f t="shared" si="32"/>
        <v>0</v>
      </c>
      <c r="N85" s="63">
        <f>+F85-M85</f>
        <v>356112500</v>
      </c>
      <c r="P85" s="192"/>
      <c r="S85" s="282"/>
      <c r="T85" s="282"/>
      <c r="U85" s="242"/>
    </row>
    <row r="86" spans="1:21" s="49" customFormat="1" ht="18" customHeight="1" x14ac:dyDescent="0.25">
      <c r="A86" s="61"/>
      <c r="B86" s="62"/>
      <c r="C86" s="62"/>
      <c r="D86" s="74" t="s">
        <v>222</v>
      </c>
      <c r="E86" s="62" t="s">
        <v>223</v>
      </c>
      <c r="F86" s="63">
        <v>413550000</v>
      </c>
      <c r="G86" s="75"/>
      <c r="H86" s="75"/>
      <c r="I86" s="75">
        <f t="shared" si="34"/>
        <v>0</v>
      </c>
      <c r="J86" s="75"/>
      <c r="K86" s="75"/>
      <c r="L86" s="75">
        <f t="shared" si="22"/>
        <v>0</v>
      </c>
      <c r="M86" s="75">
        <f t="shared" si="32"/>
        <v>0</v>
      </c>
      <c r="N86" s="63">
        <f t="shared" ref="N86:N100" si="38">+F86-M86</f>
        <v>413550000</v>
      </c>
      <c r="P86" s="192"/>
      <c r="S86" s="282"/>
      <c r="T86" s="282"/>
      <c r="U86" s="242"/>
    </row>
    <row r="87" spans="1:21" s="49" customFormat="1" ht="18" customHeight="1" x14ac:dyDescent="0.25">
      <c r="A87" s="61"/>
      <c r="B87" s="62"/>
      <c r="C87" s="62"/>
      <c r="D87" s="74" t="s">
        <v>224</v>
      </c>
      <c r="E87" s="62" t="s">
        <v>225</v>
      </c>
      <c r="F87" s="63">
        <v>45950000</v>
      </c>
      <c r="G87" s="75"/>
      <c r="H87" s="75"/>
      <c r="I87" s="75">
        <f t="shared" si="34"/>
        <v>0</v>
      </c>
      <c r="J87" s="75"/>
      <c r="K87" s="75"/>
      <c r="L87" s="75">
        <f t="shared" si="22"/>
        <v>0</v>
      </c>
      <c r="M87" s="75">
        <f t="shared" si="32"/>
        <v>0</v>
      </c>
      <c r="N87" s="63">
        <f t="shared" si="38"/>
        <v>45950000</v>
      </c>
      <c r="P87" s="192"/>
      <c r="S87" s="282"/>
      <c r="T87" s="282"/>
      <c r="U87" s="242"/>
    </row>
    <row r="88" spans="1:21" s="49" customFormat="1" ht="18" customHeight="1" x14ac:dyDescent="0.25">
      <c r="A88" s="61"/>
      <c r="B88" s="62"/>
      <c r="C88" s="62"/>
      <c r="D88" s="74" t="s">
        <v>226</v>
      </c>
      <c r="E88" s="62" t="s">
        <v>227</v>
      </c>
      <c r="F88" s="63">
        <v>252725000</v>
      </c>
      <c r="G88" s="75"/>
      <c r="H88" s="75"/>
      <c r="I88" s="75">
        <f t="shared" si="34"/>
        <v>0</v>
      </c>
      <c r="J88" s="75"/>
      <c r="K88" s="75"/>
      <c r="L88" s="75">
        <f t="shared" si="22"/>
        <v>0</v>
      </c>
      <c r="M88" s="75">
        <f t="shared" si="32"/>
        <v>0</v>
      </c>
      <c r="N88" s="63">
        <f t="shared" si="38"/>
        <v>252725000</v>
      </c>
      <c r="P88" s="192"/>
      <c r="S88" s="282"/>
      <c r="T88" s="282"/>
      <c r="U88" s="242"/>
    </row>
    <row r="89" spans="1:21" s="49" customFormat="1" ht="18" customHeight="1" x14ac:dyDescent="0.25">
      <c r="A89" s="61"/>
      <c r="B89" s="62"/>
      <c r="C89" s="62"/>
      <c r="D89" s="74" t="s">
        <v>228</v>
      </c>
      <c r="E89" s="62" t="s">
        <v>229</v>
      </c>
      <c r="F89" s="63">
        <v>3101625000</v>
      </c>
      <c r="G89" s="75"/>
      <c r="H89" s="75"/>
      <c r="I89" s="75">
        <f t="shared" si="34"/>
        <v>0</v>
      </c>
      <c r="J89" s="75"/>
      <c r="K89" s="75"/>
      <c r="L89" s="75">
        <f t="shared" si="22"/>
        <v>0</v>
      </c>
      <c r="M89" s="75">
        <f t="shared" si="32"/>
        <v>0</v>
      </c>
      <c r="N89" s="63">
        <f t="shared" si="38"/>
        <v>3101625000</v>
      </c>
      <c r="P89" s="192"/>
      <c r="S89" s="282"/>
      <c r="T89" s="282"/>
      <c r="U89" s="242"/>
    </row>
    <row r="90" spans="1:21" s="49" customFormat="1" ht="18" customHeight="1" x14ac:dyDescent="0.25">
      <c r="A90" s="61"/>
      <c r="B90" s="62"/>
      <c r="C90" s="62"/>
      <c r="D90" s="74" t="s">
        <v>230</v>
      </c>
      <c r="E90" s="62" t="s">
        <v>231</v>
      </c>
      <c r="F90" s="63">
        <v>13785000</v>
      </c>
      <c r="G90" s="75"/>
      <c r="H90" s="75"/>
      <c r="I90" s="75">
        <f t="shared" si="34"/>
        <v>0</v>
      </c>
      <c r="J90" s="75"/>
      <c r="K90" s="75"/>
      <c r="L90" s="75">
        <f t="shared" si="22"/>
        <v>0</v>
      </c>
      <c r="M90" s="75">
        <f t="shared" si="32"/>
        <v>0</v>
      </c>
      <c r="N90" s="63">
        <f t="shared" si="38"/>
        <v>13785000</v>
      </c>
      <c r="P90" s="192"/>
      <c r="S90" s="282"/>
      <c r="T90" s="282"/>
      <c r="U90" s="242"/>
    </row>
    <row r="91" spans="1:21" s="49" customFormat="1" ht="18" customHeight="1" x14ac:dyDescent="0.25">
      <c r="A91" s="61"/>
      <c r="B91" s="62"/>
      <c r="C91" s="62"/>
      <c r="D91" s="74" t="s">
        <v>232</v>
      </c>
      <c r="E91" s="62" t="s">
        <v>233</v>
      </c>
      <c r="F91" s="63">
        <v>126362500</v>
      </c>
      <c r="G91" s="75"/>
      <c r="H91" s="75"/>
      <c r="I91" s="75">
        <f t="shared" si="34"/>
        <v>0</v>
      </c>
      <c r="J91" s="75"/>
      <c r="K91" s="75"/>
      <c r="L91" s="75">
        <f t="shared" si="22"/>
        <v>0</v>
      </c>
      <c r="M91" s="75">
        <f t="shared" si="32"/>
        <v>0</v>
      </c>
      <c r="N91" s="63">
        <f t="shared" si="38"/>
        <v>126362500</v>
      </c>
      <c r="P91" s="192"/>
      <c r="S91" s="282"/>
      <c r="T91" s="282"/>
      <c r="U91" s="242"/>
    </row>
    <row r="92" spans="1:21" s="49" customFormat="1" ht="19.5" customHeight="1" x14ac:dyDescent="0.25">
      <c r="A92" s="171"/>
      <c r="B92" s="162"/>
      <c r="C92" s="162"/>
      <c r="D92" s="267" t="s">
        <v>234</v>
      </c>
      <c r="E92" s="172" t="s">
        <v>235</v>
      </c>
      <c r="F92" s="173">
        <v>2297500</v>
      </c>
      <c r="G92" s="163"/>
      <c r="H92" s="163"/>
      <c r="I92" s="163">
        <f t="shared" si="34"/>
        <v>0</v>
      </c>
      <c r="J92" s="163"/>
      <c r="K92" s="163"/>
      <c r="L92" s="163">
        <f t="shared" si="22"/>
        <v>0</v>
      </c>
      <c r="M92" s="163">
        <f t="shared" si="32"/>
        <v>0</v>
      </c>
      <c r="N92" s="173">
        <f t="shared" si="38"/>
        <v>2297500</v>
      </c>
      <c r="P92" s="192"/>
      <c r="S92" s="282"/>
      <c r="T92" s="282"/>
      <c r="U92" s="242"/>
    </row>
    <row r="93" spans="1:21" s="49" customFormat="1" ht="30.75" customHeight="1" x14ac:dyDescent="0.25">
      <c r="A93" s="171"/>
      <c r="B93" s="162"/>
      <c r="C93" s="162"/>
      <c r="D93" s="267" t="s">
        <v>236</v>
      </c>
      <c r="E93" s="172" t="s">
        <v>237</v>
      </c>
      <c r="F93" s="173">
        <v>1156791250</v>
      </c>
      <c r="G93" s="163"/>
      <c r="H93" s="163"/>
      <c r="I93" s="163">
        <f t="shared" si="34"/>
        <v>0</v>
      </c>
      <c r="J93" s="163"/>
      <c r="K93" s="163"/>
      <c r="L93" s="163">
        <f t="shared" si="22"/>
        <v>0</v>
      </c>
      <c r="M93" s="163">
        <f t="shared" si="32"/>
        <v>0</v>
      </c>
      <c r="N93" s="173">
        <f t="shared" si="38"/>
        <v>1156791250</v>
      </c>
      <c r="P93" s="192"/>
      <c r="S93" s="282"/>
      <c r="T93" s="282"/>
      <c r="U93" s="242"/>
    </row>
    <row r="94" spans="1:21" s="49" customFormat="1" ht="31.5" x14ac:dyDescent="0.25">
      <c r="A94" s="171"/>
      <c r="B94" s="162"/>
      <c r="C94" s="162"/>
      <c r="D94" s="267" t="s">
        <v>238</v>
      </c>
      <c r="E94" s="172" t="s">
        <v>239</v>
      </c>
      <c r="F94" s="173">
        <v>3124600000</v>
      </c>
      <c r="G94" s="163"/>
      <c r="H94" s="163"/>
      <c r="I94" s="163">
        <f t="shared" si="34"/>
        <v>0</v>
      </c>
      <c r="J94" s="163"/>
      <c r="K94" s="163"/>
      <c r="L94" s="163">
        <f t="shared" si="22"/>
        <v>0</v>
      </c>
      <c r="M94" s="163">
        <f t="shared" si="32"/>
        <v>0</v>
      </c>
      <c r="N94" s="173">
        <f t="shared" si="38"/>
        <v>3124600000</v>
      </c>
      <c r="P94" s="192"/>
      <c r="S94" s="282"/>
      <c r="T94" s="282"/>
      <c r="U94" s="242"/>
    </row>
    <row r="95" spans="1:21" s="49" customFormat="1" ht="18" customHeight="1" x14ac:dyDescent="0.25">
      <c r="A95" s="56"/>
      <c r="B95" s="57"/>
      <c r="C95" s="57"/>
      <c r="D95" s="73" t="s">
        <v>433</v>
      </c>
      <c r="E95" s="57" t="s">
        <v>434</v>
      </c>
      <c r="F95" s="58">
        <f>+F96+F97+F98</f>
        <v>984100000</v>
      </c>
      <c r="G95" s="59">
        <f>+G96+G97</f>
        <v>42050000</v>
      </c>
      <c r="H95" s="59">
        <f>+H96+H97</f>
        <v>0</v>
      </c>
      <c r="I95" s="59">
        <f>+G95+H95</f>
        <v>42050000</v>
      </c>
      <c r="J95" s="59">
        <f>+J96+J97</f>
        <v>0</v>
      </c>
      <c r="K95" s="59">
        <f>+SUM(K101:K110)</f>
        <v>0</v>
      </c>
      <c r="L95" s="59">
        <f>+J95+K95</f>
        <v>0</v>
      </c>
      <c r="M95" s="59">
        <f t="shared" si="32"/>
        <v>42050000</v>
      </c>
      <c r="N95" s="58">
        <f t="shared" si="38"/>
        <v>942050000</v>
      </c>
      <c r="P95" s="192"/>
      <c r="S95" s="282"/>
      <c r="T95" s="282"/>
      <c r="U95" s="242"/>
    </row>
    <row r="96" spans="1:21" s="49" customFormat="1" ht="18" customHeight="1" x14ac:dyDescent="0.25">
      <c r="A96" s="61"/>
      <c r="B96" s="62"/>
      <c r="C96" s="62"/>
      <c r="D96" s="74" t="s">
        <v>435</v>
      </c>
      <c r="E96" s="62" t="s">
        <v>437</v>
      </c>
      <c r="F96" s="63">
        <v>516750000</v>
      </c>
      <c r="G96" s="75">
        <v>40950000</v>
      </c>
      <c r="H96" s="75"/>
      <c r="I96" s="75">
        <f t="shared" si="34"/>
        <v>40950000</v>
      </c>
      <c r="J96" s="75"/>
      <c r="K96" s="75"/>
      <c r="L96" s="75">
        <f t="shared" si="22"/>
        <v>0</v>
      </c>
      <c r="M96" s="75">
        <f t="shared" si="32"/>
        <v>40950000</v>
      </c>
      <c r="N96" s="63">
        <f t="shared" si="38"/>
        <v>475800000</v>
      </c>
      <c r="P96" s="192"/>
      <c r="S96" s="282"/>
      <c r="T96" s="282"/>
      <c r="U96" s="242"/>
    </row>
    <row r="97" spans="1:21" s="49" customFormat="1" ht="18" customHeight="1" x14ac:dyDescent="0.25">
      <c r="A97" s="61"/>
      <c r="B97" s="62"/>
      <c r="C97" s="62"/>
      <c r="D97" s="74" t="s">
        <v>436</v>
      </c>
      <c r="E97" s="62" t="s">
        <v>438</v>
      </c>
      <c r="F97" s="63">
        <v>19500000</v>
      </c>
      <c r="G97" s="75">
        <v>1100000</v>
      </c>
      <c r="H97" s="75"/>
      <c r="I97" s="75">
        <f t="shared" si="34"/>
        <v>1100000</v>
      </c>
      <c r="J97" s="75"/>
      <c r="K97" s="75"/>
      <c r="L97" s="75">
        <f t="shared" si="22"/>
        <v>0</v>
      </c>
      <c r="M97" s="75">
        <f t="shared" si="32"/>
        <v>1100000</v>
      </c>
      <c r="N97" s="63">
        <f t="shared" si="38"/>
        <v>18400000</v>
      </c>
      <c r="P97" s="192"/>
      <c r="S97" s="282"/>
      <c r="T97" s="282"/>
      <c r="U97" s="242"/>
    </row>
    <row r="98" spans="1:21" s="49" customFormat="1" ht="18" customHeight="1" x14ac:dyDescent="0.25">
      <c r="A98" s="61"/>
      <c r="B98" s="62"/>
      <c r="C98" s="62"/>
      <c r="D98" s="74" t="s">
        <v>457</v>
      </c>
      <c r="E98" s="62" t="s">
        <v>458</v>
      </c>
      <c r="F98" s="63">
        <v>447850000</v>
      </c>
      <c r="G98" s="75"/>
      <c r="H98" s="75"/>
      <c r="I98" s="75">
        <f t="shared" si="34"/>
        <v>0</v>
      </c>
      <c r="J98" s="75"/>
      <c r="K98" s="75"/>
      <c r="L98" s="75">
        <f t="shared" si="22"/>
        <v>0</v>
      </c>
      <c r="M98" s="75">
        <f t="shared" si="32"/>
        <v>0</v>
      </c>
      <c r="N98" s="63">
        <f t="shared" si="38"/>
        <v>447850000</v>
      </c>
      <c r="P98" s="192"/>
      <c r="S98" s="282"/>
      <c r="T98" s="282"/>
      <c r="U98" s="242"/>
    </row>
    <row r="99" spans="1:21" s="49" customFormat="1" ht="18" customHeight="1" x14ac:dyDescent="0.25">
      <c r="A99" s="56"/>
      <c r="B99" s="57"/>
      <c r="C99" s="57"/>
      <c r="D99" s="73" t="s">
        <v>439</v>
      </c>
      <c r="E99" s="57" t="s">
        <v>442</v>
      </c>
      <c r="F99" s="58">
        <f>+F100</f>
        <v>461300000</v>
      </c>
      <c r="G99" s="59">
        <f>+G100</f>
        <v>34250000</v>
      </c>
      <c r="H99" s="59">
        <f>+H100</f>
        <v>0</v>
      </c>
      <c r="I99" s="59">
        <f t="shared" si="34"/>
        <v>34250000</v>
      </c>
      <c r="J99" s="59"/>
      <c r="K99" s="59">
        <f>+SUM(K104:K113)</f>
        <v>0</v>
      </c>
      <c r="L99" s="59">
        <f t="shared" si="22"/>
        <v>0</v>
      </c>
      <c r="M99" s="59">
        <f t="shared" si="32"/>
        <v>34250000</v>
      </c>
      <c r="N99" s="58">
        <f t="shared" si="38"/>
        <v>427050000</v>
      </c>
      <c r="P99" s="192"/>
      <c r="S99" s="282"/>
      <c r="T99" s="282"/>
      <c r="U99" s="242"/>
    </row>
    <row r="100" spans="1:21" s="49" customFormat="1" ht="18" customHeight="1" x14ac:dyDescent="0.25">
      <c r="A100" s="61"/>
      <c r="B100" s="62"/>
      <c r="C100" s="62"/>
      <c r="D100" s="74" t="s">
        <v>440</v>
      </c>
      <c r="E100" s="62" t="s">
        <v>441</v>
      </c>
      <c r="F100" s="63">
        <v>461300000</v>
      </c>
      <c r="G100" s="75">
        <v>34250000</v>
      </c>
      <c r="H100" s="75"/>
      <c r="I100" s="75">
        <f t="shared" si="34"/>
        <v>34250000</v>
      </c>
      <c r="J100" s="75"/>
      <c r="K100" s="75"/>
      <c r="L100" s="75">
        <f t="shared" si="22"/>
        <v>0</v>
      </c>
      <c r="M100" s="75">
        <f t="shared" si="32"/>
        <v>34250000</v>
      </c>
      <c r="N100" s="63">
        <f t="shared" si="38"/>
        <v>427050000</v>
      </c>
      <c r="P100" s="192"/>
      <c r="S100" s="282"/>
      <c r="T100" s="282"/>
      <c r="U100" s="242"/>
    </row>
    <row r="101" spans="1:21" s="55" customFormat="1" ht="18" customHeight="1" x14ac:dyDescent="0.25">
      <c r="A101" s="50"/>
      <c r="B101" s="51"/>
      <c r="C101" s="51"/>
      <c r="D101" s="71" t="s">
        <v>240</v>
      </c>
      <c r="E101" s="51" t="s">
        <v>241</v>
      </c>
      <c r="F101" s="53">
        <f>+F102</f>
        <v>757451250</v>
      </c>
      <c r="G101" s="72">
        <f>+G102</f>
        <v>0</v>
      </c>
      <c r="H101" s="72">
        <f>+H102</f>
        <v>0</v>
      </c>
      <c r="I101" s="72">
        <f>+G101+H101</f>
        <v>0</v>
      </c>
      <c r="J101" s="72">
        <f>+J102</f>
        <v>0</v>
      </c>
      <c r="K101" s="72">
        <f>+K102</f>
        <v>0</v>
      </c>
      <c r="L101" s="72">
        <f>+J101+K101</f>
        <v>0</v>
      </c>
      <c r="M101" s="72">
        <f t="shared" si="32"/>
        <v>0</v>
      </c>
      <c r="N101" s="53">
        <f>+F101-M101</f>
        <v>757451250</v>
      </c>
      <c r="P101" s="195"/>
      <c r="S101" s="282"/>
      <c r="T101" s="282"/>
      <c r="U101" s="243"/>
    </row>
    <row r="102" spans="1:21" s="49" customFormat="1" ht="18" customHeight="1" x14ac:dyDescent="0.25">
      <c r="A102" s="56"/>
      <c r="B102" s="57"/>
      <c r="C102" s="57"/>
      <c r="D102" s="73" t="s">
        <v>242</v>
      </c>
      <c r="E102" s="57" t="s">
        <v>409</v>
      </c>
      <c r="F102" s="58">
        <f>SUM(F103:F112)</f>
        <v>757451250</v>
      </c>
      <c r="G102" s="59">
        <f>SUM(G103:G112)</f>
        <v>0</v>
      </c>
      <c r="H102" s="59">
        <f>SUM(H103:H112)</f>
        <v>0</v>
      </c>
      <c r="I102" s="59">
        <f>+G102+H102</f>
        <v>0</v>
      </c>
      <c r="J102" s="59">
        <f>SUM(J103:J112)</f>
        <v>0</v>
      </c>
      <c r="K102" s="59">
        <f>SUM(K103:K112)</f>
        <v>0</v>
      </c>
      <c r="L102" s="59">
        <f>+J102+K102</f>
        <v>0</v>
      </c>
      <c r="M102" s="59">
        <f>+I102+L102</f>
        <v>0</v>
      </c>
      <c r="N102" s="58">
        <f>+F102-M102</f>
        <v>757451250</v>
      </c>
      <c r="P102" s="192"/>
      <c r="S102" s="282"/>
      <c r="T102" s="282"/>
      <c r="U102" s="242"/>
    </row>
    <row r="103" spans="1:21" s="49" customFormat="1" ht="18" customHeight="1" x14ac:dyDescent="0.25">
      <c r="A103" s="61"/>
      <c r="B103" s="62"/>
      <c r="C103" s="62"/>
      <c r="D103" s="74" t="s">
        <v>243</v>
      </c>
      <c r="E103" s="62" t="s">
        <v>331</v>
      </c>
      <c r="F103" s="63">
        <v>31387500</v>
      </c>
      <c r="G103" s="75"/>
      <c r="H103" s="75"/>
      <c r="I103" s="75">
        <f t="shared" ref="I103:I110" si="39">+G103+H103</f>
        <v>0</v>
      </c>
      <c r="J103" s="75"/>
      <c r="K103" s="75"/>
      <c r="L103" s="75">
        <f t="shared" si="22"/>
        <v>0</v>
      </c>
      <c r="M103" s="75">
        <f t="shared" ref="M103:M112" si="40">+I103+L103</f>
        <v>0</v>
      </c>
      <c r="N103" s="63">
        <f t="shared" ref="N103:N108" si="41">+F103-M103</f>
        <v>31387500</v>
      </c>
      <c r="P103" s="192"/>
      <c r="S103" s="282"/>
      <c r="T103" s="282"/>
      <c r="U103" s="242"/>
    </row>
    <row r="104" spans="1:21" s="49" customFormat="1" ht="18" customHeight="1" x14ac:dyDescent="0.25">
      <c r="A104" s="61"/>
      <c r="B104" s="62"/>
      <c r="C104" s="62"/>
      <c r="D104" s="74" t="s">
        <v>244</v>
      </c>
      <c r="E104" s="62" t="s">
        <v>245</v>
      </c>
      <c r="F104" s="63">
        <v>36450000</v>
      </c>
      <c r="G104" s="75"/>
      <c r="H104" s="75"/>
      <c r="I104" s="75">
        <f t="shared" si="39"/>
        <v>0</v>
      </c>
      <c r="J104" s="75"/>
      <c r="K104" s="75"/>
      <c r="L104" s="75">
        <f t="shared" si="22"/>
        <v>0</v>
      </c>
      <c r="M104" s="75">
        <f t="shared" si="40"/>
        <v>0</v>
      </c>
      <c r="N104" s="63">
        <f t="shared" si="41"/>
        <v>36450000</v>
      </c>
      <c r="P104" s="192"/>
      <c r="S104" s="282"/>
      <c r="T104" s="282"/>
      <c r="U104" s="242"/>
    </row>
    <row r="105" spans="1:21" s="49" customFormat="1" ht="18" customHeight="1" x14ac:dyDescent="0.25">
      <c r="A105" s="61"/>
      <c r="B105" s="62"/>
      <c r="C105" s="62"/>
      <c r="D105" s="74" t="s">
        <v>246</v>
      </c>
      <c r="E105" s="62" t="s">
        <v>247</v>
      </c>
      <c r="F105" s="63">
        <v>4050000</v>
      </c>
      <c r="G105" s="75"/>
      <c r="H105" s="75"/>
      <c r="I105" s="75">
        <f t="shared" si="39"/>
        <v>0</v>
      </c>
      <c r="J105" s="75"/>
      <c r="K105" s="75"/>
      <c r="L105" s="75">
        <f t="shared" si="22"/>
        <v>0</v>
      </c>
      <c r="M105" s="75">
        <f t="shared" si="40"/>
        <v>0</v>
      </c>
      <c r="N105" s="63">
        <f t="shared" si="41"/>
        <v>4050000</v>
      </c>
      <c r="P105" s="192"/>
      <c r="S105" s="282"/>
      <c r="T105" s="282"/>
      <c r="U105" s="242"/>
    </row>
    <row r="106" spans="1:21" s="49" customFormat="1" ht="18" customHeight="1" x14ac:dyDescent="0.25">
      <c r="A106" s="61"/>
      <c r="B106" s="62"/>
      <c r="C106" s="62"/>
      <c r="D106" s="74" t="s">
        <v>248</v>
      </c>
      <c r="E106" s="62" t="s">
        <v>249</v>
      </c>
      <c r="F106" s="63">
        <v>22275000</v>
      </c>
      <c r="G106" s="75"/>
      <c r="H106" s="75"/>
      <c r="I106" s="75">
        <f t="shared" si="39"/>
        <v>0</v>
      </c>
      <c r="J106" s="75"/>
      <c r="K106" s="75"/>
      <c r="L106" s="75">
        <f t="shared" si="22"/>
        <v>0</v>
      </c>
      <c r="M106" s="75">
        <f t="shared" si="40"/>
        <v>0</v>
      </c>
      <c r="N106" s="63">
        <f t="shared" si="41"/>
        <v>22275000</v>
      </c>
      <c r="P106" s="192"/>
      <c r="S106" s="282"/>
      <c r="T106" s="282"/>
      <c r="U106" s="242"/>
    </row>
    <row r="107" spans="1:21" s="49" customFormat="1" ht="18" customHeight="1" x14ac:dyDescent="0.25">
      <c r="A107" s="61"/>
      <c r="B107" s="62"/>
      <c r="C107" s="62"/>
      <c r="D107" s="74" t="s">
        <v>250</v>
      </c>
      <c r="E107" s="62" t="s">
        <v>251</v>
      </c>
      <c r="F107" s="63">
        <v>273375000</v>
      </c>
      <c r="G107" s="75"/>
      <c r="H107" s="75"/>
      <c r="I107" s="75">
        <f t="shared" si="39"/>
        <v>0</v>
      </c>
      <c r="J107" s="75"/>
      <c r="K107" s="75"/>
      <c r="L107" s="75">
        <f t="shared" si="22"/>
        <v>0</v>
      </c>
      <c r="M107" s="75">
        <f t="shared" si="40"/>
        <v>0</v>
      </c>
      <c r="N107" s="63">
        <f t="shared" si="41"/>
        <v>273375000</v>
      </c>
      <c r="P107" s="192"/>
      <c r="S107" s="282"/>
      <c r="T107" s="282"/>
      <c r="U107" s="242"/>
    </row>
    <row r="108" spans="1:21" s="49" customFormat="1" ht="18" customHeight="1" x14ac:dyDescent="0.25">
      <c r="A108" s="61"/>
      <c r="B108" s="62"/>
      <c r="C108" s="62"/>
      <c r="D108" s="74" t="s">
        <v>252</v>
      </c>
      <c r="E108" s="62" t="s">
        <v>253</v>
      </c>
      <c r="F108" s="63">
        <v>1215000</v>
      </c>
      <c r="G108" s="75"/>
      <c r="H108" s="75"/>
      <c r="I108" s="75">
        <f t="shared" si="39"/>
        <v>0</v>
      </c>
      <c r="J108" s="75"/>
      <c r="K108" s="75"/>
      <c r="L108" s="75">
        <f t="shared" si="22"/>
        <v>0</v>
      </c>
      <c r="M108" s="75">
        <f t="shared" si="40"/>
        <v>0</v>
      </c>
      <c r="N108" s="63">
        <f t="shared" si="41"/>
        <v>1215000</v>
      </c>
      <c r="P108" s="192"/>
      <c r="S108" s="282"/>
      <c r="T108" s="282"/>
      <c r="U108" s="242"/>
    </row>
    <row r="109" spans="1:21" s="49" customFormat="1" ht="18" customHeight="1" x14ac:dyDescent="0.25">
      <c r="A109" s="61"/>
      <c r="B109" s="62"/>
      <c r="C109" s="62"/>
      <c r="D109" s="74" t="s">
        <v>254</v>
      </c>
      <c r="E109" s="62" t="s">
        <v>255</v>
      </c>
      <c r="F109" s="63">
        <v>11137500</v>
      </c>
      <c r="G109" s="75"/>
      <c r="H109" s="75"/>
      <c r="I109" s="75">
        <f t="shared" si="39"/>
        <v>0</v>
      </c>
      <c r="J109" s="75"/>
      <c r="K109" s="75"/>
      <c r="L109" s="75">
        <f t="shared" si="22"/>
        <v>0</v>
      </c>
      <c r="M109" s="75">
        <f t="shared" si="40"/>
        <v>0</v>
      </c>
      <c r="N109" s="63">
        <f>+F109-M109</f>
        <v>11137500</v>
      </c>
      <c r="P109" s="192"/>
      <c r="S109" s="282"/>
      <c r="T109" s="282"/>
      <c r="U109" s="242"/>
    </row>
    <row r="110" spans="1:21" s="49" customFormat="1" ht="32.25" customHeight="1" x14ac:dyDescent="0.25">
      <c r="A110" s="171"/>
      <c r="B110" s="162"/>
      <c r="C110" s="162"/>
      <c r="D110" s="267" t="s">
        <v>256</v>
      </c>
      <c r="E110" s="172" t="s">
        <v>257</v>
      </c>
      <c r="F110" s="173">
        <v>202500</v>
      </c>
      <c r="G110" s="163"/>
      <c r="H110" s="163"/>
      <c r="I110" s="163">
        <f t="shared" si="39"/>
        <v>0</v>
      </c>
      <c r="J110" s="163"/>
      <c r="K110" s="163"/>
      <c r="L110" s="163">
        <f t="shared" si="22"/>
        <v>0</v>
      </c>
      <c r="M110" s="163">
        <f t="shared" si="40"/>
        <v>0</v>
      </c>
      <c r="N110" s="173">
        <f>+F110-M110</f>
        <v>202500</v>
      </c>
      <c r="P110" s="192"/>
      <c r="S110" s="282"/>
      <c r="T110" s="282"/>
      <c r="U110" s="242"/>
    </row>
    <row r="111" spans="1:21" s="49" customFormat="1" ht="31.5" x14ac:dyDescent="0.25">
      <c r="A111" s="171"/>
      <c r="B111" s="162"/>
      <c r="C111" s="162"/>
      <c r="D111" s="267" t="s">
        <v>258</v>
      </c>
      <c r="E111" s="172" t="s">
        <v>259</v>
      </c>
      <c r="F111" s="173">
        <v>101958750</v>
      </c>
      <c r="G111" s="163"/>
      <c r="H111" s="163"/>
      <c r="I111" s="163">
        <f>+G111+H111</f>
        <v>0</v>
      </c>
      <c r="J111" s="163"/>
      <c r="K111" s="163"/>
      <c r="L111" s="163">
        <f t="shared" si="22"/>
        <v>0</v>
      </c>
      <c r="M111" s="163">
        <f t="shared" si="40"/>
        <v>0</v>
      </c>
      <c r="N111" s="173">
        <f>+F111-M111</f>
        <v>101958750</v>
      </c>
      <c r="P111" s="192"/>
      <c r="S111" s="282"/>
      <c r="T111" s="282"/>
      <c r="U111" s="242"/>
    </row>
    <row r="112" spans="1:21" s="134" customFormat="1" ht="31.5" x14ac:dyDescent="0.25">
      <c r="A112" s="165"/>
      <c r="B112" s="166"/>
      <c r="C112" s="166"/>
      <c r="D112" s="268" t="s">
        <v>260</v>
      </c>
      <c r="E112" s="167" t="s">
        <v>261</v>
      </c>
      <c r="F112" s="168">
        <v>275400000</v>
      </c>
      <c r="G112" s="169"/>
      <c r="H112" s="169"/>
      <c r="I112" s="169">
        <f t="shared" ref="I112" si="42">+G112+H112</f>
        <v>0</v>
      </c>
      <c r="J112" s="169"/>
      <c r="K112" s="169"/>
      <c r="L112" s="169">
        <f t="shared" si="22"/>
        <v>0</v>
      </c>
      <c r="M112" s="169">
        <f t="shared" si="40"/>
        <v>0</v>
      </c>
      <c r="N112" s="168">
        <f>+F112-M112</f>
        <v>275400000</v>
      </c>
      <c r="P112" s="197"/>
      <c r="S112" s="286"/>
      <c r="T112" s="286"/>
      <c r="U112" s="247"/>
    </row>
    <row r="113" spans="1:21" s="121" customFormat="1" ht="18" customHeight="1" x14ac:dyDescent="0.25">
      <c r="A113" s="116">
        <v>4</v>
      </c>
      <c r="B113" s="117"/>
      <c r="C113" s="117" t="s">
        <v>84</v>
      </c>
      <c r="D113" s="118"/>
      <c r="E113" s="128" t="s">
        <v>85</v>
      </c>
      <c r="F113" s="119">
        <f>+F114</f>
        <v>31153000</v>
      </c>
      <c r="G113" s="120">
        <f t="shared" ref="F113:H114" si="43">+G114</f>
        <v>0</v>
      </c>
      <c r="H113" s="120">
        <f t="shared" si="43"/>
        <v>0</v>
      </c>
      <c r="I113" s="120">
        <f>+G113+H113</f>
        <v>0</v>
      </c>
      <c r="J113" s="120">
        <f>+J114</f>
        <v>2990625</v>
      </c>
      <c r="K113" s="120">
        <f>+K114</f>
        <v>0</v>
      </c>
      <c r="L113" s="120">
        <f>+J113+K113</f>
        <v>2990625</v>
      </c>
      <c r="M113" s="120">
        <f>+I113+L113</f>
        <v>2990625</v>
      </c>
      <c r="N113" s="119">
        <f>+F113-M113</f>
        <v>28162375</v>
      </c>
      <c r="P113" s="190"/>
      <c r="R113" s="122"/>
      <c r="S113" s="283"/>
      <c r="T113" s="283"/>
      <c r="U113" s="246"/>
    </row>
    <row r="114" spans="1:21" s="107" customFormat="1" ht="18" customHeight="1" x14ac:dyDescent="0.25">
      <c r="A114" s="101"/>
      <c r="B114" s="102"/>
      <c r="C114" s="102"/>
      <c r="D114" s="103" t="s">
        <v>207</v>
      </c>
      <c r="E114" s="104" t="s">
        <v>262</v>
      </c>
      <c r="F114" s="105">
        <f t="shared" si="43"/>
        <v>31153000</v>
      </c>
      <c r="G114" s="106">
        <f t="shared" si="43"/>
        <v>0</v>
      </c>
      <c r="H114" s="106">
        <f t="shared" si="43"/>
        <v>0</v>
      </c>
      <c r="I114" s="106">
        <f>+G114+H114</f>
        <v>0</v>
      </c>
      <c r="J114" s="106">
        <f t="shared" ref="J114:K116" si="44">+J115</f>
        <v>2990625</v>
      </c>
      <c r="K114" s="106">
        <f t="shared" si="44"/>
        <v>0</v>
      </c>
      <c r="L114" s="106">
        <f>+J114+K114</f>
        <v>2990625</v>
      </c>
      <c r="M114" s="106">
        <f t="shared" ref="M114:M120" si="45">+I114+L114</f>
        <v>2990625</v>
      </c>
      <c r="N114" s="105">
        <f t="shared" ref="N114:N117" si="46">+F114-M114</f>
        <v>28162375</v>
      </c>
      <c r="P114" s="191"/>
      <c r="R114" s="108"/>
      <c r="S114" s="284"/>
      <c r="T114" s="284"/>
      <c r="U114" s="241"/>
    </row>
    <row r="115" spans="1:21" s="49" customFormat="1" ht="18" customHeight="1" x14ac:dyDescent="0.25">
      <c r="A115" s="44"/>
      <c r="B115" s="77"/>
      <c r="C115" s="77"/>
      <c r="D115" s="45" t="s">
        <v>63</v>
      </c>
      <c r="E115" s="45" t="s">
        <v>30</v>
      </c>
      <c r="F115" s="47">
        <f>F116</f>
        <v>31153000</v>
      </c>
      <c r="G115" s="70">
        <f>+G116</f>
        <v>0</v>
      </c>
      <c r="H115" s="70">
        <f>+H116</f>
        <v>0</v>
      </c>
      <c r="I115" s="70">
        <f>+G115+H115</f>
        <v>0</v>
      </c>
      <c r="J115" s="70">
        <f>+J116</f>
        <v>2990625</v>
      </c>
      <c r="K115" s="70">
        <f t="shared" si="44"/>
        <v>0</v>
      </c>
      <c r="L115" s="70">
        <f>+J115+K115</f>
        <v>2990625</v>
      </c>
      <c r="M115" s="70">
        <f t="shared" si="45"/>
        <v>2990625</v>
      </c>
      <c r="N115" s="47">
        <f t="shared" si="46"/>
        <v>28162375</v>
      </c>
      <c r="P115" s="192"/>
      <c r="S115" s="282"/>
      <c r="T115" s="282"/>
      <c r="U115" s="242"/>
    </row>
    <row r="116" spans="1:21" s="55" customFormat="1" ht="18" customHeight="1" x14ac:dyDescent="0.25">
      <c r="A116" s="50"/>
      <c r="B116" s="51"/>
      <c r="C116" s="51"/>
      <c r="D116" s="51" t="s">
        <v>263</v>
      </c>
      <c r="E116" s="52" t="s">
        <v>264</v>
      </c>
      <c r="F116" s="53">
        <f>+F117</f>
        <v>31153000</v>
      </c>
      <c r="G116" s="54">
        <f>+G117</f>
        <v>0</v>
      </c>
      <c r="H116" s="54">
        <f>+H117</f>
        <v>0</v>
      </c>
      <c r="I116" s="54">
        <f>+G116+H116</f>
        <v>0</v>
      </c>
      <c r="J116" s="54">
        <f t="shared" si="44"/>
        <v>2990625</v>
      </c>
      <c r="K116" s="54">
        <f t="shared" si="44"/>
        <v>0</v>
      </c>
      <c r="L116" s="54">
        <f>+J116+K116</f>
        <v>2990625</v>
      </c>
      <c r="M116" s="54">
        <f t="shared" si="45"/>
        <v>2990625</v>
      </c>
      <c r="N116" s="53">
        <f t="shared" si="46"/>
        <v>28162375</v>
      </c>
      <c r="P116" s="195"/>
      <c r="S116" s="282"/>
      <c r="T116" s="282"/>
      <c r="U116" s="243"/>
    </row>
    <row r="117" spans="1:21" s="49" customFormat="1" ht="18" customHeight="1" x14ac:dyDescent="0.25">
      <c r="A117" s="56"/>
      <c r="B117" s="78"/>
      <c r="C117" s="78"/>
      <c r="D117" s="57" t="s">
        <v>64</v>
      </c>
      <c r="E117" s="57" t="s">
        <v>65</v>
      </c>
      <c r="F117" s="58">
        <f>F118+F119+F120</f>
        <v>31153000</v>
      </c>
      <c r="G117" s="59">
        <f>SUM(G118:G120)</f>
        <v>0</v>
      </c>
      <c r="H117" s="59">
        <f>SUM(H118:H120)</f>
        <v>0</v>
      </c>
      <c r="I117" s="59">
        <f>+G117+H117</f>
        <v>0</v>
      </c>
      <c r="J117" s="59">
        <f>SUM(J118:J120)</f>
        <v>2990625</v>
      </c>
      <c r="K117" s="59">
        <f>SUM(K118:K120)</f>
        <v>0</v>
      </c>
      <c r="L117" s="59">
        <f>+J117+K117</f>
        <v>2990625</v>
      </c>
      <c r="M117" s="59">
        <f t="shared" si="45"/>
        <v>2990625</v>
      </c>
      <c r="N117" s="58">
        <f t="shared" si="46"/>
        <v>28162375</v>
      </c>
      <c r="P117" s="192"/>
      <c r="S117" s="282"/>
      <c r="T117" s="282"/>
      <c r="U117" s="242"/>
    </row>
    <row r="118" spans="1:21" s="49" customFormat="1" ht="18" customHeight="1" x14ac:dyDescent="0.25">
      <c r="A118" s="61"/>
      <c r="B118" s="79"/>
      <c r="C118" s="79"/>
      <c r="D118" s="62" t="s">
        <v>66</v>
      </c>
      <c r="E118" s="62" t="s">
        <v>67</v>
      </c>
      <c r="F118" s="63">
        <v>1447000</v>
      </c>
      <c r="G118" s="75"/>
      <c r="H118" s="75"/>
      <c r="I118" s="75">
        <f t="shared" ref="I118:I120" si="47">+G118+H118</f>
        <v>0</v>
      </c>
      <c r="J118" s="75"/>
      <c r="K118" s="75"/>
      <c r="L118" s="75">
        <f t="shared" ref="L118:L120" si="48">+J118+K118</f>
        <v>0</v>
      </c>
      <c r="M118" s="75">
        <f t="shared" si="45"/>
        <v>0</v>
      </c>
      <c r="N118" s="63">
        <f>+F118-M118</f>
        <v>1447000</v>
      </c>
      <c r="P118" s="192"/>
      <c r="S118" s="282"/>
      <c r="T118" s="282"/>
      <c r="U118" s="242"/>
    </row>
    <row r="119" spans="1:21" s="49" customFormat="1" ht="18" customHeight="1" x14ac:dyDescent="0.25">
      <c r="A119" s="61"/>
      <c r="B119" s="79"/>
      <c r="C119" s="79"/>
      <c r="D119" s="62" t="s">
        <v>337</v>
      </c>
      <c r="E119" s="62" t="s">
        <v>338</v>
      </c>
      <c r="F119" s="63">
        <v>3792000</v>
      </c>
      <c r="G119" s="75"/>
      <c r="H119" s="75"/>
      <c r="I119" s="75">
        <f t="shared" si="47"/>
        <v>0</v>
      </c>
      <c r="J119" s="75"/>
      <c r="K119" s="75"/>
      <c r="L119" s="75">
        <f t="shared" si="48"/>
        <v>0</v>
      </c>
      <c r="M119" s="75">
        <f t="shared" si="45"/>
        <v>0</v>
      </c>
      <c r="N119" s="63">
        <f t="shared" ref="N119:N120" si="49">+F119-M119</f>
        <v>3792000</v>
      </c>
      <c r="P119" s="192"/>
      <c r="S119" s="282"/>
      <c r="T119" s="282"/>
      <c r="U119" s="242"/>
    </row>
    <row r="120" spans="1:21" s="49" customFormat="1" ht="18" customHeight="1" x14ac:dyDescent="0.25">
      <c r="A120" s="61"/>
      <c r="B120" s="79"/>
      <c r="C120" s="79"/>
      <c r="D120" s="62" t="s">
        <v>68</v>
      </c>
      <c r="E120" s="62" t="s">
        <v>69</v>
      </c>
      <c r="F120" s="63">
        <v>25914000</v>
      </c>
      <c r="G120" s="75"/>
      <c r="H120" s="75"/>
      <c r="I120" s="75">
        <f t="shared" si="47"/>
        <v>0</v>
      </c>
      <c r="J120" s="75">
        <v>2990625</v>
      </c>
      <c r="K120" s="75"/>
      <c r="L120" s="75">
        <f t="shared" si="48"/>
        <v>2990625</v>
      </c>
      <c r="M120" s="75">
        <f t="shared" si="45"/>
        <v>2990625</v>
      </c>
      <c r="N120" s="63">
        <f t="shared" si="49"/>
        <v>22923375</v>
      </c>
      <c r="P120" s="192"/>
      <c r="S120" s="282"/>
      <c r="T120" s="282"/>
      <c r="U120" s="242"/>
    </row>
    <row r="121" spans="1:21" s="134" customFormat="1" ht="18" customHeight="1" x14ac:dyDescent="0.25">
      <c r="A121" s="129"/>
      <c r="B121" s="130"/>
      <c r="C121" s="130"/>
      <c r="D121" s="131"/>
      <c r="E121" s="131"/>
      <c r="F121" s="132"/>
      <c r="G121" s="133"/>
      <c r="H121" s="133"/>
      <c r="I121" s="133"/>
      <c r="J121" s="133"/>
      <c r="K121" s="133"/>
      <c r="L121" s="133"/>
      <c r="M121" s="133"/>
      <c r="N121" s="132"/>
      <c r="P121" s="197"/>
      <c r="S121" s="286"/>
      <c r="T121" s="286"/>
      <c r="U121" s="247"/>
    </row>
    <row r="122" spans="1:21" s="137" customFormat="1" ht="18" customHeight="1" x14ac:dyDescent="0.25">
      <c r="A122" s="109"/>
      <c r="B122" s="110" t="s">
        <v>405</v>
      </c>
      <c r="C122" s="110"/>
      <c r="D122" s="110"/>
      <c r="E122" s="110" t="s">
        <v>406</v>
      </c>
      <c r="F122" s="135">
        <f t="shared" ref="F122:G124" si="50">+F123</f>
        <v>654671250</v>
      </c>
      <c r="G122" s="136">
        <f t="shared" si="50"/>
        <v>0</v>
      </c>
      <c r="H122" s="136">
        <f>+H123</f>
        <v>0</v>
      </c>
      <c r="I122" s="136">
        <f t="shared" ref="I122:I136" si="51">+G122+H122</f>
        <v>0</v>
      </c>
      <c r="J122" s="136">
        <f>+J124</f>
        <v>150000</v>
      </c>
      <c r="K122" s="136">
        <f>+K123</f>
        <v>0</v>
      </c>
      <c r="L122" s="136">
        <f>+J122+K122</f>
        <v>150000</v>
      </c>
      <c r="M122" s="136">
        <f t="shared" ref="M122" si="52">+I122+L122</f>
        <v>150000</v>
      </c>
      <c r="N122" s="135">
        <f t="shared" ref="N122:N130" si="53">+F122-M122</f>
        <v>654521250</v>
      </c>
      <c r="P122" s="198"/>
      <c r="R122" s="138"/>
      <c r="S122" s="287"/>
      <c r="T122" s="287"/>
      <c r="U122" s="248"/>
    </row>
    <row r="123" spans="1:21" s="121" customFormat="1" ht="18" customHeight="1" x14ac:dyDescent="0.25">
      <c r="A123" s="232">
        <v>5</v>
      </c>
      <c r="B123" s="117"/>
      <c r="C123" s="117" t="s">
        <v>86</v>
      </c>
      <c r="D123" s="118"/>
      <c r="E123" s="128" t="s">
        <v>87</v>
      </c>
      <c r="F123" s="119">
        <f t="shared" si="50"/>
        <v>654671250</v>
      </c>
      <c r="G123" s="120">
        <f t="shared" si="50"/>
        <v>0</v>
      </c>
      <c r="H123" s="120">
        <f>+H124</f>
        <v>0</v>
      </c>
      <c r="I123" s="120">
        <f t="shared" si="51"/>
        <v>0</v>
      </c>
      <c r="J123" s="120">
        <f>+J124</f>
        <v>150000</v>
      </c>
      <c r="K123" s="120">
        <f>+K124</f>
        <v>0</v>
      </c>
      <c r="L123" s="120">
        <f>+J123+K123</f>
        <v>150000</v>
      </c>
      <c r="M123" s="120">
        <f>+I123+L123</f>
        <v>150000</v>
      </c>
      <c r="N123" s="119">
        <f t="shared" si="53"/>
        <v>654521250</v>
      </c>
      <c r="P123" s="190"/>
      <c r="R123" s="122"/>
      <c r="S123" s="283"/>
      <c r="T123" s="283"/>
      <c r="U123" s="246"/>
    </row>
    <row r="124" spans="1:21" s="107" customFormat="1" ht="18" customHeight="1" x14ac:dyDescent="0.25">
      <c r="A124" s="101"/>
      <c r="B124" s="102"/>
      <c r="C124" s="102"/>
      <c r="D124" s="103" t="s">
        <v>207</v>
      </c>
      <c r="E124" s="104" t="s">
        <v>262</v>
      </c>
      <c r="F124" s="105">
        <f t="shared" si="50"/>
        <v>654671250</v>
      </c>
      <c r="G124" s="106">
        <f t="shared" si="50"/>
        <v>0</v>
      </c>
      <c r="H124" s="106">
        <f>+H125</f>
        <v>0</v>
      </c>
      <c r="I124" s="106">
        <f t="shared" si="51"/>
        <v>0</v>
      </c>
      <c r="J124" s="106">
        <f>+J125</f>
        <v>150000</v>
      </c>
      <c r="K124" s="106">
        <f>+K125</f>
        <v>0</v>
      </c>
      <c r="L124" s="106">
        <f t="shared" ref="L124:L136" si="54">+J124+K124</f>
        <v>150000</v>
      </c>
      <c r="M124" s="106">
        <f t="shared" ref="M124:M127" si="55">+I124+L124</f>
        <v>150000</v>
      </c>
      <c r="N124" s="105">
        <f t="shared" si="53"/>
        <v>654521250</v>
      </c>
      <c r="P124" s="191"/>
      <c r="R124" s="108"/>
      <c r="S124" s="284"/>
      <c r="T124" s="284"/>
      <c r="U124" s="241"/>
    </row>
    <row r="125" spans="1:21" s="49" customFormat="1" ht="18" customHeight="1" x14ac:dyDescent="0.25">
      <c r="A125" s="44"/>
      <c r="B125" s="45"/>
      <c r="C125" s="45"/>
      <c r="D125" s="69" t="s">
        <v>63</v>
      </c>
      <c r="E125" s="45" t="s">
        <v>30</v>
      </c>
      <c r="F125" s="47">
        <f>F131+F126</f>
        <v>654671250</v>
      </c>
      <c r="G125" s="70">
        <f>+G126+G131</f>
        <v>0</v>
      </c>
      <c r="H125" s="70">
        <f>+H126+H131</f>
        <v>0</v>
      </c>
      <c r="I125" s="70">
        <f t="shared" si="51"/>
        <v>0</v>
      </c>
      <c r="J125" s="70">
        <f>+J126+J131</f>
        <v>150000</v>
      </c>
      <c r="K125" s="70">
        <f>+K131+K126</f>
        <v>0</v>
      </c>
      <c r="L125" s="70">
        <f t="shared" si="54"/>
        <v>150000</v>
      </c>
      <c r="M125" s="70">
        <f t="shared" si="55"/>
        <v>150000</v>
      </c>
      <c r="N125" s="47">
        <f t="shared" si="53"/>
        <v>654521250</v>
      </c>
      <c r="P125" s="192"/>
      <c r="S125" s="282"/>
      <c r="T125" s="282"/>
      <c r="U125" s="242"/>
    </row>
    <row r="126" spans="1:21" s="55" customFormat="1" ht="18" customHeight="1" x14ac:dyDescent="0.25">
      <c r="A126" s="50"/>
      <c r="B126" s="51"/>
      <c r="C126" s="51"/>
      <c r="D126" s="71" t="s">
        <v>263</v>
      </c>
      <c r="E126" s="52" t="s">
        <v>264</v>
      </c>
      <c r="F126" s="53">
        <f>+F127</f>
        <v>137486250</v>
      </c>
      <c r="G126" s="72">
        <f>+G127</f>
        <v>0</v>
      </c>
      <c r="H126" s="72">
        <f>+H127</f>
        <v>0</v>
      </c>
      <c r="I126" s="72">
        <f t="shared" si="51"/>
        <v>0</v>
      </c>
      <c r="J126" s="72">
        <f>+J127</f>
        <v>150000</v>
      </c>
      <c r="K126" s="72">
        <f>+K127</f>
        <v>0</v>
      </c>
      <c r="L126" s="72">
        <f t="shared" si="54"/>
        <v>150000</v>
      </c>
      <c r="M126" s="72">
        <f t="shared" si="55"/>
        <v>150000</v>
      </c>
      <c r="N126" s="53">
        <f t="shared" si="53"/>
        <v>137336250</v>
      </c>
      <c r="P126" s="195"/>
      <c r="S126" s="282"/>
      <c r="T126" s="282"/>
      <c r="U126" s="243"/>
    </row>
    <row r="127" spans="1:21" s="49" customFormat="1" ht="18" customHeight="1" x14ac:dyDescent="0.25">
      <c r="A127" s="56"/>
      <c r="B127" s="57"/>
      <c r="C127" s="57"/>
      <c r="D127" s="73" t="s">
        <v>64</v>
      </c>
      <c r="E127" s="57" t="s">
        <v>65</v>
      </c>
      <c r="F127" s="58">
        <f>+F128+F129+F130</f>
        <v>137486250</v>
      </c>
      <c r="G127" s="59">
        <f>SUM(G128:G129)</f>
        <v>0</v>
      </c>
      <c r="H127" s="59">
        <f>SUM(H128:H129)</f>
        <v>0</v>
      </c>
      <c r="I127" s="59">
        <f t="shared" si="51"/>
        <v>0</v>
      </c>
      <c r="J127" s="59">
        <f>SUM(J128:J130)</f>
        <v>150000</v>
      </c>
      <c r="K127" s="59">
        <f>SUM(K128:K130)</f>
        <v>0</v>
      </c>
      <c r="L127" s="59">
        <f t="shared" si="54"/>
        <v>150000</v>
      </c>
      <c r="M127" s="59">
        <f t="shared" si="55"/>
        <v>150000</v>
      </c>
      <c r="N127" s="58">
        <f t="shared" si="53"/>
        <v>137336250</v>
      </c>
      <c r="P127" s="192"/>
      <c r="S127" s="282"/>
      <c r="T127" s="282"/>
      <c r="U127" s="242"/>
    </row>
    <row r="128" spans="1:21" s="49" customFormat="1" ht="18" customHeight="1" x14ac:dyDescent="0.25">
      <c r="A128" s="61"/>
      <c r="B128" s="62"/>
      <c r="C128" s="62"/>
      <c r="D128" s="74" t="s">
        <v>66</v>
      </c>
      <c r="E128" s="62" t="s">
        <v>67</v>
      </c>
      <c r="F128" s="63">
        <v>2756250</v>
      </c>
      <c r="G128" s="75"/>
      <c r="H128" s="75"/>
      <c r="I128" s="75">
        <f t="shared" si="51"/>
        <v>0</v>
      </c>
      <c r="J128" s="75">
        <v>150000</v>
      </c>
      <c r="K128" s="75"/>
      <c r="L128" s="75">
        <f t="shared" si="54"/>
        <v>150000</v>
      </c>
      <c r="M128" s="75">
        <f>+I128+L128</f>
        <v>150000</v>
      </c>
      <c r="N128" s="63">
        <f t="shared" si="53"/>
        <v>2606250</v>
      </c>
      <c r="P128" s="192"/>
      <c r="S128" s="282"/>
      <c r="T128" s="282"/>
      <c r="U128" s="242"/>
    </row>
    <row r="129" spans="1:21" s="49" customFormat="1" ht="18" customHeight="1" x14ac:dyDescent="0.25">
      <c r="A129" s="61"/>
      <c r="B129" s="62"/>
      <c r="C129" s="62"/>
      <c r="D129" s="74" t="s">
        <v>369</v>
      </c>
      <c r="E129" s="62" t="s">
        <v>370</v>
      </c>
      <c r="F129" s="63">
        <v>7230000</v>
      </c>
      <c r="G129" s="75"/>
      <c r="H129" s="75"/>
      <c r="I129" s="75">
        <f t="shared" si="51"/>
        <v>0</v>
      </c>
      <c r="J129" s="75"/>
      <c r="K129" s="75"/>
      <c r="L129" s="75">
        <f t="shared" si="54"/>
        <v>0</v>
      </c>
      <c r="M129" s="75">
        <f>+I129+L129</f>
        <v>0</v>
      </c>
      <c r="N129" s="63">
        <f t="shared" si="53"/>
        <v>7230000</v>
      </c>
      <c r="P129" s="192"/>
      <c r="S129" s="282"/>
      <c r="T129" s="282"/>
      <c r="U129" s="242"/>
    </row>
    <row r="130" spans="1:21" s="49" customFormat="1" ht="18" customHeight="1" x14ac:dyDescent="0.25">
      <c r="A130" s="61"/>
      <c r="B130" s="62"/>
      <c r="C130" s="62"/>
      <c r="D130" s="74" t="s">
        <v>447</v>
      </c>
      <c r="E130" s="62" t="s">
        <v>448</v>
      </c>
      <c r="F130" s="63">
        <v>127500000</v>
      </c>
      <c r="G130" s="75"/>
      <c r="H130" s="75"/>
      <c r="I130" s="75">
        <f t="shared" si="51"/>
        <v>0</v>
      </c>
      <c r="J130" s="75"/>
      <c r="K130" s="75"/>
      <c r="L130" s="75">
        <f t="shared" si="54"/>
        <v>0</v>
      </c>
      <c r="M130" s="75">
        <f>+I130+L130</f>
        <v>0</v>
      </c>
      <c r="N130" s="63">
        <f t="shared" si="53"/>
        <v>127500000</v>
      </c>
      <c r="P130" s="192"/>
      <c r="S130" s="282"/>
      <c r="T130" s="282"/>
      <c r="U130" s="242"/>
    </row>
    <row r="131" spans="1:21" s="55" customFormat="1" ht="18" customHeight="1" x14ac:dyDescent="0.25">
      <c r="A131" s="50"/>
      <c r="B131" s="51"/>
      <c r="C131" s="51"/>
      <c r="D131" s="71" t="s">
        <v>265</v>
      </c>
      <c r="E131" s="51" t="s">
        <v>266</v>
      </c>
      <c r="F131" s="53">
        <f>+F132</f>
        <v>517185000</v>
      </c>
      <c r="G131" s="72">
        <f>+G132</f>
        <v>0</v>
      </c>
      <c r="H131" s="72">
        <f>+H132</f>
        <v>0</v>
      </c>
      <c r="I131" s="72">
        <f t="shared" si="51"/>
        <v>0</v>
      </c>
      <c r="J131" s="72">
        <f>+J132</f>
        <v>0</v>
      </c>
      <c r="K131" s="72">
        <f>+K132</f>
        <v>0</v>
      </c>
      <c r="L131" s="72">
        <f t="shared" si="54"/>
        <v>0</v>
      </c>
      <c r="M131" s="72">
        <f t="shared" ref="M131:M132" si="56">+I131+L131</f>
        <v>0</v>
      </c>
      <c r="N131" s="53">
        <f>+F131-M131</f>
        <v>517185000</v>
      </c>
      <c r="P131" s="195"/>
      <c r="S131" s="282"/>
      <c r="T131" s="282"/>
      <c r="U131" s="243"/>
    </row>
    <row r="132" spans="1:21" s="49" customFormat="1" ht="18" customHeight="1" x14ac:dyDescent="0.25">
      <c r="A132" s="56"/>
      <c r="B132" s="57"/>
      <c r="C132" s="57"/>
      <c r="D132" s="73" t="s">
        <v>71</v>
      </c>
      <c r="E132" s="57" t="s">
        <v>72</v>
      </c>
      <c r="F132" s="58">
        <f>SUM(F133:F136)</f>
        <v>517185000</v>
      </c>
      <c r="G132" s="59">
        <f>SUM(G133:G134)</f>
        <v>0</v>
      </c>
      <c r="H132" s="59">
        <f>SUM(H133:H134)</f>
        <v>0</v>
      </c>
      <c r="I132" s="59">
        <f t="shared" si="51"/>
        <v>0</v>
      </c>
      <c r="J132" s="59">
        <f>SUM(J133:J136)</f>
        <v>0</v>
      </c>
      <c r="K132" s="59">
        <f>SUM(K133:K136)</f>
        <v>0</v>
      </c>
      <c r="L132" s="59">
        <f>+J132+K132</f>
        <v>0</v>
      </c>
      <c r="M132" s="59">
        <f t="shared" si="56"/>
        <v>0</v>
      </c>
      <c r="N132" s="58">
        <f>+F132-M132</f>
        <v>517185000</v>
      </c>
      <c r="P132" s="192"/>
      <c r="S132" s="282"/>
      <c r="T132" s="282"/>
      <c r="U132" s="242"/>
    </row>
    <row r="133" spans="1:21" s="49" customFormat="1" ht="18" customHeight="1" x14ac:dyDescent="0.25">
      <c r="A133" s="61"/>
      <c r="B133" s="62"/>
      <c r="C133" s="62"/>
      <c r="D133" s="74" t="s">
        <v>73</v>
      </c>
      <c r="E133" s="62" t="s">
        <v>74</v>
      </c>
      <c r="F133" s="63">
        <v>128100000</v>
      </c>
      <c r="G133" s="75"/>
      <c r="H133" s="75"/>
      <c r="I133" s="75">
        <f t="shared" si="51"/>
        <v>0</v>
      </c>
      <c r="J133" s="75"/>
      <c r="K133" s="75"/>
      <c r="L133" s="75">
        <f t="shared" si="54"/>
        <v>0</v>
      </c>
      <c r="M133" s="75">
        <f>+I133+L133</f>
        <v>0</v>
      </c>
      <c r="N133" s="63">
        <f t="shared" ref="N133:N136" si="57">+F133-M133</f>
        <v>128100000</v>
      </c>
      <c r="P133" s="192"/>
      <c r="S133" s="282"/>
      <c r="T133" s="282"/>
      <c r="U133" s="242"/>
    </row>
    <row r="134" spans="1:21" s="49" customFormat="1" ht="18" customHeight="1" x14ac:dyDescent="0.25">
      <c r="A134" s="61"/>
      <c r="B134" s="62"/>
      <c r="C134" s="62"/>
      <c r="D134" s="74" t="s">
        <v>88</v>
      </c>
      <c r="E134" s="62" t="s">
        <v>89</v>
      </c>
      <c r="F134" s="63">
        <v>79635000</v>
      </c>
      <c r="G134" s="75"/>
      <c r="H134" s="75"/>
      <c r="I134" s="75">
        <f t="shared" si="51"/>
        <v>0</v>
      </c>
      <c r="J134" s="75"/>
      <c r="K134" s="75"/>
      <c r="L134" s="75">
        <f t="shared" si="54"/>
        <v>0</v>
      </c>
      <c r="M134" s="75">
        <f t="shared" ref="M134" si="58">+I134+L134</f>
        <v>0</v>
      </c>
      <c r="N134" s="63">
        <f t="shared" si="57"/>
        <v>79635000</v>
      </c>
      <c r="P134" s="192"/>
      <c r="S134" s="282"/>
      <c r="T134" s="282"/>
      <c r="U134" s="242"/>
    </row>
    <row r="135" spans="1:21" s="49" customFormat="1" ht="18" customHeight="1" x14ac:dyDescent="0.25">
      <c r="A135" s="61"/>
      <c r="B135" s="62"/>
      <c r="C135" s="62"/>
      <c r="D135" s="74" t="s">
        <v>445</v>
      </c>
      <c r="E135" s="62" t="s">
        <v>446</v>
      </c>
      <c r="F135" s="63">
        <v>241950000</v>
      </c>
      <c r="G135" s="75"/>
      <c r="H135" s="75"/>
      <c r="I135" s="75">
        <f t="shared" si="51"/>
        <v>0</v>
      </c>
      <c r="J135" s="75"/>
      <c r="K135" s="75"/>
      <c r="L135" s="75">
        <f t="shared" si="54"/>
        <v>0</v>
      </c>
      <c r="M135" s="75">
        <f>+I135+L135</f>
        <v>0</v>
      </c>
      <c r="N135" s="63">
        <f t="shared" si="57"/>
        <v>241950000</v>
      </c>
      <c r="P135" s="192"/>
      <c r="S135" s="282"/>
      <c r="T135" s="282"/>
      <c r="U135" s="242"/>
    </row>
    <row r="136" spans="1:21" s="49" customFormat="1" ht="18" customHeight="1" x14ac:dyDescent="0.25">
      <c r="A136" s="61"/>
      <c r="B136" s="62"/>
      <c r="C136" s="62"/>
      <c r="D136" s="74" t="s">
        <v>107</v>
      </c>
      <c r="E136" s="62" t="s">
        <v>108</v>
      </c>
      <c r="F136" s="63">
        <v>67500000</v>
      </c>
      <c r="G136" s="75"/>
      <c r="H136" s="75"/>
      <c r="I136" s="75">
        <f t="shared" si="51"/>
        <v>0</v>
      </c>
      <c r="J136" s="75"/>
      <c r="K136" s="75"/>
      <c r="L136" s="75">
        <f t="shared" si="54"/>
        <v>0</v>
      </c>
      <c r="M136" s="75">
        <f>+I136+L136</f>
        <v>0</v>
      </c>
      <c r="N136" s="63">
        <f t="shared" si="57"/>
        <v>67500000</v>
      </c>
      <c r="P136" s="192"/>
      <c r="S136" s="282"/>
      <c r="T136" s="282"/>
      <c r="U136" s="242"/>
    </row>
    <row r="137" spans="1:21" s="134" customFormat="1" ht="18" customHeight="1" x14ac:dyDescent="0.25">
      <c r="A137" s="129"/>
      <c r="B137" s="131"/>
      <c r="C137" s="131"/>
      <c r="D137" s="131"/>
      <c r="E137" s="131"/>
      <c r="F137" s="132"/>
      <c r="G137" s="133"/>
      <c r="H137" s="133"/>
      <c r="I137" s="133"/>
      <c r="J137" s="133"/>
      <c r="K137" s="133"/>
      <c r="L137" s="133"/>
      <c r="M137" s="133"/>
      <c r="N137" s="132"/>
      <c r="P137" s="197"/>
      <c r="S137" s="286"/>
      <c r="T137" s="286"/>
      <c r="U137" s="247"/>
    </row>
    <row r="138" spans="1:21" s="137" customFormat="1" ht="18" customHeight="1" x14ac:dyDescent="0.25">
      <c r="A138" s="109"/>
      <c r="B138" s="110" t="s">
        <v>380</v>
      </c>
      <c r="C138" s="110"/>
      <c r="D138" s="110"/>
      <c r="E138" s="110" t="s">
        <v>381</v>
      </c>
      <c r="F138" s="135">
        <f>+F139+F165+F173+F184+F206</f>
        <v>4317651500</v>
      </c>
      <c r="G138" s="136">
        <f>+G139+G165+G173+G184+G206</f>
        <v>142125000</v>
      </c>
      <c r="H138" s="136">
        <f>+H139+H165+H173+H184+H206</f>
        <v>154050000</v>
      </c>
      <c r="I138" s="136">
        <f t="shared" ref="I138:I164" si="59">+G138+H138</f>
        <v>296175000</v>
      </c>
      <c r="J138" s="136">
        <f>+J139+J165+J173+J184+J206</f>
        <v>117730600</v>
      </c>
      <c r="K138" s="136">
        <f>+K139+K165+K173+K184+K206</f>
        <v>57884000</v>
      </c>
      <c r="L138" s="136">
        <f t="shared" ref="L138:L146" si="60">+J138+K138</f>
        <v>175614600</v>
      </c>
      <c r="M138" s="136">
        <f t="shared" ref="M138" si="61">+I138+L138</f>
        <v>471789600</v>
      </c>
      <c r="N138" s="135">
        <f t="shared" ref="N138:N146" si="62">+F138-M138</f>
        <v>3845861900</v>
      </c>
      <c r="P138" s="198"/>
      <c r="R138" s="138"/>
      <c r="S138" s="287"/>
      <c r="T138" s="287"/>
      <c r="U138" s="248"/>
    </row>
    <row r="139" spans="1:21" s="121" customFormat="1" ht="18" customHeight="1" x14ac:dyDescent="0.25">
      <c r="A139" s="116">
        <v>6</v>
      </c>
      <c r="B139" s="117"/>
      <c r="C139" s="117" t="s">
        <v>90</v>
      </c>
      <c r="D139" s="118"/>
      <c r="E139" s="128" t="s">
        <v>91</v>
      </c>
      <c r="F139" s="119">
        <f>+F140+F147</f>
        <v>1165936000</v>
      </c>
      <c r="G139" s="120">
        <f>+G140+G147</f>
        <v>0</v>
      </c>
      <c r="H139" s="120">
        <f>+H140+H147</f>
        <v>0</v>
      </c>
      <c r="I139" s="120">
        <f t="shared" si="59"/>
        <v>0</v>
      </c>
      <c r="J139" s="120">
        <f>+J140+J147</f>
        <v>0</v>
      </c>
      <c r="K139" s="120">
        <f>+K140+K147</f>
        <v>0</v>
      </c>
      <c r="L139" s="120">
        <f t="shared" si="60"/>
        <v>0</v>
      </c>
      <c r="M139" s="120">
        <f>+I139+L139</f>
        <v>0</v>
      </c>
      <c r="N139" s="119">
        <f t="shared" si="62"/>
        <v>1165936000</v>
      </c>
      <c r="P139" s="190"/>
      <c r="R139" s="122"/>
      <c r="S139" s="283"/>
      <c r="T139" s="283"/>
      <c r="U139" s="246"/>
    </row>
    <row r="140" spans="1:21" s="107" customFormat="1" ht="18" customHeight="1" x14ac:dyDescent="0.25">
      <c r="A140" s="101"/>
      <c r="B140" s="102"/>
      <c r="C140" s="141"/>
      <c r="D140" s="103" t="s">
        <v>207</v>
      </c>
      <c r="E140" s="104" t="s">
        <v>262</v>
      </c>
      <c r="F140" s="105">
        <f>+F141</f>
        <v>39736000</v>
      </c>
      <c r="G140" s="106">
        <f>+G141</f>
        <v>0</v>
      </c>
      <c r="H140" s="106">
        <f>+H141</f>
        <v>0</v>
      </c>
      <c r="I140" s="106">
        <f t="shared" si="59"/>
        <v>0</v>
      </c>
      <c r="J140" s="106">
        <f t="shared" ref="J140:K142" si="63">+J141</f>
        <v>0</v>
      </c>
      <c r="K140" s="106">
        <f t="shared" si="63"/>
        <v>0</v>
      </c>
      <c r="L140" s="106">
        <f t="shared" si="60"/>
        <v>0</v>
      </c>
      <c r="M140" s="106">
        <f t="shared" ref="M140:M164" si="64">+I140+L140</f>
        <v>0</v>
      </c>
      <c r="N140" s="105">
        <f t="shared" si="62"/>
        <v>39736000</v>
      </c>
      <c r="P140" s="191"/>
      <c r="R140" s="108"/>
      <c r="S140" s="284"/>
      <c r="T140" s="284"/>
      <c r="U140" s="241"/>
    </row>
    <row r="141" spans="1:21" s="67" customFormat="1" ht="18" customHeight="1" x14ac:dyDescent="0.25">
      <c r="A141" s="81"/>
      <c r="B141" s="82"/>
      <c r="C141" s="44"/>
      <c r="D141" s="45" t="s">
        <v>63</v>
      </c>
      <c r="E141" s="45" t="s">
        <v>30</v>
      </c>
      <c r="F141" s="47">
        <f>+F142</f>
        <v>39736000</v>
      </c>
      <c r="G141" s="70">
        <f t="shared" ref="G141:H142" si="65">+G142</f>
        <v>0</v>
      </c>
      <c r="H141" s="70">
        <f t="shared" si="65"/>
        <v>0</v>
      </c>
      <c r="I141" s="70">
        <f t="shared" si="59"/>
        <v>0</v>
      </c>
      <c r="J141" s="70">
        <f t="shared" si="63"/>
        <v>0</v>
      </c>
      <c r="K141" s="70">
        <f t="shared" si="63"/>
        <v>0</v>
      </c>
      <c r="L141" s="70">
        <f t="shared" si="60"/>
        <v>0</v>
      </c>
      <c r="M141" s="70">
        <f t="shared" si="64"/>
        <v>0</v>
      </c>
      <c r="N141" s="47">
        <f t="shared" si="62"/>
        <v>39736000</v>
      </c>
      <c r="P141" s="192"/>
      <c r="S141" s="282"/>
      <c r="T141" s="282"/>
      <c r="U141" s="249"/>
    </row>
    <row r="142" spans="1:21" s="55" customFormat="1" ht="18" customHeight="1" x14ac:dyDescent="0.25">
      <c r="A142" s="50"/>
      <c r="B142" s="51"/>
      <c r="C142" s="50"/>
      <c r="D142" s="71" t="s">
        <v>263</v>
      </c>
      <c r="E142" s="51" t="s">
        <v>264</v>
      </c>
      <c r="F142" s="53">
        <f>+F143</f>
        <v>39736000</v>
      </c>
      <c r="G142" s="72">
        <f t="shared" si="65"/>
        <v>0</v>
      </c>
      <c r="H142" s="72">
        <f t="shared" si="65"/>
        <v>0</v>
      </c>
      <c r="I142" s="72">
        <f t="shared" si="59"/>
        <v>0</v>
      </c>
      <c r="J142" s="72">
        <f t="shared" si="63"/>
        <v>0</v>
      </c>
      <c r="K142" s="72">
        <f t="shared" si="63"/>
        <v>0</v>
      </c>
      <c r="L142" s="72">
        <f t="shared" si="60"/>
        <v>0</v>
      </c>
      <c r="M142" s="72">
        <f t="shared" si="64"/>
        <v>0</v>
      </c>
      <c r="N142" s="53">
        <f t="shared" si="62"/>
        <v>39736000</v>
      </c>
      <c r="P142" s="195"/>
      <c r="S142" s="282"/>
      <c r="T142" s="282"/>
      <c r="U142" s="243"/>
    </row>
    <row r="143" spans="1:21" s="67" customFormat="1" ht="18" customHeight="1" x14ac:dyDescent="0.25">
      <c r="A143" s="83"/>
      <c r="B143" s="84"/>
      <c r="C143" s="56"/>
      <c r="D143" s="57" t="s">
        <v>64</v>
      </c>
      <c r="E143" s="57" t="s">
        <v>65</v>
      </c>
      <c r="F143" s="58">
        <f>F145+F144+F146</f>
        <v>39736000</v>
      </c>
      <c r="G143" s="59">
        <f>+G145</f>
        <v>0</v>
      </c>
      <c r="H143" s="59">
        <f>+H145</f>
        <v>0</v>
      </c>
      <c r="I143" s="59">
        <f t="shared" si="59"/>
        <v>0</v>
      </c>
      <c r="J143" s="59">
        <f>+J145</f>
        <v>0</v>
      </c>
      <c r="K143" s="59">
        <f>+K145</f>
        <v>0</v>
      </c>
      <c r="L143" s="59">
        <f t="shared" si="60"/>
        <v>0</v>
      </c>
      <c r="M143" s="59">
        <f t="shared" si="64"/>
        <v>0</v>
      </c>
      <c r="N143" s="58">
        <f t="shared" si="62"/>
        <v>39736000</v>
      </c>
      <c r="P143" s="192"/>
      <c r="S143" s="282"/>
      <c r="T143" s="282"/>
      <c r="U143" s="249"/>
    </row>
    <row r="144" spans="1:21" s="86" customFormat="1" ht="18" customHeight="1" x14ac:dyDescent="0.25">
      <c r="A144" s="85"/>
      <c r="B144" s="66"/>
      <c r="C144" s="61"/>
      <c r="D144" s="62" t="s">
        <v>66</v>
      </c>
      <c r="E144" s="62" t="s">
        <v>67</v>
      </c>
      <c r="F144" s="63">
        <v>13500</v>
      </c>
      <c r="G144" s="75"/>
      <c r="H144" s="75"/>
      <c r="I144" s="75">
        <f t="shared" si="59"/>
        <v>0</v>
      </c>
      <c r="J144" s="75"/>
      <c r="K144" s="75"/>
      <c r="L144" s="75">
        <f t="shared" si="60"/>
        <v>0</v>
      </c>
      <c r="M144" s="75">
        <f t="shared" si="64"/>
        <v>0</v>
      </c>
      <c r="N144" s="63">
        <f t="shared" si="62"/>
        <v>13500</v>
      </c>
      <c r="P144" s="194"/>
      <c r="S144" s="282"/>
      <c r="T144" s="282"/>
      <c r="U144" s="250"/>
    </row>
    <row r="145" spans="1:21" s="86" customFormat="1" ht="18" customHeight="1" x14ac:dyDescent="0.25">
      <c r="A145" s="85"/>
      <c r="B145" s="66"/>
      <c r="C145" s="61"/>
      <c r="D145" s="62" t="s">
        <v>339</v>
      </c>
      <c r="E145" s="62" t="s">
        <v>340</v>
      </c>
      <c r="F145" s="63">
        <v>29175000</v>
      </c>
      <c r="G145" s="75"/>
      <c r="H145" s="75"/>
      <c r="I145" s="75">
        <f t="shared" si="59"/>
        <v>0</v>
      </c>
      <c r="J145" s="75"/>
      <c r="K145" s="75"/>
      <c r="L145" s="75">
        <f t="shared" si="60"/>
        <v>0</v>
      </c>
      <c r="M145" s="75">
        <f t="shared" si="64"/>
        <v>0</v>
      </c>
      <c r="N145" s="63">
        <f t="shared" si="62"/>
        <v>29175000</v>
      </c>
      <c r="P145" s="194"/>
      <c r="S145" s="282"/>
      <c r="T145" s="282"/>
      <c r="U145" s="250"/>
    </row>
    <row r="146" spans="1:21" s="86" customFormat="1" ht="18" customHeight="1" x14ac:dyDescent="0.25">
      <c r="A146" s="85"/>
      <c r="B146" s="66"/>
      <c r="C146" s="61"/>
      <c r="D146" s="62" t="s">
        <v>371</v>
      </c>
      <c r="E146" s="62" t="s">
        <v>372</v>
      </c>
      <c r="F146" s="63">
        <v>10547500</v>
      </c>
      <c r="G146" s="75"/>
      <c r="H146" s="75"/>
      <c r="I146" s="75">
        <f t="shared" si="59"/>
        <v>0</v>
      </c>
      <c r="J146" s="75"/>
      <c r="K146" s="75"/>
      <c r="L146" s="75">
        <f t="shared" si="60"/>
        <v>0</v>
      </c>
      <c r="M146" s="75">
        <f t="shared" si="64"/>
        <v>0</v>
      </c>
      <c r="N146" s="63">
        <f t="shared" si="62"/>
        <v>10547500</v>
      </c>
      <c r="P146" s="194"/>
      <c r="S146" s="282"/>
      <c r="T146" s="282"/>
      <c r="U146" s="250"/>
    </row>
    <row r="147" spans="1:21" s="42" customFormat="1" ht="18" customHeight="1" x14ac:dyDescent="0.25">
      <c r="A147" s="36"/>
      <c r="B147" s="37"/>
      <c r="C147" s="80"/>
      <c r="D147" s="38" t="s">
        <v>267</v>
      </c>
      <c r="E147" s="39" t="s">
        <v>268</v>
      </c>
      <c r="F147" s="40">
        <f>+F148</f>
        <v>1126200000</v>
      </c>
      <c r="G147" s="41">
        <f>+G148</f>
        <v>0</v>
      </c>
      <c r="H147" s="41">
        <f>+H148</f>
        <v>0</v>
      </c>
      <c r="I147" s="41">
        <f>+G147+H147</f>
        <v>0</v>
      </c>
      <c r="J147" s="41">
        <f>+J148</f>
        <v>0</v>
      </c>
      <c r="K147" s="41">
        <f>+K148</f>
        <v>0</v>
      </c>
      <c r="L147" s="41">
        <f>+J147+K147</f>
        <v>0</v>
      </c>
      <c r="M147" s="41">
        <f t="shared" si="64"/>
        <v>0</v>
      </c>
      <c r="N147" s="40">
        <f>+F147-M147</f>
        <v>1126200000</v>
      </c>
      <c r="P147" s="199"/>
      <c r="R147" s="43"/>
      <c r="S147" s="282"/>
      <c r="T147" s="282"/>
      <c r="U147" s="251"/>
    </row>
    <row r="148" spans="1:21" s="67" customFormat="1" ht="18" customHeight="1" x14ac:dyDescent="0.25">
      <c r="A148" s="81"/>
      <c r="B148" s="82"/>
      <c r="C148" s="44"/>
      <c r="D148" s="45" t="s">
        <v>78</v>
      </c>
      <c r="E148" s="45" t="s">
        <v>75</v>
      </c>
      <c r="F148" s="47">
        <f>+F149+F159+F156</f>
        <v>1126200000</v>
      </c>
      <c r="G148" s="70">
        <f>+G149+G159</f>
        <v>0</v>
      </c>
      <c r="H148" s="70">
        <f>+H149+H159</f>
        <v>0</v>
      </c>
      <c r="I148" s="70">
        <f>+G148+H148</f>
        <v>0</v>
      </c>
      <c r="J148" s="70">
        <f>+J149+J159</f>
        <v>0</v>
      </c>
      <c r="K148" s="70">
        <f>+K149+K159</f>
        <v>0</v>
      </c>
      <c r="L148" s="70">
        <f>+J148+K148</f>
        <v>0</v>
      </c>
      <c r="M148" s="70">
        <f t="shared" si="64"/>
        <v>0</v>
      </c>
      <c r="N148" s="47">
        <f>+F148-M148</f>
        <v>1126200000</v>
      </c>
      <c r="P148" s="192"/>
      <c r="S148" s="282"/>
      <c r="T148" s="282"/>
      <c r="U148" s="249"/>
    </row>
    <row r="149" spans="1:21" s="55" customFormat="1" ht="18" customHeight="1" x14ac:dyDescent="0.25">
      <c r="A149" s="50"/>
      <c r="B149" s="51"/>
      <c r="C149" s="50"/>
      <c r="D149" s="71" t="s">
        <v>269</v>
      </c>
      <c r="E149" s="51" t="s">
        <v>270</v>
      </c>
      <c r="F149" s="53">
        <f>+F153+F150</f>
        <v>385400000</v>
      </c>
      <c r="G149" s="72">
        <f>+G153</f>
        <v>0</v>
      </c>
      <c r="H149" s="72">
        <f>+H153</f>
        <v>0</v>
      </c>
      <c r="I149" s="72">
        <f>+G149+H149</f>
        <v>0</v>
      </c>
      <c r="J149" s="72">
        <f>+J153</f>
        <v>0</v>
      </c>
      <c r="K149" s="72">
        <f>+K153+K150</f>
        <v>0</v>
      </c>
      <c r="L149" s="72">
        <f>+J149+K149</f>
        <v>0</v>
      </c>
      <c r="M149" s="72">
        <f t="shared" si="64"/>
        <v>0</v>
      </c>
      <c r="N149" s="53">
        <f>+F149-M149</f>
        <v>385400000</v>
      </c>
      <c r="P149" s="195"/>
      <c r="S149" s="282"/>
      <c r="T149" s="282"/>
      <c r="U149" s="243"/>
    </row>
    <row r="150" spans="1:21" s="67" customFormat="1" ht="18" customHeight="1" x14ac:dyDescent="0.25">
      <c r="A150" s="83"/>
      <c r="B150" s="84"/>
      <c r="C150" s="56"/>
      <c r="D150" s="57" t="s">
        <v>76</v>
      </c>
      <c r="E150" s="57" t="s">
        <v>484</v>
      </c>
      <c r="F150" s="58">
        <f>F151+F152</f>
        <v>180100000</v>
      </c>
      <c r="G150" s="59">
        <f>G151</f>
        <v>0</v>
      </c>
      <c r="H150" s="59">
        <f>+H151</f>
        <v>0</v>
      </c>
      <c r="I150" s="59">
        <f>+G150+H150</f>
        <v>0</v>
      </c>
      <c r="J150" s="59">
        <f>J151</f>
        <v>0</v>
      </c>
      <c r="K150" s="59">
        <f>+K151</f>
        <v>0</v>
      </c>
      <c r="L150" s="59">
        <f>+J150+K150</f>
        <v>0</v>
      </c>
      <c r="M150" s="59">
        <f t="shared" si="64"/>
        <v>0</v>
      </c>
      <c r="N150" s="58">
        <f>+F150-M150</f>
        <v>180100000</v>
      </c>
      <c r="P150" s="192"/>
      <c r="S150" s="282"/>
      <c r="T150" s="282"/>
      <c r="U150" s="249"/>
    </row>
    <row r="151" spans="1:21" s="86" customFormat="1" ht="18" customHeight="1" x14ac:dyDescent="0.25">
      <c r="A151" s="85"/>
      <c r="B151" s="66"/>
      <c r="C151" s="61"/>
      <c r="D151" s="62" t="s">
        <v>393</v>
      </c>
      <c r="E151" s="62" t="s">
        <v>394</v>
      </c>
      <c r="F151" s="63">
        <v>99600000</v>
      </c>
      <c r="G151" s="75"/>
      <c r="H151" s="75"/>
      <c r="I151" s="75">
        <f t="shared" ref="I151:I152" si="66">+G151+H151</f>
        <v>0</v>
      </c>
      <c r="J151" s="75"/>
      <c r="K151" s="75"/>
      <c r="L151" s="75">
        <f t="shared" ref="L151:L152" si="67">+J151+K151</f>
        <v>0</v>
      </c>
      <c r="M151" s="75">
        <f t="shared" si="64"/>
        <v>0</v>
      </c>
      <c r="N151" s="63">
        <f t="shared" ref="N151:N152" si="68">+F151-M151</f>
        <v>99600000</v>
      </c>
      <c r="P151" s="194"/>
      <c r="S151" s="282"/>
      <c r="T151" s="282"/>
      <c r="U151" s="250"/>
    </row>
    <row r="152" spans="1:21" s="86" customFormat="1" ht="18" customHeight="1" x14ac:dyDescent="0.25">
      <c r="A152" s="85"/>
      <c r="B152" s="66"/>
      <c r="C152" s="61"/>
      <c r="D152" s="62" t="s">
        <v>117</v>
      </c>
      <c r="E152" s="62" t="s">
        <v>118</v>
      </c>
      <c r="F152" s="63">
        <v>80500000</v>
      </c>
      <c r="G152" s="75"/>
      <c r="H152" s="75"/>
      <c r="I152" s="75">
        <f t="shared" si="66"/>
        <v>0</v>
      </c>
      <c r="J152" s="75"/>
      <c r="K152" s="75"/>
      <c r="L152" s="75">
        <f t="shared" si="67"/>
        <v>0</v>
      </c>
      <c r="M152" s="75">
        <f t="shared" si="64"/>
        <v>0</v>
      </c>
      <c r="N152" s="63">
        <f t="shared" si="68"/>
        <v>80500000</v>
      </c>
      <c r="P152" s="194"/>
      <c r="S152" s="282"/>
      <c r="T152" s="282"/>
      <c r="U152" s="250"/>
    </row>
    <row r="153" spans="1:21" s="67" customFormat="1" ht="18" customHeight="1" x14ac:dyDescent="0.25">
      <c r="A153" s="83"/>
      <c r="B153" s="84"/>
      <c r="C153" s="56"/>
      <c r="D153" s="57" t="s">
        <v>92</v>
      </c>
      <c r="E153" s="57" t="s">
        <v>94</v>
      </c>
      <c r="F153" s="58">
        <f>F154+F155</f>
        <v>205300000</v>
      </c>
      <c r="G153" s="59">
        <f>+G154+G155</f>
        <v>0</v>
      </c>
      <c r="H153" s="59">
        <f>+H154+H155</f>
        <v>0</v>
      </c>
      <c r="I153" s="59">
        <f>+G153+H153</f>
        <v>0</v>
      </c>
      <c r="J153" s="59">
        <f>J154+J155</f>
        <v>0</v>
      </c>
      <c r="K153" s="59">
        <f>+K154+K155</f>
        <v>0</v>
      </c>
      <c r="L153" s="59">
        <f>+J153+K153</f>
        <v>0</v>
      </c>
      <c r="M153" s="59">
        <f t="shared" si="64"/>
        <v>0</v>
      </c>
      <c r="N153" s="58">
        <f>+F153-M153</f>
        <v>205300000</v>
      </c>
      <c r="P153" s="192"/>
      <c r="S153" s="282"/>
      <c r="T153" s="282"/>
      <c r="U153" s="249"/>
    </row>
    <row r="154" spans="1:21" s="86" customFormat="1" ht="18" customHeight="1" x14ac:dyDescent="0.25">
      <c r="A154" s="85"/>
      <c r="B154" s="66"/>
      <c r="C154" s="61"/>
      <c r="D154" s="62" t="s">
        <v>93</v>
      </c>
      <c r="E154" s="62" t="s">
        <v>95</v>
      </c>
      <c r="F154" s="63">
        <v>180000000</v>
      </c>
      <c r="G154" s="75"/>
      <c r="H154" s="75"/>
      <c r="I154" s="75">
        <f t="shared" ref="I154:I155" si="69">+G154+H154</f>
        <v>0</v>
      </c>
      <c r="J154" s="75"/>
      <c r="K154" s="75"/>
      <c r="L154" s="75">
        <f t="shared" ref="L154:L164" si="70">+J154+K154</f>
        <v>0</v>
      </c>
      <c r="M154" s="75">
        <f t="shared" si="64"/>
        <v>0</v>
      </c>
      <c r="N154" s="63">
        <f t="shared" ref="N154:N155" si="71">+F154-M154</f>
        <v>180000000</v>
      </c>
      <c r="P154" s="194"/>
      <c r="S154" s="282"/>
      <c r="T154" s="282"/>
      <c r="U154" s="250"/>
    </row>
    <row r="155" spans="1:21" s="86" customFormat="1" ht="18" customHeight="1" x14ac:dyDescent="0.25">
      <c r="A155" s="85"/>
      <c r="B155" s="66"/>
      <c r="C155" s="61"/>
      <c r="D155" s="62" t="s">
        <v>397</v>
      </c>
      <c r="E155" s="62" t="s">
        <v>398</v>
      </c>
      <c r="F155" s="63">
        <v>25300000</v>
      </c>
      <c r="G155" s="75"/>
      <c r="H155" s="75"/>
      <c r="I155" s="75">
        <f t="shared" si="69"/>
        <v>0</v>
      </c>
      <c r="J155" s="75"/>
      <c r="K155" s="75"/>
      <c r="L155" s="75">
        <f t="shared" si="70"/>
        <v>0</v>
      </c>
      <c r="M155" s="75">
        <f t="shared" si="64"/>
        <v>0</v>
      </c>
      <c r="N155" s="63">
        <f t="shared" si="71"/>
        <v>25300000</v>
      </c>
      <c r="P155" s="194"/>
      <c r="S155" s="282"/>
      <c r="T155" s="282"/>
      <c r="U155" s="250"/>
    </row>
    <row r="156" spans="1:21" s="55" customFormat="1" ht="18" customHeight="1" x14ac:dyDescent="0.25">
      <c r="A156" s="50"/>
      <c r="B156" s="51"/>
      <c r="C156" s="50"/>
      <c r="D156" s="71" t="s">
        <v>399</v>
      </c>
      <c r="E156" s="51" t="s">
        <v>400</v>
      </c>
      <c r="F156" s="53">
        <f>+F157</f>
        <v>200000000</v>
      </c>
      <c r="G156" s="72">
        <f>+G160</f>
        <v>0</v>
      </c>
      <c r="H156" s="72">
        <f>+H160</f>
        <v>0</v>
      </c>
      <c r="I156" s="72">
        <f>+G156+H156</f>
        <v>0</v>
      </c>
      <c r="J156" s="72">
        <f>+J160</f>
        <v>0</v>
      </c>
      <c r="K156" s="72">
        <f>+K160+K157</f>
        <v>0</v>
      </c>
      <c r="L156" s="72">
        <f>+J156+K156</f>
        <v>0</v>
      </c>
      <c r="M156" s="72">
        <f t="shared" si="64"/>
        <v>0</v>
      </c>
      <c r="N156" s="53">
        <f>+F156-M156</f>
        <v>200000000</v>
      </c>
      <c r="P156" s="195"/>
      <c r="S156" s="282"/>
      <c r="T156" s="282"/>
      <c r="U156" s="243"/>
    </row>
    <row r="157" spans="1:21" s="67" customFormat="1" ht="18" customHeight="1" x14ac:dyDescent="0.25">
      <c r="A157" s="83"/>
      <c r="B157" s="84"/>
      <c r="C157" s="56"/>
      <c r="D157" s="57" t="s">
        <v>401</v>
      </c>
      <c r="E157" s="57" t="s">
        <v>402</v>
      </c>
      <c r="F157" s="58">
        <f>+F158</f>
        <v>200000000</v>
      </c>
      <c r="G157" s="59">
        <f>G158</f>
        <v>0</v>
      </c>
      <c r="H157" s="59">
        <f>+H158</f>
        <v>0</v>
      </c>
      <c r="I157" s="59">
        <f>+G157+H157</f>
        <v>0</v>
      </c>
      <c r="J157" s="59">
        <f>J158</f>
        <v>0</v>
      </c>
      <c r="K157" s="59">
        <f>+K158</f>
        <v>0</v>
      </c>
      <c r="L157" s="59">
        <f>+J157+K157</f>
        <v>0</v>
      </c>
      <c r="M157" s="59">
        <f t="shared" si="64"/>
        <v>0</v>
      </c>
      <c r="N157" s="58">
        <f>+F157-M157</f>
        <v>200000000</v>
      </c>
      <c r="P157" s="192"/>
      <c r="S157" s="282"/>
      <c r="T157" s="282"/>
      <c r="U157" s="249"/>
    </row>
    <row r="158" spans="1:21" s="86" customFormat="1" ht="18" customHeight="1" x14ac:dyDescent="0.25">
      <c r="A158" s="85"/>
      <c r="B158" s="66"/>
      <c r="C158" s="61"/>
      <c r="D158" s="62" t="s">
        <v>459</v>
      </c>
      <c r="E158" s="62" t="s">
        <v>460</v>
      </c>
      <c r="F158" s="63">
        <v>200000000</v>
      </c>
      <c r="G158" s="75"/>
      <c r="H158" s="75"/>
      <c r="I158" s="75">
        <f t="shared" ref="I158" si="72">+G158+H158</f>
        <v>0</v>
      </c>
      <c r="J158" s="75"/>
      <c r="K158" s="75"/>
      <c r="L158" s="75">
        <f t="shared" ref="L158" si="73">+J158+K158</f>
        <v>0</v>
      </c>
      <c r="M158" s="75">
        <f t="shared" si="64"/>
        <v>0</v>
      </c>
      <c r="N158" s="63">
        <f t="shared" ref="N158" si="74">+F158-M158</f>
        <v>200000000</v>
      </c>
      <c r="P158" s="194"/>
      <c r="S158" s="282"/>
      <c r="T158" s="282"/>
      <c r="U158" s="250"/>
    </row>
    <row r="159" spans="1:21" s="55" customFormat="1" ht="18" customHeight="1" x14ac:dyDescent="0.25">
      <c r="A159" s="50"/>
      <c r="B159" s="51"/>
      <c r="C159" s="50"/>
      <c r="D159" s="71" t="s">
        <v>273</v>
      </c>
      <c r="E159" s="51" t="s">
        <v>274</v>
      </c>
      <c r="F159" s="53">
        <f>+F160+F162</f>
        <v>540800000</v>
      </c>
      <c r="G159" s="72">
        <f>+G160+G162</f>
        <v>0</v>
      </c>
      <c r="H159" s="72">
        <f>+H160+H162</f>
        <v>0</v>
      </c>
      <c r="I159" s="72">
        <f>+G159+H159</f>
        <v>0</v>
      </c>
      <c r="J159" s="72">
        <f t="shared" ref="J159:K160" si="75">+J160</f>
        <v>0</v>
      </c>
      <c r="K159" s="72">
        <f t="shared" si="75"/>
        <v>0</v>
      </c>
      <c r="L159" s="72">
        <f t="shared" si="70"/>
        <v>0</v>
      </c>
      <c r="M159" s="72">
        <f t="shared" si="64"/>
        <v>0</v>
      </c>
      <c r="N159" s="53">
        <f>+F159-M159</f>
        <v>540800000</v>
      </c>
      <c r="P159" s="195"/>
      <c r="S159" s="282"/>
      <c r="T159" s="282"/>
      <c r="U159" s="243"/>
    </row>
    <row r="160" spans="1:21" s="67" customFormat="1" ht="18" customHeight="1" x14ac:dyDescent="0.25">
      <c r="A160" s="83"/>
      <c r="B160" s="84"/>
      <c r="C160" s="56"/>
      <c r="D160" s="57" t="s">
        <v>96</v>
      </c>
      <c r="E160" s="57" t="s">
        <v>98</v>
      </c>
      <c r="F160" s="58">
        <f>F161</f>
        <v>335000000</v>
      </c>
      <c r="G160" s="59">
        <f>+G161</f>
        <v>0</v>
      </c>
      <c r="H160" s="59">
        <f>+H161</f>
        <v>0</v>
      </c>
      <c r="I160" s="59">
        <f>+G160+H160</f>
        <v>0</v>
      </c>
      <c r="J160" s="59">
        <f>+J161</f>
        <v>0</v>
      </c>
      <c r="K160" s="59">
        <f t="shared" si="75"/>
        <v>0</v>
      </c>
      <c r="L160" s="59">
        <f t="shared" si="70"/>
        <v>0</v>
      </c>
      <c r="M160" s="59">
        <f t="shared" si="64"/>
        <v>0</v>
      </c>
      <c r="N160" s="58">
        <f>+F160-M160</f>
        <v>335000000</v>
      </c>
      <c r="P160" s="192"/>
      <c r="S160" s="282"/>
      <c r="T160" s="282"/>
      <c r="U160" s="249"/>
    </row>
    <row r="161" spans="1:21" s="86" customFormat="1" ht="18" customHeight="1" x14ac:dyDescent="0.25">
      <c r="A161" s="85"/>
      <c r="B161" s="66"/>
      <c r="C161" s="61"/>
      <c r="D161" s="62" t="s">
        <v>97</v>
      </c>
      <c r="E161" s="62" t="s">
        <v>99</v>
      </c>
      <c r="F161" s="63">
        <v>335000000</v>
      </c>
      <c r="G161" s="75"/>
      <c r="H161" s="75"/>
      <c r="I161" s="75">
        <f t="shared" si="59"/>
        <v>0</v>
      </c>
      <c r="J161" s="75"/>
      <c r="K161" s="75"/>
      <c r="L161" s="75">
        <f t="shared" si="70"/>
        <v>0</v>
      </c>
      <c r="M161" s="75">
        <f t="shared" si="64"/>
        <v>0</v>
      </c>
      <c r="N161" s="63">
        <f t="shared" ref="N161" si="76">+F161-M161</f>
        <v>335000000</v>
      </c>
      <c r="P161" s="194"/>
      <c r="S161" s="282"/>
      <c r="T161" s="282"/>
      <c r="U161" s="250"/>
    </row>
    <row r="162" spans="1:21" s="67" customFormat="1" ht="18" customHeight="1" x14ac:dyDescent="0.25">
      <c r="A162" s="83"/>
      <c r="B162" s="84"/>
      <c r="C162" s="56"/>
      <c r="D162" s="57" t="s">
        <v>382</v>
      </c>
      <c r="E162" s="57" t="s">
        <v>383</v>
      </c>
      <c r="F162" s="58">
        <f>SUM(F163:F164)</f>
        <v>205800000</v>
      </c>
      <c r="G162" s="59">
        <f>SUM(G163:G164)</f>
        <v>0</v>
      </c>
      <c r="H162" s="59">
        <f>SUM(H163:H164)</f>
        <v>0</v>
      </c>
      <c r="I162" s="59">
        <f>+G162+H162</f>
        <v>0</v>
      </c>
      <c r="J162" s="59">
        <f>SUM(J163:J164)</f>
        <v>0</v>
      </c>
      <c r="K162" s="59">
        <f>SUM(K163:K164)</f>
        <v>0</v>
      </c>
      <c r="L162" s="59">
        <f>+J162+K162</f>
        <v>0</v>
      </c>
      <c r="M162" s="59">
        <f t="shared" si="64"/>
        <v>0</v>
      </c>
      <c r="N162" s="58">
        <f>+F162-M162</f>
        <v>205800000</v>
      </c>
      <c r="P162" s="192"/>
      <c r="S162" s="282"/>
      <c r="T162" s="282"/>
      <c r="U162" s="249"/>
    </row>
    <row r="163" spans="1:21" s="86" customFormat="1" ht="18" customHeight="1" x14ac:dyDescent="0.25">
      <c r="A163" s="85"/>
      <c r="B163" s="66"/>
      <c r="C163" s="61"/>
      <c r="D163" s="62" t="s">
        <v>384</v>
      </c>
      <c r="E163" s="62" t="s">
        <v>385</v>
      </c>
      <c r="F163" s="63">
        <v>170400000</v>
      </c>
      <c r="G163" s="75"/>
      <c r="H163" s="75"/>
      <c r="I163" s="75">
        <f t="shared" si="59"/>
        <v>0</v>
      </c>
      <c r="J163" s="75"/>
      <c r="K163" s="75"/>
      <c r="L163" s="75">
        <f t="shared" si="70"/>
        <v>0</v>
      </c>
      <c r="M163" s="75">
        <f t="shared" si="64"/>
        <v>0</v>
      </c>
      <c r="N163" s="63">
        <f t="shared" ref="N163:N164" si="77">+F163-M163</f>
        <v>170400000</v>
      </c>
      <c r="P163" s="194"/>
      <c r="S163" s="282"/>
      <c r="T163" s="282"/>
      <c r="U163" s="250"/>
    </row>
    <row r="164" spans="1:21" s="144" customFormat="1" ht="18" customHeight="1" x14ac:dyDescent="0.25">
      <c r="A164" s="142"/>
      <c r="B164" s="143"/>
      <c r="C164" s="123"/>
      <c r="D164" s="124" t="s">
        <v>386</v>
      </c>
      <c r="E164" s="124" t="s">
        <v>387</v>
      </c>
      <c r="F164" s="125">
        <v>35400000</v>
      </c>
      <c r="G164" s="140"/>
      <c r="H164" s="140"/>
      <c r="I164" s="140">
        <f t="shared" si="59"/>
        <v>0</v>
      </c>
      <c r="J164" s="140"/>
      <c r="K164" s="140"/>
      <c r="L164" s="140">
        <f t="shared" si="70"/>
        <v>0</v>
      </c>
      <c r="M164" s="140">
        <f t="shared" si="64"/>
        <v>0</v>
      </c>
      <c r="N164" s="125">
        <f t="shared" si="77"/>
        <v>35400000</v>
      </c>
      <c r="P164" s="196"/>
      <c r="S164" s="286"/>
      <c r="T164" s="286"/>
      <c r="U164" s="252"/>
    </row>
    <row r="165" spans="1:21" s="121" customFormat="1" ht="18" customHeight="1" x14ac:dyDescent="0.25">
      <c r="A165" s="116">
        <v>7</v>
      </c>
      <c r="B165" s="117"/>
      <c r="C165" s="145" t="s">
        <v>102</v>
      </c>
      <c r="D165" s="118"/>
      <c r="E165" s="128" t="s">
        <v>103</v>
      </c>
      <c r="F165" s="119">
        <f t="shared" ref="F165:H168" si="78">+F166</f>
        <v>540210000</v>
      </c>
      <c r="G165" s="120">
        <f t="shared" si="78"/>
        <v>0</v>
      </c>
      <c r="H165" s="120">
        <f t="shared" si="78"/>
        <v>0</v>
      </c>
      <c r="I165" s="120">
        <f>+G165+H165</f>
        <v>0</v>
      </c>
      <c r="J165" s="120">
        <f>+J166</f>
        <v>45950000</v>
      </c>
      <c r="K165" s="120">
        <f t="shared" ref="J165:K168" si="79">+K166</f>
        <v>37800000</v>
      </c>
      <c r="L165" s="120">
        <f>+J165+K165</f>
        <v>83750000</v>
      </c>
      <c r="M165" s="120">
        <f>+I165+L165</f>
        <v>83750000</v>
      </c>
      <c r="N165" s="119">
        <f>+F165-M165</f>
        <v>456460000</v>
      </c>
      <c r="P165" s="190"/>
      <c r="R165" s="122"/>
      <c r="S165" s="283"/>
      <c r="T165" s="283"/>
      <c r="U165" s="246"/>
    </row>
    <row r="166" spans="1:21" s="107" customFormat="1" ht="18" customHeight="1" x14ac:dyDescent="0.25">
      <c r="A166" s="101"/>
      <c r="B166" s="102"/>
      <c r="C166" s="141"/>
      <c r="D166" s="103" t="s">
        <v>207</v>
      </c>
      <c r="E166" s="104" t="s">
        <v>262</v>
      </c>
      <c r="F166" s="105">
        <f t="shared" si="78"/>
        <v>540210000</v>
      </c>
      <c r="G166" s="106">
        <f t="shared" si="78"/>
        <v>0</v>
      </c>
      <c r="H166" s="106">
        <f t="shared" si="78"/>
        <v>0</v>
      </c>
      <c r="I166" s="106">
        <f>+G166+H166</f>
        <v>0</v>
      </c>
      <c r="J166" s="106">
        <f t="shared" si="79"/>
        <v>45950000</v>
      </c>
      <c r="K166" s="106">
        <f t="shared" si="79"/>
        <v>37800000</v>
      </c>
      <c r="L166" s="106">
        <f>+J166+K166</f>
        <v>83750000</v>
      </c>
      <c r="M166" s="106">
        <f t="shared" ref="M166:M169" si="80">+I166+L166</f>
        <v>83750000</v>
      </c>
      <c r="N166" s="105">
        <f>+F166-M166</f>
        <v>456460000</v>
      </c>
      <c r="P166" s="191"/>
      <c r="R166" s="108"/>
      <c r="S166" s="284"/>
      <c r="T166" s="284"/>
      <c r="U166" s="241"/>
    </row>
    <row r="167" spans="1:21" s="67" customFormat="1" ht="18" customHeight="1" x14ac:dyDescent="0.25">
      <c r="A167" s="81"/>
      <c r="B167" s="82"/>
      <c r="C167" s="44"/>
      <c r="D167" s="45" t="s">
        <v>63</v>
      </c>
      <c r="E167" s="45" t="s">
        <v>30</v>
      </c>
      <c r="F167" s="47">
        <f t="shared" si="78"/>
        <v>540210000</v>
      </c>
      <c r="G167" s="70">
        <f t="shared" si="78"/>
        <v>0</v>
      </c>
      <c r="H167" s="70">
        <f t="shared" si="78"/>
        <v>0</v>
      </c>
      <c r="I167" s="70">
        <f>+G167+H167</f>
        <v>0</v>
      </c>
      <c r="J167" s="70">
        <f t="shared" si="79"/>
        <v>45950000</v>
      </c>
      <c r="K167" s="70">
        <f t="shared" si="79"/>
        <v>37800000</v>
      </c>
      <c r="L167" s="70">
        <f>+J167+K167</f>
        <v>83750000</v>
      </c>
      <c r="M167" s="70">
        <f t="shared" si="80"/>
        <v>83750000</v>
      </c>
      <c r="N167" s="47">
        <f>+F167-M167</f>
        <v>456460000</v>
      </c>
      <c r="P167" s="192"/>
      <c r="S167" s="282"/>
      <c r="T167" s="282"/>
      <c r="U167" s="249"/>
    </row>
    <row r="168" spans="1:21" s="55" customFormat="1" ht="18" customHeight="1" x14ac:dyDescent="0.25">
      <c r="A168" s="50"/>
      <c r="B168" s="51"/>
      <c r="C168" s="50"/>
      <c r="D168" s="71" t="s">
        <v>263</v>
      </c>
      <c r="E168" s="51" t="s">
        <v>264</v>
      </c>
      <c r="F168" s="53">
        <f t="shared" si="78"/>
        <v>540210000</v>
      </c>
      <c r="G168" s="72">
        <f>+G169</f>
        <v>0</v>
      </c>
      <c r="H168" s="72">
        <f>+H169</f>
        <v>0</v>
      </c>
      <c r="I168" s="72">
        <f>+G168+H168</f>
        <v>0</v>
      </c>
      <c r="J168" s="72">
        <f t="shared" si="79"/>
        <v>45950000</v>
      </c>
      <c r="K168" s="72">
        <f t="shared" si="79"/>
        <v>37800000</v>
      </c>
      <c r="L168" s="72">
        <f>+J168+K168</f>
        <v>83750000</v>
      </c>
      <c r="M168" s="72">
        <f t="shared" si="80"/>
        <v>83750000</v>
      </c>
      <c r="N168" s="53">
        <f>+F168-M168</f>
        <v>456460000</v>
      </c>
      <c r="P168" s="195"/>
      <c r="S168" s="282"/>
      <c r="T168" s="282"/>
      <c r="U168" s="243"/>
    </row>
    <row r="169" spans="1:21" s="67" customFormat="1" ht="18" customHeight="1" x14ac:dyDescent="0.25">
      <c r="A169" s="83"/>
      <c r="B169" s="84"/>
      <c r="C169" s="56"/>
      <c r="D169" s="57" t="s">
        <v>64</v>
      </c>
      <c r="E169" s="57" t="s">
        <v>65</v>
      </c>
      <c r="F169" s="58">
        <f>SUM(F170:F172)</f>
        <v>540210000</v>
      </c>
      <c r="G169" s="59">
        <f>SUM(G170:G172)</f>
        <v>0</v>
      </c>
      <c r="H169" s="59">
        <f>SUM(H170:H172)</f>
        <v>0</v>
      </c>
      <c r="I169" s="59">
        <f>+G169+H169</f>
        <v>0</v>
      </c>
      <c r="J169" s="59">
        <f>SUM(J170:J172)</f>
        <v>45950000</v>
      </c>
      <c r="K169" s="59">
        <f>SUM(K170:K172)</f>
        <v>37800000</v>
      </c>
      <c r="L169" s="59">
        <f>+J169+K169</f>
        <v>83750000</v>
      </c>
      <c r="M169" s="59">
        <f t="shared" si="80"/>
        <v>83750000</v>
      </c>
      <c r="N169" s="58">
        <f>+F169-M169</f>
        <v>456460000</v>
      </c>
      <c r="P169" s="192"/>
      <c r="S169" s="282"/>
      <c r="T169" s="282"/>
      <c r="U169" s="249"/>
    </row>
    <row r="170" spans="1:21" s="86" customFormat="1" ht="18" customHeight="1" x14ac:dyDescent="0.25">
      <c r="A170" s="85"/>
      <c r="B170" s="66"/>
      <c r="C170" s="61"/>
      <c r="D170" s="62" t="s">
        <v>388</v>
      </c>
      <c r="E170" s="62" t="s">
        <v>389</v>
      </c>
      <c r="F170" s="63">
        <v>57760000</v>
      </c>
      <c r="G170" s="75"/>
      <c r="H170" s="75"/>
      <c r="I170" s="75">
        <f t="shared" ref="I170" si="81">+G170+H170</f>
        <v>0</v>
      </c>
      <c r="J170" s="75">
        <v>4000000</v>
      </c>
      <c r="K170" s="75">
        <v>4000000</v>
      </c>
      <c r="L170" s="75">
        <f t="shared" ref="L170:L172" si="82">+J170+K170</f>
        <v>8000000</v>
      </c>
      <c r="M170" s="75">
        <f>+I170+L170</f>
        <v>8000000</v>
      </c>
      <c r="N170" s="63">
        <f t="shared" ref="N170:N172" si="83">+F170-M170</f>
        <v>49760000</v>
      </c>
      <c r="P170" s="194"/>
      <c r="S170" s="281">
        <v>4000000</v>
      </c>
      <c r="T170" s="282"/>
      <c r="U170" s="250"/>
    </row>
    <row r="171" spans="1:21" s="86" customFormat="1" ht="18" customHeight="1" x14ac:dyDescent="0.25">
      <c r="A171" s="85"/>
      <c r="B171" s="66"/>
      <c r="C171" s="61"/>
      <c r="D171" s="62" t="s">
        <v>70</v>
      </c>
      <c r="E171" s="62" t="s">
        <v>33</v>
      </c>
      <c r="F171" s="63">
        <v>382450000</v>
      </c>
      <c r="G171" s="75"/>
      <c r="H171" s="75"/>
      <c r="I171" s="75">
        <f>+G171+H171</f>
        <v>0</v>
      </c>
      <c r="J171" s="75">
        <v>41950000</v>
      </c>
      <c r="K171" s="75">
        <f>15900000+2000000+15900000</f>
        <v>33800000</v>
      </c>
      <c r="L171" s="75">
        <f t="shared" si="82"/>
        <v>75750000</v>
      </c>
      <c r="M171" s="75">
        <f t="shared" ref="M171:M172" si="84">+I171+L171</f>
        <v>75750000</v>
      </c>
      <c r="N171" s="63">
        <f t="shared" si="83"/>
        <v>306700000</v>
      </c>
      <c r="P171" s="194"/>
      <c r="S171" s="281">
        <f>2000000+15900000+15900000</f>
        <v>33800000</v>
      </c>
      <c r="T171" s="282"/>
      <c r="U171" s="250"/>
    </row>
    <row r="172" spans="1:21" s="144" customFormat="1" ht="18" customHeight="1" x14ac:dyDescent="0.25">
      <c r="A172" s="142"/>
      <c r="B172" s="143"/>
      <c r="C172" s="123"/>
      <c r="D172" s="124" t="s">
        <v>104</v>
      </c>
      <c r="E172" s="124" t="s">
        <v>390</v>
      </c>
      <c r="F172" s="125">
        <v>100000000</v>
      </c>
      <c r="G172" s="140"/>
      <c r="H172" s="140"/>
      <c r="I172" s="140"/>
      <c r="J172" s="140">
        <v>0</v>
      </c>
      <c r="K172" s="140"/>
      <c r="L172" s="140">
        <f t="shared" si="82"/>
        <v>0</v>
      </c>
      <c r="M172" s="140">
        <f t="shared" si="84"/>
        <v>0</v>
      </c>
      <c r="N172" s="125">
        <f t="shared" si="83"/>
        <v>100000000</v>
      </c>
      <c r="P172" s="196"/>
      <c r="S172" s="286"/>
      <c r="T172" s="286"/>
      <c r="U172" s="252"/>
    </row>
    <row r="173" spans="1:21" s="121" customFormat="1" ht="18" customHeight="1" x14ac:dyDescent="0.25">
      <c r="A173" s="116">
        <v>8</v>
      </c>
      <c r="B173" s="117"/>
      <c r="C173" s="145" t="s">
        <v>105</v>
      </c>
      <c r="D173" s="118"/>
      <c r="E173" s="128" t="s">
        <v>106</v>
      </c>
      <c r="F173" s="119">
        <f t="shared" ref="F173:H180" si="85">+F174</f>
        <v>1600450000</v>
      </c>
      <c r="G173" s="120">
        <f t="shared" si="85"/>
        <v>142125000</v>
      </c>
      <c r="H173" s="120">
        <f>+H174</f>
        <v>154050000</v>
      </c>
      <c r="I173" s="120">
        <f>+G173+H173</f>
        <v>296175000</v>
      </c>
      <c r="J173" s="120">
        <f t="shared" ref="J173:K180" si="86">+J174</f>
        <v>56100600</v>
      </c>
      <c r="K173" s="120">
        <f t="shared" si="86"/>
        <v>8509000</v>
      </c>
      <c r="L173" s="120">
        <f>+J173+K173</f>
        <v>64609600</v>
      </c>
      <c r="M173" s="120">
        <f>+I173+L173</f>
        <v>360784600</v>
      </c>
      <c r="N173" s="119">
        <f>+F173-M173</f>
        <v>1239665400</v>
      </c>
      <c r="P173" s="190"/>
      <c r="R173" s="122"/>
      <c r="S173" s="283"/>
      <c r="T173" s="283"/>
      <c r="U173" s="246"/>
    </row>
    <row r="174" spans="1:21" s="107" customFormat="1" ht="18" customHeight="1" x14ac:dyDescent="0.25">
      <c r="A174" s="101"/>
      <c r="B174" s="102"/>
      <c r="C174" s="141"/>
      <c r="D174" s="103" t="s">
        <v>207</v>
      </c>
      <c r="E174" s="104" t="s">
        <v>262</v>
      </c>
      <c r="F174" s="105">
        <f>+F175</f>
        <v>1600450000</v>
      </c>
      <c r="G174" s="106">
        <f t="shared" si="85"/>
        <v>142125000</v>
      </c>
      <c r="H174" s="106">
        <f t="shared" si="85"/>
        <v>154050000</v>
      </c>
      <c r="I174" s="106">
        <f>+G174+H174</f>
        <v>296175000</v>
      </c>
      <c r="J174" s="106">
        <f t="shared" si="86"/>
        <v>56100600</v>
      </c>
      <c r="K174" s="106">
        <f t="shared" si="86"/>
        <v>8509000</v>
      </c>
      <c r="L174" s="106">
        <f>+J174+K174</f>
        <v>64609600</v>
      </c>
      <c r="M174" s="106">
        <f t="shared" ref="M174:M182" si="87">+I174+L174</f>
        <v>360784600</v>
      </c>
      <c r="N174" s="105">
        <f>+F174-M174</f>
        <v>1239665400</v>
      </c>
      <c r="P174" s="191"/>
      <c r="R174" s="108"/>
      <c r="S174" s="284"/>
      <c r="T174" s="284"/>
      <c r="U174" s="241"/>
    </row>
    <row r="175" spans="1:21" s="67" customFormat="1" ht="18" customHeight="1" x14ac:dyDescent="0.25">
      <c r="A175" s="81"/>
      <c r="B175" s="82"/>
      <c r="C175" s="44"/>
      <c r="D175" s="45" t="s">
        <v>63</v>
      </c>
      <c r="E175" s="45" t="s">
        <v>30</v>
      </c>
      <c r="F175" s="47">
        <f>+F180+F176</f>
        <v>1600450000</v>
      </c>
      <c r="G175" s="70">
        <f>+G180</f>
        <v>142125000</v>
      </c>
      <c r="H175" s="70">
        <f>+H180+H176</f>
        <v>154050000</v>
      </c>
      <c r="I175" s="70">
        <f>+G175+H175</f>
        <v>296175000</v>
      </c>
      <c r="J175" s="70">
        <f>+J180+J176</f>
        <v>56100600</v>
      </c>
      <c r="K175" s="70">
        <f>+K180+K176</f>
        <v>8509000</v>
      </c>
      <c r="L175" s="70">
        <f>+J175+K175</f>
        <v>64609600</v>
      </c>
      <c r="M175" s="70">
        <f t="shared" si="87"/>
        <v>360784600</v>
      </c>
      <c r="N175" s="47">
        <f>+F175-M175</f>
        <v>1239665400</v>
      </c>
      <c r="P175" s="192"/>
      <c r="S175" s="282"/>
      <c r="T175" s="282"/>
      <c r="U175" s="249"/>
    </row>
    <row r="176" spans="1:21" s="55" customFormat="1" ht="18" customHeight="1" x14ac:dyDescent="0.25">
      <c r="A176" s="50"/>
      <c r="B176" s="51"/>
      <c r="C176" s="50"/>
      <c r="D176" s="71" t="s">
        <v>263</v>
      </c>
      <c r="E176" s="51" t="s">
        <v>264</v>
      </c>
      <c r="F176" s="53">
        <f>+F177</f>
        <v>32500000</v>
      </c>
      <c r="G176" s="72">
        <f>+G177</f>
        <v>0</v>
      </c>
      <c r="H176" s="72">
        <f>+H177</f>
        <v>0</v>
      </c>
      <c r="I176" s="72">
        <f>+G176+H176</f>
        <v>0</v>
      </c>
      <c r="J176" s="72">
        <f t="shared" si="86"/>
        <v>0</v>
      </c>
      <c r="K176" s="72">
        <f t="shared" si="86"/>
        <v>0</v>
      </c>
      <c r="L176" s="72">
        <f>+J176+K176</f>
        <v>0</v>
      </c>
      <c r="M176" s="72">
        <f t="shared" si="87"/>
        <v>0</v>
      </c>
      <c r="N176" s="53">
        <f>+F176-M176</f>
        <v>32500000</v>
      </c>
      <c r="P176" s="195"/>
      <c r="S176" s="282"/>
      <c r="T176" s="282"/>
      <c r="U176" s="243"/>
    </row>
    <row r="177" spans="1:21" s="67" customFormat="1" ht="18" customHeight="1" x14ac:dyDescent="0.25">
      <c r="A177" s="83"/>
      <c r="B177" s="84"/>
      <c r="C177" s="56"/>
      <c r="D177" s="57" t="s">
        <v>64</v>
      </c>
      <c r="E177" s="57" t="s">
        <v>65</v>
      </c>
      <c r="F177" s="58">
        <f>+F179+F178</f>
        <v>32500000</v>
      </c>
      <c r="G177" s="59">
        <f>+G179</f>
        <v>0</v>
      </c>
      <c r="H177" s="59">
        <f>SUM(H179)</f>
        <v>0</v>
      </c>
      <c r="I177" s="59">
        <f>+G177+H177</f>
        <v>0</v>
      </c>
      <c r="J177" s="59">
        <f>+J179</f>
        <v>0</v>
      </c>
      <c r="K177" s="59">
        <f>+K179</f>
        <v>0</v>
      </c>
      <c r="L177" s="59">
        <f>+J177+K177</f>
        <v>0</v>
      </c>
      <c r="M177" s="59">
        <f t="shared" si="87"/>
        <v>0</v>
      </c>
      <c r="N177" s="58">
        <f>+F177-M177</f>
        <v>32500000</v>
      </c>
      <c r="P177" s="192"/>
      <c r="S177" s="282"/>
      <c r="T177" s="282"/>
      <c r="U177" s="249"/>
    </row>
    <row r="178" spans="1:21" s="86" customFormat="1" ht="18" customHeight="1" x14ac:dyDescent="0.25">
      <c r="A178" s="85"/>
      <c r="B178" s="66"/>
      <c r="C178" s="61"/>
      <c r="D178" s="62" t="s">
        <v>443</v>
      </c>
      <c r="E178" s="62" t="s">
        <v>444</v>
      </c>
      <c r="F178" s="63">
        <v>17500000</v>
      </c>
      <c r="G178" s="75"/>
      <c r="H178" s="75"/>
      <c r="I178" s="75">
        <f t="shared" ref="I178:I179" si="88">+G178+H178</f>
        <v>0</v>
      </c>
      <c r="J178" s="75"/>
      <c r="K178" s="75"/>
      <c r="L178" s="75">
        <f t="shared" ref="L178:L179" si="89">+J178+K178</f>
        <v>0</v>
      </c>
      <c r="M178" s="75">
        <f t="shared" si="87"/>
        <v>0</v>
      </c>
      <c r="N178" s="63">
        <f t="shared" ref="N178:N179" si="90">+F178-M178</f>
        <v>17500000</v>
      </c>
      <c r="P178" s="194"/>
      <c r="S178" s="282"/>
      <c r="T178" s="282"/>
      <c r="U178" s="250"/>
    </row>
    <row r="179" spans="1:21" s="86" customFormat="1" ht="18" customHeight="1" x14ac:dyDescent="0.25">
      <c r="A179" s="85"/>
      <c r="B179" s="66"/>
      <c r="C179" s="61"/>
      <c r="D179" s="62" t="s">
        <v>447</v>
      </c>
      <c r="E179" s="62" t="s">
        <v>448</v>
      </c>
      <c r="F179" s="63">
        <v>15000000</v>
      </c>
      <c r="G179" s="75"/>
      <c r="H179" s="75"/>
      <c r="I179" s="75">
        <f t="shared" si="88"/>
        <v>0</v>
      </c>
      <c r="J179" s="75"/>
      <c r="K179" s="75"/>
      <c r="L179" s="75">
        <f t="shared" si="89"/>
        <v>0</v>
      </c>
      <c r="M179" s="75">
        <f t="shared" si="87"/>
        <v>0</v>
      </c>
      <c r="N179" s="63">
        <f t="shared" si="90"/>
        <v>15000000</v>
      </c>
      <c r="P179" s="194"/>
      <c r="S179" s="282"/>
      <c r="T179" s="282"/>
      <c r="U179" s="250"/>
    </row>
    <row r="180" spans="1:21" s="55" customFormat="1" ht="18" customHeight="1" x14ac:dyDescent="0.25">
      <c r="A180" s="50"/>
      <c r="B180" s="51"/>
      <c r="C180" s="50"/>
      <c r="D180" s="71" t="s">
        <v>265</v>
      </c>
      <c r="E180" s="51" t="s">
        <v>266</v>
      </c>
      <c r="F180" s="53">
        <f t="shared" si="85"/>
        <v>1567950000</v>
      </c>
      <c r="G180" s="72">
        <f>+G181</f>
        <v>142125000</v>
      </c>
      <c r="H180" s="72">
        <f>+H181</f>
        <v>154050000</v>
      </c>
      <c r="I180" s="72">
        <f>+G180+H180</f>
        <v>296175000</v>
      </c>
      <c r="J180" s="72">
        <f t="shared" si="86"/>
        <v>56100600</v>
      </c>
      <c r="K180" s="72">
        <f t="shared" si="86"/>
        <v>8509000</v>
      </c>
      <c r="L180" s="72">
        <f>+J180+K180</f>
        <v>64609600</v>
      </c>
      <c r="M180" s="72">
        <f t="shared" si="87"/>
        <v>360784600</v>
      </c>
      <c r="N180" s="53">
        <f>+F180-M180</f>
        <v>1207165400</v>
      </c>
      <c r="P180" s="195"/>
      <c r="S180" s="282"/>
      <c r="T180" s="282"/>
      <c r="U180" s="243"/>
    </row>
    <row r="181" spans="1:21" s="67" customFormat="1" ht="18" customHeight="1" x14ac:dyDescent="0.25">
      <c r="A181" s="83"/>
      <c r="B181" s="84"/>
      <c r="C181" s="56"/>
      <c r="D181" s="57" t="s">
        <v>71</v>
      </c>
      <c r="E181" s="57" t="s">
        <v>72</v>
      </c>
      <c r="F181" s="58">
        <f>SUM(F182:F183)</f>
        <v>1567950000</v>
      </c>
      <c r="G181" s="59">
        <f>SUM(G182:G183)</f>
        <v>142125000</v>
      </c>
      <c r="H181" s="59">
        <f>SUM(H182:H183)</f>
        <v>154050000</v>
      </c>
      <c r="I181" s="59">
        <f>+G181+H181</f>
        <v>296175000</v>
      </c>
      <c r="J181" s="59">
        <f>SUM(J182:J183)</f>
        <v>56100600</v>
      </c>
      <c r="K181" s="59">
        <f>SUM(K182:K183)</f>
        <v>8509000</v>
      </c>
      <c r="L181" s="59">
        <f>+J181+K181</f>
        <v>64609600</v>
      </c>
      <c r="M181" s="59">
        <f t="shared" si="87"/>
        <v>360784600</v>
      </c>
      <c r="N181" s="58">
        <f>+F181-M181</f>
        <v>1207165400</v>
      </c>
      <c r="P181" s="192"/>
      <c r="S181" s="282"/>
      <c r="T181" s="282"/>
      <c r="U181" s="249"/>
    </row>
    <row r="182" spans="1:21" s="86" customFormat="1" ht="18" customHeight="1" x14ac:dyDescent="0.25">
      <c r="A182" s="85"/>
      <c r="B182" s="66"/>
      <c r="C182" s="61"/>
      <c r="D182" s="62" t="s">
        <v>73</v>
      </c>
      <c r="E182" s="62" t="s">
        <v>74</v>
      </c>
      <c r="F182" s="63">
        <v>1501270000</v>
      </c>
      <c r="G182" s="75">
        <v>142125000</v>
      </c>
      <c r="H182" s="75">
        <v>154050000</v>
      </c>
      <c r="I182" s="75">
        <f t="shared" ref="I182" si="91">+G182+H182</f>
        <v>296175000</v>
      </c>
      <c r="J182" s="75">
        <v>48915000</v>
      </c>
      <c r="K182" s="75">
        <v>6894700</v>
      </c>
      <c r="L182" s="75">
        <f t="shared" ref="L182:L193" si="92">+J182+K182</f>
        <v>55809700</v>
      </c>
      <c r="M182" s="75">
        <f t="shared" si="87"/>
        <v>351984700</v>
      </c>
      <c r="N182" s="63">
        <f t="shared" ref="N182:N183" si="93">+F182-M182</f>
        <v>1149285300</v>
      </c>
      <c r="P182" s="194"/>
      <c r="S182" s="240">
        <f>1113500+908000+1263000+671100+763100+1240000+936000</f>
        <v>6894700</v>
      </c>
      <c r="T182" s="281">
        <v>154050000</v>
      </c>
      <c r="U182" s="250"/>
    </row>
    <row r="183" spans="1:21" s="144" customFormat="1" ht="18" customHeight="1" x14ac:dyDescent="0.25">
      <c r="A183" s="142"/>
      <c r="B183" s="143"/>
      <c r="C183" s="123"/>
      <c r="D183" s="124" t="s">
        <v>88</v>
      </c>
      <c r="E183" s="124" t="s">
        <v>89</v>
      </c>
      <c r="F183" s="125">
        <v>66680000</v>
      </c>
      <c r="G183" s="140"/>
      <c r="H183" s="140"/>
      <c r="I183" s="140"/>
      <c r="J183" s="140">
        <v>7185600</v>
      </c>
      <c r="K183" s="140">
        <f>665600+665600+283100</f>
        <v>1614300</v>
      </c>
      <c r="L183" s="140">
        <f t="shared" si="92"/>
        <v>8799900</v>
      </c>
      <c r="M183" s="140">
        <f>+I183+L183</f>
        <v>8799900</v>
      </c>
      <c r="N183" s="125">
        <f t="shared" si="93"/>
        <v>57880100</v>
      </c>
      <c r="P183" s="196"/>
      <c r="S183" s="467">
        <f>665600+665600+283100</f>
        <v>1614300</v>
      </c>
      <c r="T183" s="286"/>
      <c r="U183" s="252"/>
    </row>
    <row r="184" spans="1:21" s="121" customFormat="1" ht="18" customHeight="1" x14ac:dyDescent="0.25">
      <c r="A184" s="116">
        <v>9</v>
      </c>
      <c r="B184" s="117"/>
      <c r="C184" s="145" t="s">
        <v>109</v>
      </c>
      <c r="D184" s="118"/>
      <c r="E184" s="128" t="s">
        <v>110</v>
      </c>
      <c r="F184" s="119">
        <f>+F185+F201</f>
        <v>200844000</v>
      </c>
      <c r="G184" s="120">
        <f>+G185+G201</f>
        <v>0</v>
      </c>
      <c r="H184" s="120">
        <f>+H185+H201</f>
        <v>0</v>
      </c>
      <c r="I184" s="120">
        <f>+G184+H184</f>
        <v>0</v>
      </c>
      <c r="J184" s="120">
        <f>+J185+J201</f>
        <v>12480000</v>
      </c>
      <c r="K184" s="120">
        <f>+K185+K201</f>
        <v>6400000</v>
      </c>
      <c r="L184" s="120">
        <f t="shared" si="92"/>
        <v>18880000</v>
      </c>
      <c r="M184" s="120">
        <f>+I184+L184</f>
        <v>18880000</v>
      </c>
      <c r="N184" s="119">
        <f>+F184-M184</f>
        <v>181964000</v>
      </c>
      <c r="P184" s="190"/>
      <c r="R184" s="122"/>
      <c r="S184" s="283"/>
      <c r="T184" s="283"/>
      <c r="U184" s="246"/>
    </row>
    <row r="185" spans="1:21" s="107" customFormat="1" ht="18" customHeight="1" x14ac:dyDescent="0.25">
      <c r="A185" s="101"/>
      <c r="B185" s="102"/>
      <c r="C185" s="141"/>
      <c r="D185" s="103" t="s">
        <v>207</v>
      </c>
      <c r="E185" s="104" t="s">
        <v>262</v>
      </c>
      <c r="F185" s="105">
        <f>+F186</f>
        <v>174844000</v>
      </c>
      <c r="G185" s="106">
        <f>+G186</f>
        <v>0</v>
      </c>
      <c r="H185" s="106">
        <f>+H186</f>
        <v>0</v>
      </c>
      <c r="I185" s="106">
        <f>+G185+H185</f>
        <v>0</v>
      </c>
      <c r="J185" s="106">
        <f>+J186</f>
        <v>12480000</v>
      </c>
      <c r="K185" s="106">
        <f>+K186</f>
        <v>6400000</v>
      </c>
      <c r="L185" s="106">
        <f t="shared" si="92"/>
        <v>18880000</v>
      </c>
      <c r="M185" s="106">
        <f>+I185+L185</f>
        <v>18880000</v>
      </c>
      <c r="N185" s="105">
        <f>+F185-M185</f>
        <v>155964000</v>
      </c>
      <c r="P185" s="191"/>
      <c r="R185" s="108"/>
      <c r="S185" s="284"/>
      <c r="T185" s="284"/>
      <c r="U185" s="241"/>
    </row>
    <row r="186" spans="1:21" s="67" customFormat="1" ht="18" customHeight="1" x14ac:dyDescent="0.25">
      <c r="A186" s="81"/>
      <c r="B186" s="82"/>
      <c r="C186" s="44"/>
      <c r="D186" s="45" t="s">
        <v>63</v>
      </c>
      <c r="E186" s="45" t="s">
        <v>30</v>
      </c>
      <c r="F186" s="47">
        <f>+F187+F194+F198</f>
        <v>174844000</v>
      </c>
      <c r="G186" s="70">
        <f>+G187+G194</f>
        <v>0</v>
      </c>
      <c r="H186" s="70">
        <f>+H187+H194</f>
        <v>0</v>
      </c>
      <c r="I186" s="70">
        <f>+G186+H186</f>
        <v>0</v>
      </c>
      <c r="J186" s="70">
        <f>+J187+J194</f>
        <v>12480000</v>
      </c>
      <c r="K186" s="70">
        <f>+K187+K194</f>
        <v>6400000</v>
      </c>
      <c r="L186" s="70">
        <f t="shared" si="92"/>
        <v>18880000</v>
      </c>
      <c r="M186" s="70">
        <f t="shared" ref="M186:M196" si="94">+I186+L186</f>
        <v>18880000</v>
      </c>
      <c r="N186" s="47">
        <f>+F186-M186</f>
        <v>155964000</v>
      </c>
      <c r="P186" s="192"/>
      <c r="S186" s="282"/>
      <c r="T186" s="282"/>
      <c r="U186" s="249"/>
    </row>
    <row r="187" spans="1:21" s="55" customFormat="1" ht="18" customHeight="1" x14ac:dyDescent="0.25">
      <c r="A187" s="50"/>
      <c r="B187" s="51"/>
      <c r="C187" s="50"/>
      <c r="D187" s="71" t="s">
        <v>263</v>
      </c>
      <c r="E187" s="51" t="s">
        <v>264</v>
      </c>
      <c r="F187" s="53">
        <f t="shared" ref="F187" si="95">+F188</f>
        <v>44044000</v>
      </c>
      <c r="G187" s="72">
        <f>+G188</f>
        <v>0</v>
      </c>
      <c r="H187" s="72">
        <f>+H188</f>
        <v>0</v>
      </c>
      <c r="I187" s="72">
        <f>+G187+H187</f>
        <v>0</v>
      </c>
      <c r="J187" s="72">
        <f>+J188</f>
        <v>0</v>
      </c>
      <c r="K187" s="72">
        <f>+K188</f>
        <v>0</v>
      </c>
      <c r="L187" s="72">
        <f t="shared" si="92"/>
        <v>0</v>
      </c>
      <c r="M187" s="72">
        <f t="shared" si="94"/>
        <v>0</v>
      </c>
      <c r="N187" s="53">
        <f>+F187-M187</f>
        <v>44044000</v>
      </c>
      <c r="P187" s="195"/>
      <c r="S187" s="282"/>
      <c r="T187" s="282"/>
      <c r="U187" s="243"/>
    </row>
    <row r="188" spans="1:21" s="67" customFormat="1" ht="18" customHeight="1" x14ac:dyDescent="0.25">
      <c r="A188" s="83"/>
      <c r="B188" s="84"/>
      <c r="C188" s="56"/>
      <c r="D188" s="57" t="s">
        <v>64</v>
      </c>
      <c r="E188" s="57" t="s">
        <v>65</v>
      </c>
      <c r="F188" s="58">
        <f>SUM(F189:F193)</f>
        <v>44044000</v>
      </c>
      <c r="G188" s="59">
        <f>SUM(G189:G193)</f>
        <v>0</v>
      </c>
      <c r="H188" s="59">
        <f>SUM(H189:H193)</f>
        <v>0</v>
      </c>
      <c r="I188" s="59">
        <f>+G188+H188</f>
        <v>0</v>
      </c>
      <c r="J188" s="59">
        <f>SUM(J189:J193)</f>
        <v>0</v>
      </c>
      <c r="K188" s="59">
        <f>SUM(K189:K193)</f>
        <v>0</v>
      </c>
      <c r="L188" s="59">
        <f t="shared" si="92"/>
        <v>0</v>
      </c>
      <c r="M188" s="59">
        <f t="shared" si="94"/>
        <v>0</v>
      </c>
      <c r="N188" s="58">
        <f>+F188-M188</f>
        <v>44044000</v>
      </c>
      <c r="P188" s="192"/>
      <c r="S188" s="282"/>
      <c r="T188" s="282"/>
      <c r="U188" s="249"/>
    </row>
    <row r="189" spans="1:21" s="86" customFormat="1" ht="18" customHeight="1" x14ac:dyDescent="0.25">
      <c r="A189" s="85"/>
      <c r="B189" s="66"/>
      <c r="C189" s="61"/>
      <c r="D189" s="62" t="s">
        <v>66</v>
      </c>
      <c r="E189" s="62" t="s">
        <v>67</v>
      </c>
      <c r="F189" s="63">
        <v>24037500</v>
      </c>
      <c r="G189" s="75"/>
      <c r="H189" s="75"/>
      <c r="I189" s="75">
        <f t="shared" ref="I189" si="96">+G189+H189</f>
        <v>0</v>
      </c>
      <c r="J189" s="75"/>
      <c r="K189" s="75"/>
      <c r="L189" s="75">
        <f t="shared" si="92"/>
        <v>0</v>
      </c>
      <c r="M189" s="140">
        <f t="shared" si="94"/>
        <v>0</v>
      </c>
      <c r="N189" s="63">
        <f t="shared" ref="N189:N193" si="97">+F189-M189</f>
        <v>24037500</v>
      </c>
      <c r="P189" s="194"/>
      <c r="S189" s="282"/>
      <c r="T189" s="282"/>
      <c r="U189" s="250"/>
    </row>
    <row r="190" spans="1:21" s="86" customFormat="1" ht="18" customHeight="1" x14ac:dyDescent="0.25">
      <c r="A190" s="85"/>
      <c r="B190" s="66"/>
      <c r="C190" s="61"/>
      <c r="D190" s="62" t="s">
        <v>337</v>
      </c>
      <c r="E190" s="62" t="s">
        <v>338</v>
      </c>
      <c r="F190" s="63">
        <v>12104000</v>
      </c>
      <c r="G190" s="75"/>
      <c r="H190" s="75"/>
      <c r="I190" s="75"/>
      <c r="J190" s="75"/>
      <c r="K190" s="75"/>
      <c r="L190" s="75">
        <f t="shared" si="92"/>
        <v>0</v>
      </c>
      <c r="M190" s="140">
        <f t="shared" si="94"/>
        <v>0</v>
      </c>
      <c r="N190" s="63">
        <f t="shared" si="97"/>
        <v>12104000</v>
      </c>
      <c r="P190" s="194"/>
      <c r="S190" s="282"/>
      <c r="T190" s="282"/>
      <c r="U190" s="250"/>
    </row>
    <row r="191" spans="1:21" s="86" customFormat="1" ht="18" customHeight="1" x14ac:dyDescent="0.25">
      <c r="A191" s="85"/>
      <c r="B191" s="66"/>
      <c r="C191" s="61"/>
      <c r="D191" s="62" t="s">
        <v>367</v>
      </c>
      <c r="E191" s="62" t="s">
        <v>368</v>
      </c>
      <c r="F191" s="63">
        <v>3142500</v>
      </c>
      <c r="G191" s="75"/>
      <c r="H191" s="75"/>
      <c r="I191" s="75"/>
      <c r="J191" s="75"/>
      <c r="K191" s="75"/>
      <c r="L191" s="75">
        <f t="shared" si="92"/>
        <v>0</v>
      </c>
      <c r="M191" s="140">
        <f t="shared" si="94"/>
        <v>0</v>
      </c>
      <c r="N191" s="63">
        <f t="shared" si="97"/>
        <v>3142500</v>
      </c>
      <c r="P191" s="194"/>
      <c r="S191" s="282"/>
      <c r="T191" s="282"/>
      <c r="U191" s="250"/>
    </row>
    <row r="192" spans="1:21" s="86" customFormat="1" ht="18" customHeight="1" x14ac:dyDescent="0.25">
      <c r="A192" s="85"/>
      <c r="B192" s="66"/>
      <c r="C192" s="61"/>
      <c r="D192" s="62" t="s">
        <v>373</v>
      </c>
      <c r="E192" s="62" t="s">
        <v>392</v>
      </c>
      <c r="F192" s="63">
        <v>560000</v>
      </c>
      <c r="G192" s="75"/>
      <c r="H192" s="75"/>
      <c r="I192" s="75"/>
      <c r="J192" s="75"/>
      <c r="K192" s="75"/>
      <c r="L192" s="75">
        <f t="shared" si="92"/>
        <v>0</v>
      </c>
      <c r="M192" s="140">
        <f t="shared" si="94"/>
        <v>0</v>
      </c>
      <c r="N192" s="63">
        <f t="shared" si="97"/>
        <v>560000</v>
      </c>
      <c r="P192" s="194"/>
      <c r="S192" s="282"/>
      <c r="T192" s="282"/>
      <c r="U192" s="250"/>
    </row>
    <row r="193" spans="1:21" s="86" customFormat="1" ht="18" customHeight="1" x14ac:dyDescent="0.25">
      <c r="A193" s="85"/>
      <c r="B193" s="66"/>
      <c r="C193" s="61"/>
      <c r="D193" s="62" t="s">
        <v>70</v>
      </c>
      <c r="E193" s="62" t="s">
        <v>33</v>
      </c>
      <c r="F193" s="63">
        <v>4200000</v>
      </c>
      <c r="G193" s="75"/>
      <c r="H193" s="75"/>
      <c r="I193" s="75"/>
      <c r="J193" s="75"/>
      <c r="K193" s="75"/>
      <c r="L193" s="75">
        <f t="shared" si="92"/>
        <v>0</v>
      </c>
      <c r="M193" s="140">
        <f t="shared" si="94"/>
        <v>0</v>
      </c>
      <c r="N193" s="63">
        <f t="shared" si="97"/>
        <v>4200000</v>
      </c>
      <c r="P193" s="194"/>
      <c r="S193" s="282"/>
      <c r="T193" s="282"/>
      <c r="U193" s="250"/>
    </row>
    <row r="194" spans="1:21" s="55" customFormat="1" ht="18" customHeight="1" x14ac:dyDescent="0.25">
      <c r="A194" s="50"/>
      <c r="B194" s="51"/>
      <c r="C194" s="50"/>
      <c r="D194" s="71" t="s">
        <v>271</v>
      </c>
      <c r="E194" s="51" t="s">
        <v>272</v>
      </c>
      <c r="F194" s="53">
        <f t="shared" ref="F194" si="98">+F195</f>
        <v>78300000</v>
      </c>
      <c r="G194" s="72">
        <f>+G195</f>
        <v>0</v>
      </c>
      <c r="H194" s="72">
        <f>+H195</f>
        <v>0</v>
      </c>
      <c r="I194" s="72">
        <f>+G194+H194</f>
        <v>0</v>
      </c>
      <c r="J194" s="72">
        <f>+J195</f>
        <v>12480000</v>
      </c>
      <c r="K194" s="72">
        <f>+K195</f>
        <v>6400000</v>
      </c>
      <c r="L194" s="72">
        <f>+J194+K194</f>
        <v>18880000</v>
      </c>
      <c r="M194" s="72">
        <f t="shared" si="94"/>
        <v>18880000</v>
      </c>
      <c r="N194" s="53">
        <f>+F194-M194</f>
        <v>59420000</v>
      </c>
      <c r="P194" s="195"/>
      <c r="S194" s="282"/>
      <c r="T194" s="282"/>
      <c r="U194" s="243"/>
    </row>
    <row r="195" spans="1:21" s="67" customFormat="1" ht="18" customHeight="1" x14ac:dyDescent="0.25">
      <c r="A195" s="83"/>
      <c r="B195" s="84"/>
      <c r="C195" s="56"/>
      <c r="D195" s="57" t="s">
        <v>81</v>
      </c>
      <c r="E195" s="57" t="s">
        <v>31</v>
      </c>
      <c r="F195" s="58">
        <f>SUM(F196:F197)</f>
        <v>78300000</v>
      </c>
      <c r="G195" s="59">
        <f>SUM(G197:G197)</f>
        <v>0</v>
      </c>
      <c r="H195" s="59">
        <f>+H197</f>
        <v>0</v>
      </c>
      <c r="I195" s="59">
        <f>+G195+H195</f>
        <v>0</v>
      </c>
      <c r="J195" s="59">
        <f>SUM(J197:J197)</f>
        <v>12480000</v>
      </c>
      <c r="K195" s="59">
        <f>+K197</f>
        <v>6400000</v>
      </c>
      <c r="L195" s="59">
        <f>+J195+K195</f>
        <v>18880000</v>
      </c>
      <c r="M195" s="59">
        <f t="shared" si="94"/>
        <v>18880000</v>
      </c>
      <c r="N195" s="58">
        <f>+F195-M195</f>
        <v>59420000</v>
      </c>
      <c r="P195" s="192"/>
      <c r="S195" s="282"/>
      <c r="T195" s="282"/>
      <c r="U195" s="249"/>
    </row>
    <row r="196" spans="1:21" s="86" customFormat="1" ht="18" customHeight="1" x14ac:dyDescent="0.25">
      <c r="A196" s="85"/>
      <c r="B196" s="66"/>
      <c r="C196" s="61"/>
      <c r="D196" s="62" t="s">
        <v>451</v>
      </c>
      <c r="E196" s="62" t="s">
        <v>452</v>
      </c>
      <c r="F196" s="63">
        <v>1500000</v>
      </c>
      <c r="G196" s="75"/>
      <c r="H196" s="75"/>
      <c r="I196" s="75">
        <f t="shared" ref="I196" si="99">+G196+H196</f>
        <v>0</v>
      </c>
      <c r="J196" s="75"/>
      <c r="K196" s="75"/>
      <c r="L196" s="75">
        <f t="shared" ref="L196" si="100">+J196+K196</f>
        <v>0</v>
      </c>
      <c r="M196" s="75">
        <f t="shared" si="94"/>
        <v>0</v>
      </c>
      <c r="N196" s="63">
        <f t="shared" ref="N196:N197" si="101">+F196-M196</f>
        <v>1500000</v>
      </c>
      <c r="P196" s="194"/>
      <c r="S196" s="282"/>
      <c r="T196" s="282"/>
      <c r="U196" s="250"/>
    </row>
    <row r="197" spans="1:21" s="86" customFormat="1" ht="18" customHeight="1" x14ac:dyDescent="0.25">
      <c r="A197" s="85"/>
      <c r="B197" s="66"/>
      <c r="C197" s="61"/>
      <c r="D197" s="62" t="s">
        <v>82</v>
      </c>
      <c r="E197" s="62" t="s">
        <v>83</v>
      </c>
      <c r="F197" s="63">
        <v>76800000</v>
      </c>
      <c r="G197" s="75"/>
      <c r="H197" s="75"/>
      <c r="I197" s="75">
        <f>+G197+H197</f>
        <v>0</v>
      </c>
      <c r="J197" s="75">
        <v>12480000</v>
      </c>
      <c r="K197" s="75">
        <v>6400000</v>
      </c>
      <c r="L197" s="75">
        <f>+J197+K197</f>
        <v>18880000</v>
      </c>
      <c r="M197" s="75">
        <f>+I197+L197</f>
        <v>18880000</v>
      </c>
      <c r="N197" s="63">
        <f t="shared" si="101"/>
        <v>57920000</v>
      </c>
      <c r="P197" s="194"/>
      <c r="S197" s="281">
        <v>6400000</v>
      </c>
      <c r="T197" s="282"/>
      <c r="U197" s="250"/>
    </row>
    <row r="198" spans="1:21" s="55" customFormat="1" ht="18" customHeight="1" x14ac:dyDescent="0.25">
      <c r="A198" s="50"/>
      <c r="B198" s="51"/>
      <c r="C198" s="50"/>
      <c r="D198" s="71" t="s">
        <v>275</v>
      </c>
      <c r="E198" s="51" t="s">
        <v>276</v>
      </c>
      <c r="F198" s="53">
        <f>+F199</f>
        <v>52500000</v>
      </c>
      <c r="G198" s="72">
        <f>+G199</f>
        <v>0</v>
      </c>
      <c r="H198" s="72">
        <f>+H199</f>
        <v>0</v>
      </c>
      <c r="I198" s="72">
        <f>+G198+H198</f>
        <v>0</v>
      </c>
      <c r="J198" s="72">
        <f>+J199</f>
        <v>0</v>
      </c>
      <c r="K198" s="72">
        <f>+K199</f>
        <v>0</v>
      </c>
      <c r="L198" s="72">
        <f>+J198+K198</f>
        <v>0</v>
      </c>
      <c r="M198" s="72">
        <f t="shared" ref="M198:M205" si="102">+I198+L198</f>
        <v>0</v>
      </c>
      <c r="N198" s="53">
        <f>+F198-M198</f>
        <v>52500000</v>
      </c>
      <c r="P198" s="195"/>
      <c r="S198" s="282"/>
      <c r="T198" s="282"/>
      <c r="U198" s="243"/>
    </row>
    <row r="199" spans="1:21" s="67" customFormat="1" ht="18" customHeight="1" x14ac:dyDescent="0.25">
      <c r="A199" s="83"/>
      <c r="B199" s="84"/>
      <c r="C199" s="56"/>
      <c r="D199" s="57" t="s">
        <v>150</v>
      </c>
      <c r="E199" s="57" t="s">
        <v>32</v>
      </c>
      <c r="F199" s="58">
        <f>+F200</f>
        <v>52500000</v>
      </c>
      <c r="G199" s="59">
        <f>SUM(G201:G201)</f>
        <v>0</v>
      </c>
      <c r="H199" s="59">
        <f>+H201</f>
        <v>0</v>
      </c>
      <c r="I199" s="59">
        <f>+G199+H199</f>
        <v>0</v>
      </c>
      <c r="J199" s="59">
        <f>SUM(J201:J201)</f>
        <v>0</v>
      </c>
      <c r="K199" s="59">
        <f>+K201</f>
        <v>0</v>
      </c>
      <c r="L199" s="59">
        <f>+J199+K199</f>
        <v>0</v>
      </c>
      <c r="M199" s="59">
        <f t="shared" si="102"/>
        <v>0</v>
      </c>
      <c r="N199" s="58">
        <f>+F199-M199</f>
        <v>52500000</v>
      </c>
      <c r="P199" s="192"/>
      <c r="S199" s="282"/>
      <c r="T199" s="282"/>
      <c r="U199" s="249"/>
    </row>
    <row r="200" spans="1:21" s="86" customFormat="1" ht="36" customHeight="1" x14ac:dyDescent="0.25">
      <c r="A200" s="85"/>
      <c r="B200" s="66"/>
      <c r="C200" s="61"/>
      <c r="D200" s="62" t="s">
        <v>462</v>
      </c>
      <c r="E200" s="76" t="s">
        <v>463</v>
      </c>
      <c r="F200" s="63">
        <v>52500000</v>
      </c>
      <c r="G200" s="75"/>
      <c r="H200" s="75"/>
      <c r="I200" s="75">
        <f t="shared" ref="I200" si="103">+G200+H200</f>
        <v>0</v>
      </c>
      <c r="J200" s="75"/>
      <c r="K200" s="75"/>
      <c r="L200" s="75">
        <f t="shared" ref="L200" si="104">+J200+K200</f>
        <v>0</v>
      </c>
      <c r="M200" s="75">
        <f t="shared" si="102"/>
        <v>0</v>
      </c>
      <c r="N200" s="63">
        <f t="shared" ref="N200" si="105">+F200-M200</f>
        <v>52500000</v>
      </c>
      <c r="P200" s="194"/>
      <c r="S200" s="282"/>
      <c r="T200" s="282"/>
      <c r="U200" s="250"/>
    </row>
    <row r="201" spans="1:21" s="42" customFormat="1" ht="18" customHeight="1" x14ac:dyDescent="0.25">
      <c r="A201" s="36"/>
      <c r="B201" s="37"/>
      <c r="C201" s="80"/>
      <c r="D201" s="38" t="s">
        <v>267</v>
      </c>
      <c r="E201" s="39" t="s">
        <v>268</v>
      </c>
      <c r="F201" s="40">
        <f t="shared" ref="F201:H203" si="106">+F202</f>
        <v>26000000</v>
      </c>
      <c r="G201" s="41">
        <f t="shared" si="106"/>
        <v>0</v>
      </c>
      <c r="H201" s="41">
        <f t="shared" si="106"/>
        <v>0</v>
      </c>
      <c r="I201" s="41">
        <f>+G201+H201</f>
        <v>0</v>
      </c>
      <c r="J201" s="41">
        <f t="shared" ref="J201:K204" si="107">+J202</f>
        <v>0</v>
      </c>
      <c r="K201" s="41">
        <f t="shared" si="107"/>
        <v>0</v>
      </c>
      <c r="L201" s="41">
        <f>+J201+K201</f>
        <v>0</v>
      </c>
      <c r="M201" s="41">
        <f t="shared" si="102"/>
        <v>0</v>
      </c>
      <c r="N201" s="40">
        <f>+F201-M201</f>
        <v>26000000</v>
      </c>
      <c r="P201" s="199"/>
      <c r="R201" s="43"/>
      <c r="S201" s="282"/>
      <c r="T201" s="282"/>
      <c r="U201" s="251"/>
    </row>
    <row r="202" spans="1:21" s="67" customFormat="1" ht="18" customHeight="1" x14ac:dyDescent="0.25">
      <c r="A202" s="81"/>
      <c r="B202" s="82"/>
      <c r="C202" s="44"/>
      <c r="D202" s="45" t="s">
        <v>78</v>
      </c>
      <c r="E202" s="45" t="s">
        <v>75</v>
      </c>
      <c r="F202" s="47">
        <f t="shared" si="106"/>
        <v>26000000</v>
      </c>
      <c r="G202" s="70">
        <f t="shared" si="106"/>
        <v>0</v>
      </c>
      <c r="H202" s="70">
        <f t="shared" si="106"/>
        <v>0</v>
      </c>
      <c r="I202" s="70">
        <f t="shared" ref="I202:I205" si="108">+G202+H202</f>
        <v>0</v>
      </c>
      <c r="J202" s="70">
        <f t="shared" si="107"/>
        <v>0</v>
      </c>
      <c r="K202" s="70">
        <f t="shared" si="107"/>
        <v>0</v>
      </c>
      <c r="L202" s="70">
        <f t="shared" ref="L202:L203" si="109">+J202+K202</f>
        <v>0</v>
      </c>
      <c r="M202" s="70">
        <f t="shared" si="102"/>
        <v>0</v>
      </c>
      <c r="N202" s="47">
        <f>+F202-M202</f>
        <v>26000000</v>
      </c>
      <c r="P202" s="192"/>
      <c r="S202" s="282"/>
      <c r="T202" s="282"/>
      <c r="U202" s="249"/>
    </row>
    <row r="203" spans="1:21" s="55" customFormat="1" ht="18" customHeight="1" x14ac:dyDescent="0.25">
      <c r="A203" s="50"/>
      <c r="B203" s="51"/>
      <c r="C203" s="50"/>
      <c r="D203" s="71" t="s">
        <v>269</v>
      </c>
      <c r="E203" s="51" t="s">
        <v>270</v>
      </c>
      <c r="F203" s="53">
        <f t="shared" si="106"/>
        <v>26000000</v>
      </c>
      <c r="G203" s="72">
        <f>+G204</f>
        <v>0</v>
      </c>
      <c r="H203" s="72">
        <f>+H204</f>
        <v>0</v>
      </c>
      <c r="I203" s="72">
        <f t="shared" si="108"/>
        <v>0</v>
      </c>
      <c r="J203" s="72">
        <f t="shared" si="107"/>
        <v>0</v>
      </c>
      <c r="K203" s="72">
        <f t="shared" si="107"/>
        <v>0</v>
      </c>
      <c r="L203" s="72">
        <f t="shared" si="109"/>
        <v>0</v>
      </c>
      <c r="M203" s="72">
        <f t="shared" si="102"/>
        <v>0</v>
      </c>
      <c r="N203" s="53">
        <f>+F203-M203</f>
        <v>26000000</v>
      </c>
      <c r="P203" s="195"/>
      <c r="S203" s="282"/>
      <c r="T203" s="282"/>
      <c r="U203" s="243"/>
    </row>
    <row r="204" spans="1:21" s="67" customFormat="1" ht="18" customHeight="1" x14ac:dyDescent="0.25">
      <c r="A204" s="83"/>
      <c r="B204" s="84"/>
      <c r="C204" s="56"/>
      <c r="D204" s="57" t="s">
        <v>76</v>
      </c>
      <c r="E204" s="57" t="s">
        <v>77</v>
      </c>
      <c r="F204" s="58">
        <f>SUM(F205)</f>
        <v>26000000</v>
      </c>
      <c r="G204" s="59">
        <f>+G205</f>
        <v>0</v>
      </c>
      <c r="H204" s="59">
        <f>+H205</f>
        <v>0</v>
      </c>
      <c r="I204" s="59">
        <f>+G204+H204</f>
        <v>0</v>
      </c>
      <c r="J204" s="59">
        <f t="shared" si="107"/>
        <v>0</v>
      </c>
      <c r="K204" s="59">
        <f t="shared" si="107"/>
        <v>0</v>
      </c>
      <c r="L204" s="59">
        <f>+J204+K204</f>
        <v>0</v>
      </c>
      <c r="M204" s="59">
        <f t="shared" si="102"/>
        <v>0</v>
      </c>
      <c r="N204" s="58">
        <f>+F204-M204</f>
        <v>26000000</v>
      </c>
      <c r="P204" s="192"/>
      <c r="S204" s="282"/>
      <c r="T204" s="282"/>
      <c r="U204" s="249"/>
    </row>
    <row r="205" spans="1:21" s="144" customFormat="1" ht="18" customHeight="1" x14ac:dyDescent="0.25">
      <c r="A205" s="142"/>
      <c r="B205" s="143"/>
      <c r="C205" s="123"/>
      <c r="D205" s="124" t="s">
        <v>393</v>
      </c>
      <c r="E205" s="124" t="s">
        <v>394</v>
      </c>
      <c r="F205" s="125">
        <v>26000000</v>
      </c>
      <c r="G205" s="140"/>
      <c r="H205" s="140"/>
      <c r="I205" s="140">
        <f t="shared" si="108"/>
        <v>0</v>
      </c>
      <c r="J205" s="140"/>
      <c r="K205" s="140"/>
      <c r="L205" s="140">
        <f t="shared" ref="L205" si="110">+J205+K205</f>
        <v>0</v>
      </c>
      <c r="M205" s="140">
        <f t="shared" si="102"/>
        <v>0</v>
      </c>
      <c r="N205" s="125">
        <f t="shared" ref="N205" si="111">+F205-M205</f>
        <v>26000000</v>
      </c>
      <c r="P205" s="196"/>
      <c r="S205" s="286"/>
      <c r="T205" s="286"/>
      <c r="U205" s="252"/>
    </row>
    <row r="206" spans="1:21" s="121" customFormat="1" ht="18" customHeight="1" x14ac:dyDescent="0.25">
      <c r="A206" s="116">
        <v>10</v>
      </c>
      <c r="B206" s="117"/>
      <c r="C206" s="145" t="s">
        <v>112</v>
      </c>
      <c r="D206" s="118"/>
      <c r="E206" s="128" t="s">
        <v>113</v>
      </c>
      <c r="F206" s="119">
        <f>+F207+F221</f>
        <v>810211500</v>
      </c>
      <c r="G206" s="120">
        <f>G207+G221</f>
        <v>0</v>
      </c>
      <c r="H206" s="120">
        <f>H207+H221</f>
        <v>0</v>
      </c>
      <c r="I206" s="120">
        <f>+G206+H206</f>
        <v>0</v>
      </c>
      <c r="J206" s="120">
        <f>J207+J221</f>
        <v>3200000</v>
      </c>
      <c r="K206" s="120">
        <f>K207+K221</f>
        <v>5175000</v>
      </c>
      <c r="L206" s="120">
        <f>+J206+K206</f>
        <v>8375000</v>
      </c>
      <c r="M206" s="120">
        <f>+I206+L206</f>
        <v>8375000</v>
      </c>
      <c r="N206" s="119">
        <f>+F206-M206</f>
        <v>801836500</v>
      </c>
      <c r="P206" s="190"/>
      <c r="R206" s="122"/>
      <c r="S206" s="283"/>
      <c r="T206" s="283"/>
      <c r="U206" s="246"/>
    </row>
    <row r="207" spans="1:21" s="107" customFormat="1" ht="18" customHeight="1" x14ac:dyDescent="0.25">
      <c r="A207" s="101"/>
      <c r="B207" s="102"/>
      <c r="C207" s="141"/>
      <c r="D207" s="103" t="s">
        <v>207</v>
      </c>
      <c r="E207" s="104" t="s">
        <v>262</v>
      </c>
      <c r="F207" s="105">
        <f>+F208</f>
        <v>441471500</v>
      </c>
      <c r="G207" s="106">
        <f>+G208</f>
        <v>0</v>
      </c>
      <c r="H207" s="106">
        <f>+H208</f>
        <v>0</v>
      </c>
      <c r="I207" s="106">
        <f>+G207+H207</f>
        <v>0</v>
      </c>
      <c r="J207" s="106">
        <f>+J208</f>
        <v>3200000</v>
      </c>
      <c r="K207" s="106">
        <f>+K208</f>
        <v>5175000</v>
      </c>
      <c r="L207" s="106">
        <f>+J207+K207</f>
        <v>8375000</v>
      </c>
      <c r="M207" s="106">
        <f t="shared" ref="M207:M220" si="112">+I207+L207</f>
        <v>8375000</v>
      </c>
      <c r="N207" s="105">
        <f>+F207-M207</f>
        <v>433096500</v>
      </c>
      <c r="P207" s="191"/>
      <c r="R207" s="108"/>
      <c r="S207" s="284"/>
      <c r="T207" s="284"/>
      <c r="U207" s="241"/>
    </row>
    <row r="208" spans="1:21" s="67" customFormat="1" ht="18" customHeight="1" x14ac:dyDescent="0.25">
      <c r="A208" s="81"/>
      <c r="B208" s="82"/>
      <c r="C208" s="44"/>
      <c r="D208" s="45" t="s">
        <v>63</v>
      </c>
      <c r="E208" s="45" t="s">
        <v>30</v>
      </c>
      <c r="F208" s="47">
        <f>+F209+F212+F216</f>
        <v>441471500</v>
      </c>
      <c r="G208" s="70">
        <f>+G209+G212+G216</f>
        <v>0</v>
      </c>
      <c r="H208" s="70">
        <f>+H209+H212+H216</f>
        <v>0</v>
      </c>
      <c r="I208" s="70">
        <f t="shared" ref="I208:I218" si="113">+G208+H208</f>
        <v>0</v>
      </c>
      <c r="J208" s="70">
        <f>+J209+J212+J216</f>
        <v>3200000</v>
      </c>
      <c r="K208" s="70">
        <f>+K209+K212+K216</f>
        <v>5175000</v>
      </c>
      <c r="L208" s="70">
        <f t="shared" ref="L208:L209" si="114">+J208+K208</f>
        <v>8375000</v>
      </c>
      <c r="M208" s="70">
        <f t="shared" si="112"/>
        <v>8375000</v>
      </c>
      <c r="N208" s="47">
        <f>+F208-M208</f>
        <v>433096500</v>
      </c>
      <c r="P208" s="192"/>
      <c r="S208" s="282"/>
      <c r="T208" s="282"/>
      <c r="U208" s="249"/>
    </row>
    <row r="209" spans="1:21" s="55" customFormat="1" ht="18" customHeight="1" x14ac:dyDescent="0.25">
      <c r="A209" s="50"/>
      <c r="B209" s="51"/>
      <c r="C209" s="50"/>
      <c r="D209" s="71" t="s">
        <v>263</v>
      </c>
      <c r="E209" s="51" t="s">
        <v>264</v>
      </c>
      <c r="F209" s="53">
        <f t="shared" ref="F209:H209" si="115">+F210</f>
        <v>4031500</v>
      </c>
      <c r="G209" s="72">
        <f>+G210</f>
        <v>0</v>
      </c>
      <c r="H209" s="72">
        <f t="shared" si="115"/>
        <v>0</v>
      </c>
      <c r="I209" s="72">
        <f t="shared" si="113"/>
        <v>0</v>
      </c>
      <c r="J209" s="72">
        <f>+J210</f>
        <v>0</v>
      </c>
      <c r="K209" s="72">
        <f t="shared" ref="K209" si="116">+K210</f>
        <v>0</v>
      </c>
      <c r="L209" s="72">
        <f t="shared" si="114"/>
        <v>0</v>
      </c>
      <c r="M209" s="72">
        <f t="shared" si="112"/>
        <v>0</v>
      </c>
      <c r="N209" s="53">
        <f>+F209-M209</f>
        <v>4031500</v>
      </c>
      <c r="P209" s="195"/>
      <c r="S209" s="282"/>
      <c r="T209" s="282"/>
      <c r="U209" s="243"/>
    </row>
    <row r="210" spans="1:21" s="67" customFormat="1" ht="18" customHeight="1" x14ac:dyDescent="0.25">
      <c r="A210" s="83"/>
      <c r="B210" s="84"/>
      <c r="C210" s="56"/>
      <c r="D210" s="57" t="s">
        <v>64</v>
      </c>
      <c r="E210" s="57" t="s">
        <v>65</v>
      </c>
      <c r="F210" s="58">
        <f>F211</f>
        <v>4031500</v>
      </c>
      <c r="G210" s="59">
        <f>SUM(G211:G211)</f>
        <v>0</v>
      </c>
      <c r="H210" s="59">
        <f>SUM(H211:H211)</f>
        <v>0</v>
      </c>
      <c r="I210" s="59">
        <f>+G210+H210</f>
        <v>0</v>
      </c>
      <c r="J210" s="59">
        <f>SUM(J211:J211)</f>
        <v>0</v>
      </c>
      <c r="K210" s="59">
        <f>SUM(K211:K211)</f>
        <v>0</v>
      </c>
      <c r="L210" s="59">
        <f>+J210+K210</f>
        <v>0</v>
      </c>
      <c r="M210" s="59">
        <f t="shared" si="112"/>
        <v>0</v>
      </c>
      <c r="N210" s="58">
        <f>+F210-M210</f>
        <v>4031500</v>
      </c>
      <c r="P210" s="192"/>
      <c r="S210" s="282"/>
      <c r="T210" s="282"/>
      <c r="U210" s="249"/>
    </row>
    <row r="211" spans="1:21" s="86" customFormat="1" ht="18" customHeight="1" x14ac:dyDescent="0.25">
      <c r="A211" s="85"/>
      <c r="B211" s="66"/>
      <c r="C211" s="61"/>
      <c r="D211" s="62" t="s">
        <v>339</v>
      </c>
      <c r="E211" s="62" t="s">
        <v>340</v>
      </c>
      <c r="F211" s="63">
        <v>4031500</v>
      </c>
      <c r="G211" s="75"/>
      <c r="H211" s="75"/>
      <c r="I211" s="75">
        <f t="shared" si="113"/>
        <v>0</v>
      </c>
      <c r="J211" s="75"/>
      <c r="K211" s="75"/>
      <c r="L211" s="75">
        <f t="shared" ref="L211" si="117">+J211+K211</f>
        <v>0</v>
      </c>
      <c r="M211" s="75">
        <f t="shared" si="112"/>
        <v>0</v>
      </c>
      <c r="N211" s="63">
        <f t="shared" ref="N211" si="118">+F211-M211</f>
        <v>4031500</v>
      </c>
      <c r="P211" s="194"/>
      <c r="S211" s="282"/>
      <c r="T211" s="282"/>
      <c r="U211" s="250"/>
    </row>
    <row r="212" spans="1:21" s="55" customFormat="1" ht="18" customHeight="1" x14ac:dyDescent="0.25">
      <c r="A212" s="50"/>
      <c r="B212" s="51"/>
      <c r="C212" s="50"/>
      <c r="D212" s="71" t="s">
        <v>271</v>
      </c>
      <c r="E212" s="51" t="s">
        <v>272</v>
      </c>
      <c r="F212" s="53">
        <f t="shared" ref="F212:H212" si="119">+F213</f>
        <v>98700000</v>
      </c>
      <c r="G212" s="72">
        <f>+G213</f>
        <v>0</v>
      </c>
      <c r="H212" s="72">
        <f t="shared" si="119"/>
        <v>0</v>
      </c>
      <c r="I212" s="72">
        <f t="shared" si="113"/>
        <v>0</v>
      </c>
      <c r="J212" s="72">
        <f>+J213</f>
        <v>3200000</v>
      </c>
      <c r="K212" s="72">
        <f t="shared" ref="K212" si="120">+K213</f>
        <v>1600000</v>
      </c>
      <c r="L212" s="72">
        <f>+J212+K212</f>
        <v>4800000</v>
      </c>
      <c r="M212" s="72">
        <f t="shared" si="112"/>
        <v>4800000</v>
      </c>
      <c r="N212" s="53">
        <f>+F212-M212</f>
        <v>93900000</v>
      </c>
      <c r="P212" s="195"/>
      <c r="S212" s="282"/>
      <c r="T212" s="282"/>
      <c r="U212" s="243"/>
    </row>
    <row r="213" spans="1:21" s="67" customFormat="1" ht="18" customHeight="1" x14ac:dyDescent="0.25">
      <c r="A213" s="83"/>
      <c r="B213" s="84"/>
      <c r="C213" s="56"/>
      <c r="D213" s="57" t="s">
        <v>81</v>
      </c>
      <c r="E213" s="57" t="s">
        <v>31</v>
      </c>
      <c r="F213" s="58">
        <f>SUM(F214:F215)</f>
        <v>98700000</v>
      </c>
      <c r="G213" s="59">
        <f>SUM(G214:G215)</f>
        <v>0</v>
      </c>
      <c r="H213" s="59">
        <f>SUM(H214:H215)</f>
        <v>0</v>
      </c>
      <c r="I213" s="59">
        <f t="shared" si="113"/>
        <v>0</v>
      </c>
      <c r="J213" s="59">
        <f>SUM(J214:J215)</f>
        <v>3200000</v>
      </c>
      <c r="K213" s="59">
        <f>SUM(K214:K215)</f>
        <v>1600000</v>
      </c>
      <c r="L213" s="59">
        <f>+J213+K213</f>
        <v>4800000</v>
      </c>
      <c r="M213" s="59">
        <f t="shared" si="112"/>
        <v>4800000</v>
      </c>
      <c r="N213" s="58">
        <f>+F213-M213</f>
        <v>93900000</v>
      </c>
      <c r="P213" s="192"/>
      <c r="S213" s="282"/>
      <c r="T213" s="282"/>
      <c r="U213" s="249"/>
    </row>
    <row r="214" spans="1:21" s="86" customFormat="1" ht="18" customHeight="1" x14ac:dyDescent="0.25">
      <c r="A214" s="175"/>
      <c r="B214" s="65"/>
      <c r="C214" s="171"/>
      <c r="D214" s="162" t="s">
        <v>82</v>
      </c>
      <c r="E214" s="162" t="s">
        <v>83</v>
      </c>
      <c r="F214" s="173">
        <v>38400000</v>
      </c>
      <c r="G214" s="163"/>
      <c r="H214" s="163"/>
      <c r="I214" s="163">
        <f t="shared" si="113"/>
        <v>0</v>
      </c>
      <c r="J214" s="163">
        <v>3200000</v>
      </c>
      <c r="K214" s="163">
        <v>1600000</v>
      </c>
      <c r="L214" s="163">
        <f>+J214+K214</f>
        <v>4800000</v>
      </c>
      <c r="M214" s="163">
        <f>+I214+L214</f>
        <v>4800000</v>
      </c>
      <c r="N214" s="173">
        <f>+F214-M214</f>
        <v>33600000</v>
      </c>
      <c r="P214" s="194"/>
      <c r="S214" s="281">
        <v>1600000</v>
      </c>
      <c r="T214" s="282"/>
      <c r="U214" s="250"/>
    </row>
    <row r="215" spans="1:21" s="86" customFormat="1" ht="18" customHeight="1" x14ac:dyDescent="0.25">
      <c r="A215" s="175"/>
      <c r="B215" s="65"/>
      <c r="C215" s="171"/>
      <c r="D215" s="162" t="s">
        <v>111</v>
      </c>
      <c r="E215" s="162" t="s">
        <v>44</v>
      </c>
      <c r="F215" s="173">
        <v>60300000</v>
      </c>
      <c r="G215" s="163"/>
      <c r="H215" s="163"/>
      <c r="I215" s="163">
        <f t="shared" si="113"/>
        <v>0</v>
      </c>
      <c r="J215" s="163"/>
      <c r="K215" s="163"/>
      <c r="L215" s="163">
        <f t="shared" ref="L215" si="121">+J215+K215</f>
        <v>0</v>
      </c>
      <c r="M215" s="163">
        <f t="shared" si="112"/>
        <v>0</v>
      </c>
      <c r="N215" s="173">
        <f t="shared" ref="N215" si="122">+F215-M215</f>
        <v>60300000</v>
      </c>
      <c r="P215" s="194"/>
      <c r="S215" s="282"/>
      <c r="T215" s="282"/>
      <c r="U215" s="250"/>
    </row>
    <row r="216" spans="1:21" s="55" customFormat="1" ht="18" customHeight="1" x14ac:dyDescent="0.25">
      <c r="A216" s="50"/>
      <c r="B216" s="51"/>
      <c r="C216" s="50"/>
      <c r="D216" s="71" t="s">
        <v>275</v>
      </c>
      <c r="E216" s="51" t="s">
        <v>276</v>
      </c>
      <c r="F216" s="53">
        <f t="shared" ref="F216:H216" si="123">+F217</f>
        <v>338740000</v>
      </c>
      <c r="G216" s="72">
        <f>+G217</f>
        <v>0</v>
      </c>
      <c r="H216" s="72">
        <f t="shared" si="123"/>
        <v>0</v>
      </c>
      <c r="I216" s="72">
        <f t="shared" si="113"/>
        <v>0</v>
      </c>
      <c r="J216" s="72">
        <f>+J217</f>
        <v>0</v>
      </c>
      <c r="K216" s="72">
        <f t="shared" ref="K216" si="124">+K217</f>
        <v>3575000</v>
      </c>
      <c r="L216" s="72">
        <f>+J216+K216</f>
        <v>3575000</v>
      </c>
      <c r="M216" s="72">
        <f t="shared" si="112"/>
        <v>3575000</v>
      </c>
      <c r="N216" s="53">
        <f>+F216-M216</f>
        <v>335165000</v>
      </c>
      <c r="P216" s="195"/>
      <c r="S216" s="282"/>
      <c r="T216" s="282"/>
      <c r="U216" s="243"/>
    </row>
    <row r="217" spans="1:21" s="67" customFormat="1" ht="18" customHeight="1" x14ac:dyDescent="0.25">
      <c r="A217" s="83"/>
      <c r="B217" s="84"/>
      <c r="C217" s="56"/>
      <c r="D217" s="57" t="s">
        <v>114</v>
      </c>
      <c r="E217" s="57" t="s">
        <v>43</v>
      </c>
      <c r="F217" s="58">
        <f>SUM(F218:F220)</f>
        <v>338740000</v>
      </c>
      <c r="G217" s="59">
        <f>SUM(G218:G220)</f>
        <v>0</v>
      </c>
      <c r="H217" s="59">
        <f>SUM(H218:H220)</f>
        <v>0</v>
      </c>
      <c r="I217" s="59">
        <f t="shared" si="113"/>
        <v>0</v>
      </c>
      <c r="J217" s="59">
        <f>SUM(J218:J220)</f>
        <v>0</v>
      </c>
      <c r="K217" s="59">
        <f>SUM(K218:K220)</f>
        <v>3575000</v>
      </c>
      <c r="L217" s="59">
        <f>+J217+K217</f>
        <v>3575000</v>
      </c>
      <c r="M217" s="59">
        <f t="shared" si="112"/>
        <v>3575000</v>
      </c>
      <c r="N217" s="58">
        <f>+F217-M217</f>
        <v>335165000</v>
      </c>
      <c r="P217" s="192"/>
      <c r="S217" s="282"/>
      <c r="T217" s="282"/>
      <c r="U217" s="249"/>
    </row>
    <row r="218" spans="1:21" s="86" customFormat="1" ht="21" customHeight="1" x14ac:dyDescent="0.25">
      <c r="A218" s="175"/>
      <c r="B218" s="65"/>
      <c r="C218" s="171"/>
      <c r="D218" s="162" t="s">
        <v>349</v>
      </c>
      <c r="E218" s="172" t="s">
        <v>350</v>
      </c>
      <c r="F218" s="173">
        <v>21240000</v>
      </c>
      <c r="G218" s="163"/>
      <c r="H218" s="163"/>
      <c r="I218" s="163">
        <f t="shared" si="113"/>
        <v>0</v>
      </c>
      <c r="J218" s="163"/>
      <c r="K218" s="163">
        <v>3575000</v>
      </c>
      <c r="L218" s="163">
        <f t="shared" ref="L218" si="125">+J218+K218</f>
        <v>3575000</v>
      </c>
      <c r="M218" s="163">
        <f t="shared" si="112"/>
        <v>3575000</v>
      </c>
      <c r="N218" s="173">
        <f>+F218-M218</f>
        <v>17665000</v>
      </c>
      <c r="P218" s="194"/>
      <c r="S218" s="281">
        <v>3575000</v>
      </c>
      <c r="T218" s="282"/>
      <c r="U218" s="250"/>
    </row>
    <row r="219" spans="1:21" s="86" customFormat="1" ht="30.75" customHeight="1" x14ac:dyDescent="0.25">
      <c r="A219" s="175"/>
      <c r="B219" s="65"/>
      <c r="C219" s="171"/>
      <c r="D219" s="162" t="s">
        <v>395</v>
      </c>
      <c r="E219" s="172" t="s">
        <v>396</v>
      </c>
      <c r="F219" s="173">
        <v>2500000</v>
      </c>
      <c r="G219" s="163"/>
      <c r="H219" s="163"/>
      <c r="I219" s="163"/>
      <c r="J219" s="163"/>
      <c r="K219" s="163"/>
      <c r="L219" s="163">
        <f>+J219+K219</f>
        <v>0</v>
      </c>
      <c r="M219" s="163">
        <f t="shared" si="112"/>
        <v>0</v>
      </c>
      <c r="N219" s="173">
        <f>+F219-M219</f>
        <v>2500000</v>
      </c>
      <c r="P219" s="194"/>
      <c r="S219" s="282"/>
      <c r="T219" s="282"/>
      <c r="U219" s="250"/>
    </row>
    <row r="220" spans="1:21" s="86" customFormat="1" ht="18" customHeight="1" x14ac:dyDescent="0.25">
      <c r="A220" s="175"/>
      <c r="B220" s="65"/>
      <c r="C220" s="171"/>
      <c r="D220" s="162" t="s">
        <v>354</v>
      </c>
      <c r="E220" s="172" t="s">
        <v>355</v>
      </c>
      <c r="F220" s="173">
        <v>315000000</v>
      </c>
      <c r="G220" s="163"/>
      <c r="H220" s="163"/>
      <c r="I220" s="163">
        <f>+G220+H220</f>
        <v>0</v>
      </c>
      <c r="J220" s="163"/>
      <c r="K220" s="163"/>
      <c r="L220" s="163"/>
      <c r="M220" s="163">
        <f t="shared" si="112"/>
        <v>0</v>
      </c>
      <c r="N220" s="173">
        <f t="shared" ref="N220" si="126">+F220-M220</f>
        <v>315000000</v>
      </c>
      <c r="P220" s="194"/>
      <c r="S220" s="282"/>
      <c r="T220" s="282"/>
      <c r="U220" s="250"/>
    </row>
    <row r="221" spans="1:21" s="42" customFormat="1" ht="18" customHeight="1" x14ac:dyDescent="0.25">
      <c r="A221" s="36"/>
      <c r="B221" s="37"/>
      <c r="C221" s="80"/>
      <c r="D221" s="38" t="s">
        <v>267</v>
      </c>
      <c r="E221" s="39" t="s">
        <v>268</v>
      </c>
      <c r="F221" s="40">
        <f>+F222+F234</f>
        <v>368740000</v>
      </c>
      <c r="G221" s="41">
        <f>+G222+G234</f>
        <v>0</v>
      </c>
      <c r="H221" s="41">
        <f>+H222+H234</f>
        <v>0</v>
      </c>
      <c r="I221" s="41">
        <f>+G221+H221</f>
        <v>0</v>
      </c>
      <c r="J221" s="41">
        <f>+J222</f>
        <v>0</v>
      </c>
      <c r="K221" s="41">
        <f>+K222</f>
        <v>0</v>
      </c>
      <c r="L221" s="41">
        <f>+J221+K221</f>
        <v>0</v>
      </c>
      <c r="M221" s="41">
        <f>+I221+L221</f>
        <v>0</v>
      </c>
      <c r="N221" s="40">
        <f>+F221-M221</f>
        <v>368740000</v>
      </c>
      <c r="P221" s="199"/>
      <c r="R221" s="43"/>
      <c r="S221" s="282"/>
      <c r="T221" s="282"/>
      <c r="U221" s="251"/>
    </row>
    <row r="222" spans="1:21" s="67" customFormat="1" ht="18" customHeight="1" x14ac:dyDescent="0.25">
      <c r="A222" s="81"/>
      <c r="B222" s="82"/>
      <c r="C222" s="44"/>
      <c r="D222" s="45" t="s">
        <v>78</v>
      </c>
      <c r="E222" s="45" t="s">
        <v>75</v>
      </c>
      <c r="F222" s="47">
        <f>+F223+F226+F231</f>
        <v>268740000</v>
      </c>
      <c r="G222" s="70">
        <f>+G223+G226</f>
        <v>0</v>
      </c>
      <c r="H222" s="70">
        <f>+H223+H226</f>
        <v>0</v>
      </c>
      <c r="I222" s="70">
        <f t="shared" ref="I222:I235" si="127">+G222+H222</f>
        <v>0</v>
      </c>
      <c r="J222" s="70">
        <f>+J223+J226</f>
        <v>0</v>
      </c>
      <c r="K222" s="70">
        <f t="shared" ref="K222:K223" si="128">+K223</f>
        <v>0</v>
      </c>
      <c r="L222" s="70">
        <f t="shared" ref="L222:L223" si="129">+J222+K222</f>
        <v>0</v>
      </c>
      <c r="M222" s="70">
        <f t="shared" ref="M222:M226" si="130">+I222+L222</f>
        <v>0</v>
      </c>
      <c r="N222" s="47">
        <f>+F222-M222</f>
        <v>268740000</v>
      </c>
      <c r="P222" s="192"/>
      <c r="S222" s="282"/>
      <c r="T222" s="282"/>
      <c r="U222" s="249"/>
    </row>
    <row r="223" spans="1:21" s="55" customFormat="1" ht="18" customHeight="1" x14ac:dyDescent="0.25">
      <c r="A223" s="50"/>
      <c r="B223" s="51"/>
      <c r="C223" s="50"/>
      <c r="D223" s="71" t="s">
        <v>269</v>
      </c>
      <c r="E223" s="51" t="s">
        <v>270</v>
      </c>
      <c r="F223" s="53">
        <f t="shared" ref="F223:H223" si="131">+F224</f>
        <v>32340000</v>
      </c>
      <c r="G223" s="72">
        <f>+G224</f>
        <v>0</v>
      </c>
      <c r="H223" s="72">
        <f t="shared" si="131"/>
        <v>0</v>
      </c>
      <c r="I223" s="72">
        <f t="shared" si="127"/>
        <v>0</v>
      </c>
      <c r="J223" s="72">
        <f>+J224</f>
        <v>0</v>
      </c>
      <c r="K223" s="72">
        <f t="shared" si="128"/>
        <v>0</v>
      </c>
      <c r="L223" s="72">
        <f t="shared" si="129"/>
        <v>0</v>
      </c>
      <c r="M223" s="72">
        <f t="shared" si="130"/>
        <v>0</v>
      </c>
      <c r="N223" s="53">
        <f>+F223-M223</f>
        <v>32340000</v>
      </c>
      <c r="P223" s="195"/>
      <c r="S223" s="282"/>
      <c r="T223" s="282"/>
      <c r="U223" s="243"/>
    </row>
    <row r="224" spans="1:21" s="67" customFormat="1" ht="18" customHeight="1" x14ac:dyDescent="0.25">
      <c r="A224" s="83"/>
      <c r="B224" s="84"/>
      <c r="C224" s="56"/>
      <c r="D224" s="57" t="s">
        <v>92</v>
      </c>
      <c r="E224" s="57" t="s">
        <v>94</v>
      </c>
      <c r="F224" s="58">
        <f>SUM(F225)</f>
        <v>32340000</v>
      </c>
      <c r="G224" s="59">
        <f>+G225</f>
        <v>0</v>
      </c>
      <c r="H224" s="59">
        <f>+H225</f>
        <v>0</v>
      </c>
      <c r="I224" s="59">
        <f>+G224+H224</f>
        <v>0</v>
      </c>
      <c r="J224" s="59">
        <f>+J225</f>
        <v>0</v>
      </c>
      <c r="K224" s="59">
        <f>+K225</f>
        <v>0</v>
      </c>
      <c r="L224" s="59">
        <f>+J224+K224</f>
        <v>0</v>
      </c>
      <c r="M224" s="59">
        <f t="shared" si="130"/>
        <v>0</v>
      </c>
      <c r="N224" s="58">
        <f>+F224-M224</f>
        <v>32340000</v>
      </c>
      <c r="P224" s="192"/>
      <c r="S224" s="282"/>
      <c r="T224" s="282"/>
      <c r="U224" s="249"/>
    </row>
    <row r="225" spans="1:21" s="86" customFormat="1" ht="18" customHeight="1" x14ac:dyDescent="0.25">
      <c r="A225" s="85"/>
      <c r="B225" s="66"/>
      <c r="C225" s="61"/>
      <c r="D225" s="62" t="s">
        <v>397</v>
      </c>
      <c r="E225" s="62" t="s">
        <v>398</v>
      </c>
      <c r="F225" s="63">
        <v>32340000</v>
      </c>
      <c r="G225" s="75"/>
      <c r="H225" s="75"/>
      <c r="I225" s="75">
        <f t="shared" si="127"/>
        <v>0</v>
      </c>
      <c r="J225" s="75"/>
      <c r="K225" s="75"/>
      <c r="L225" s="75">
        <f t="shared" ref="L225:L235" si="132">+J225+K225</f>
        <v>0</v>
      </c>
      <c r="M225" s="75">
        <f t="shared" si="130"/>
        <v>0</v>
      </c>
      <c r="N225" s="63">
        <f t="shared" ref="N225:N237" si="133">+F225-M225</f>
        <v>32340000</v>
      </c>
      <c r="P225" s="194"/>
      <c r="S225" s="282"/>
      <c r="T225" s="282"/>
      <c r="U225" s="250"/>
    </row>
    <row r="226" spans="1:21" s="55" customFormat="1" ht="18" customHeight="1" x14ac:dyDescent="0.25">
      <c r="A226" s="50"/>
      <c r="B226" s="51"/>
      <c r="C226" s="50"/>
      <c r="D226" s="71" t="s">
        <v>399</v>
      </c>
      <c r="E226" s="51" t="s">
        <v>400</v>
      </c>
      <c r="F226" s="53">
        <f t="shared" ref="F226:H226" si="134">+F227</f>
        <v>234600000</v>
      </c>
      <c r="G226" s="72">
        <f>+G227</f>
        <v>0</v>
      </c>
      <c r="H226" s="72">
        <f t="shared" si="134"/>
        <v>0</v>
      </c>
      <c r="I226" s="72">
        <f t="shared" si="127"/>
        <v>0</v>
      </c>
      <c r="J226" s="72">
        <f>+J227</f>
        <v>0</v>
      </c>
      <c r="K226" s="72">
        <f t="shared" ref="K226" si="135">+K227</f>
        <v>0</v>
      </c>
      <c r="L226" s="72">
        <f t="shared" si="132"/>
        <v>0</v>
      </c>
      <c r="M226" s="72">
        <f t="shared" si="130"/>
        <v>0</v>
      </c>
      <c r="N226" s="53">
        <f t="shared" si="133"/>
        <v>234600000</v>
      </c>
      <c r="P226" s="195"/>
      <c r="S226" s="282"/>
      <c r="T226" s="282"/>
      <c r="U226" s="243"/>
    </row>
    <row r="227" spans="1:21" s="67" customFormat="1" ht="18" customHeight="1" x14ac:dyDescent="0.25">
      <c r="A227" s="83"/>
      <c r="B227" s="84"/>
      <c r="C227" s="56"/>
      <c r="D227" s="57" t="s">
        <v>401</v>
      </c>
      <c r="E227" s="57" t="s">
        <v>402</v>
      </c>
      <c r="F227" s="58">
        <f>SUM(F228:F230)</f>
        <v>234600000</v>
      </c>
      <c r="G227" s="59">
        <f>SUM(G229:G229)</f>
        <v>0</v>
      </c>
      <c r="H227" s="59">
        <f>SUM(H229:H229)</f>
        <v>0</v>
      </c>
      <c r="I227" s="59">
        <f t="shared" si="127"/>
        <v>0</v>
      </c>
      <c r="J227" s="59">
        <f>SUM(J229:J229)</f>
        <v>0</v>
      </c>
      <c r="K227" s="59">
        <f>SUM(K229:K229)</f>
        <v>0</v>
      </c>
      <c r="L227" s="59">
        <f t="shared" si="132"/>
        <v>0</v>
      </c>
      <c r="M227" s="59">
        <f>+I227+L227</f>
        <v>0</v>
      </c>
      <c r="N227" s="58">
        <f t="shared" si="133"/>
        <v>234600000</v>
      </c>
      <c r="P227" s="192"/>
      <c r="S227" s="282"/>
      <c r="T227" s="282"/>
      <c r="U227" s="249"/>
    </row>
    <row r="228" spans="1:21" s="86" customFormat="1" ht="18" customHeight="1" x14ac:dyDescent="0.25">
      <c r="A228" s="85"/>
      <c r="B228" s="66"/>
      <c r="C228" s="61"/>
      <c r="D228" s="62" t="s">
        <v>464</v>
      </c>
      <c r="E228" s="62" t="s">
        <v>465</v>
      </c>
      <c r="F228" s="63">
        <v>3000000</v>
      </c>
      <c r="G228" s="75"/>
      <c r="H228" s="75"/>
      <c r="I228" s="75">
        <f t="shared" si="127"/>
        <v>0</v>
      </c>
      <c r="J228" s="75"/>
      <c r="K228" s="75"/>
      <c r="L228" s="75">
        <f t="shared" si="132"/>
        <v>0</v>
      </c>
      <c r="M228" s="75">
        <f>+I228+L228</f>
        <v>0</v>
      </c>
      <c r="N228" s="63">
        <f t="shared" si="133"/>
        <v>3000000</v>
      </c>
      <c r="O228" s="87"/>
      <c r="P228" s="194"/>
      <c r="S228" s="282"/>
      <c r="T228" s="282"/>
      <c r="U228" s="250"/>
    </row>
    <row r="229" spans="1:21" s="86" customFormat="1" ht="18" customHeight="1" x14ac:dyDescent="0.25">
      <c r="A229" s="85"/>
      <c r="B229" s="66"/>
      <c r="C229" s="61"/>
      <c r="D229" s="62" t="s">
        <v>403</v>
      </c>
      <c r="E229" s="62" t="s">
        <v>404</v>
      </c>
      <c r="F229" s="63">
        <v>36600000</v>
      </c>
      <c r="G229" s="75"/>
      <c r="H229" s="75"/>
      <c r="I229" s="75">
        <f t="shared" si="127"/>
        <v>0</v>
      </c>
      <c r="J229" s="75"/>
      <c r="K229" s="75"/>
      <c r="L229" s="75">
        <f t="shared" si="132"/>
        <v>0</v>
      </c>
      <c r="M229" s="75">
        <f>+I229+L229</f>
        <v>0</v>
      </c>
      <c r="N229" s="63">
        <f t="shared" si="133"/>
        <v>36600000</v>
      </c>
      <c r="O229" s="87"/>
      <c r="P229" s="194"/>
      <c r="S229" s="282"/>
      <c r="T229" s="282"/>
      <c r="U229" s="250"/>
    </row>
    <row r="230" spans="1:21" s="86" customFormat="1" ht="18" customHeight="1" x14ac:dyDescent="0.25">
      <c r="A230" s="85"/>
      <c r="B230" s="66"/>
      <c r="C230" s="61"/>
      <c r="D230" s="62" t="s">
        <v>459</v>
      </c>
      <c r="E230" s="62" t="s">
        <v>460</v>
      </c>
      <c r="F230" s="63">
        <v>195000000</v>
      </c>
      <c r="G230" s="75"/>
      <c r="H230" s="75"/>
      <c r="I230" s="75">
        <f t="shared" si="127"/>
        <v>0</v>
      </c>
      <c r="J230" s="75"/>
      <c r="K230" s="75"/>
      <c r="L230" s="75">
        <f t="shared" si="132"/>
        <v>0</v>
      </c>
      <c r="M230" s="75">
        <f>+I230+L230</f>
        <v>0</v>
      </c>
      <c r="N230" s="63">
        <f t="shared" si="133"/>
        <v>195000000</v>
      </c>
      <c r="O230" s="87"/>
      <c r="P230" s="194"/>
      <c r="S230" s="282"/>
      <c r="T230" s="282"/>
      <c r="U230" s="250"/>
    </row>
    <row r="231" spans="1:21" s="55" customFormat="1" ht="18" customHeight="1" x14ac:dyDescent="0.25">
      <c r="A231" s="50"/>
      <c r="B231" s="51"/>
      <c r="C231" s="50"/>
      <c r="D231" s="71" t="s">
        <v>273</v>
      </c>
      <c r="E231" s="51" t="s">
        <v>274</v>
      </c>
      <c r="F231" s="53">
        <f>+F232</f>
        <v>1800000</v>
      </c>
      <c r="G231" s="72">
        <f>+G232</f>
        <v>0</v>
      </c>
      <c r="H231" s="72">
        <f t="shared" ref="H231" si="136">+H232</f>
        <v>0</v>
      </c>
      <c r="I231" s="72">
        <f t="shared" si="127"/>
        <v>0</v>
      </c>
      <c r="J231" s="72">
        <f>+J232</f>
        <v>0</v>
      </c>
      <c r="K231" s="72">
        <f t="shared" ref="K231" si="137">+K232</f>
        <v>0</v>
      </c>
      <c r="L231" s="72">
        <f t="shared" si="132"/>
        <v>0</v>
      </c>
      <c r="M231" s="72">
        <f t="shared" ref="M231" si="138">+I231+L231</f>
        <v>0</v>
      </c>
      <c r="N231" s="53">
        <f t="shared" si="133"/>
        <v>1800000</v>
      </c>
      <c r="P231" s="195"/>
      <c r="S231" s="282"/>
      <c r="T231" s="282"/>
      <c r="U231" s="243"/>
    </row>
    <row r="232" spans="1:21" s="67" customFormat="1" ht="18" customHeight="1" x14ac:dyDescent="0.25">
      <c r="A232" s="83"/>
      <c r="B232" s="84"/>
      <c r="C232" s="56"/>
      <c r="D232" s="57" t="s">
        <v>382</v>
      </c>
      <c r="E232" s="57" t="s">
        <v>383</v>
      </c>
      <c r="F232" s="58">
        <f>+F233</f>
        <v>1800000</v>
      </c>
      <c r="G232" s="59">
        <f>SUM(G234:G234)</f>
        <v>0</v>
      </c>
      <c r="H232" s="59">
        <f>SUM(H234:H234)</f>
        <v>0</v>
      </c>
      <c r="I232" s="59">
        <f t="shared" si="127"/>
        <v>0</v>
      </c>
      <c r="J232" s="59">
        <f>SUM(J234:J234)</f>
        <v>0</v>
      </c>
      <c r="K232" s="59">
        <f>SUM(K234:K234)</f>
        <v>0</v>
      </c>
      <c r="L232" s="59">
        <f t="shared" si="132"/>
        <v>0</v>
      </c>
      <c r="M232" s="59">
        <f>+I232+L232</f>
        <v>0</v>
      </c>
      <c r="N232" s="58">
        <f t="shared" si="133"/>
        <v>1800000</v>
      </c>
      <c r="P232" s="192"/>
      <c r="S232" s="282"/>
      <c r="T232" s="282"/>
      <c r="U232" s="249"/>
    </row>
    <row r="233" spans="1:21" s="86" customFormat="1" ht="18" customHeight="1" x14ac:dyDescent="0.25">
      <c r="A233" s="85"/>
      <c r="B233" s="66"/>
      <c r="C233" s="61"/>
      <c r="D233" s="62" t="s">
        <v>386</v>
      </c>
      <c r="E233" s="62" t="s">
        <v>387</v>
      </c>
      <c r="F233" s="63">
        <v>1800000</v>
      </c>
      <c r="G233" s="75"/>
      <c r="H233" s="75"/>
      <c r="I233" s="75">
        <f t="shared" si="127"/>
        <v>0</v>
      </c>
      <c r="J233" s="75"/>
      <c r="K233" s="75"/>
      <c r="L233" s="75">
        <f t="shared" si="132"/>
        <v>0</v>
      </c>
      <c r="M233" s="75">
        <f>+I233+L233</f>
        <v>0</v>
      </c>
      <c r="N233" s="63">
        <f t="shared" si="133"/>
        <v>1800000</v>
      </c>
      <c r="O233" s="87"/>
      <c r="P233" s="194"/>
      <c r="S233" s="282"/>
      <c r="T233" s="282"/>
      <c r="U233" s="250"/>
    </row>
    <row r="234" spans="1:21" s="67" customFormat="1" ht="18" customHeight="1" x14ac:dyDescent="0.25">
      <c r="A234" s="81"/>
      <c r="B234" s="82"/>
      <c r="C234" s="44"/>
      <c r="D234" s="45" t="s">
        <v>466</v>
      </c>
      <c r="E234" s="45" t="s">
        <v>467</v>
      </c>
      <c r="F234" s="47">
        <f>+F235</f>
        <v>100000000</v>
      </c>
      <c r="G234" s="70">
        <f>+G235</f>
        <v>0</v>
      </c>
      <c r="H234" s="70">
        <f>+H235+H238</f>
        <v>0</v>
      </c>
      <c r="I234" s="70">
        <f t="shared" si="127"/>
        <v>0</v>
      </c>
      <c r="J234" s="70">
        <f>+J235</f>
        <v>0</v>
      </c>
      <c r="K234" s="70">
        <f t="shared" ref="K234:K235" si="139">+K235</f>
        <v>0</v>
      </c>
      <c r="L234" s="70">
        <f t="shared" si="132"/>
        <v>0</v>
      </c>
      <c r="M234" s="70">
        <f>+I234+L234</f>
        <v>0</v>
      </c>
      <c r="N234" s="47">
        <f t="shared" si="133"/>
        <v>100000000</v>
      </c>
      <c r="P234" s="192"/>
      <c r="S234" s="282"/>
      <c r="T234" s="282"/>
      <c r="U234" s="249"/>
    </row>
    <row r="235" spans="1:21" s="55" customFormat="1" ht="18" customHeight="1" x14ac:dyDescent="0.25">
      <c r="A235" s="50"/>
      <c r="B235" s="51"/>
      <c r="C235" s="50"/>
      <c r="D235" s="71" t="s">
        <v>468</v>
      </c>
      <c r="E235" s="51" t="s">
        <v>469</v>
      </c>
      <c r="F235" s="53">
        <f t="shared" ref="F235:H235" si="140">+F236</f>
        <v>100000000</v>
      </c>
      <c r="G235" s="72">
        <f>+G236</f>
        <v>0</v>
      </c>
      <c r="H235" s="72">
        <f t="shared" si="140"/>
        <v>0</v>
      </c>
      <c r="I235" s="72">
        <f t="shared" si="127"/>
        <v>0</v>
      </c>
      <c r="J235" s="72">
        <f>+J236</f>
        <v>0</v>
      </c>
      <c r="K235" s="72">
        <f t="shared" si="139"/>
        <v>0</v>
      </c>
      <c r="L235" s="72">
        <f t="shared" si="132"/>
        <v>0</v>
      </c>
      <c r="M235" s="72">
        <f t="shared" ref="M235:M236" si="141">+I235+L235</f>
        <v>0</v>
      </c>
      <c r="N235" s="53">
        <f t="shared" si="133"/>
        <v>100000000</v>
      </c>
      <c r="P235" s="195"/>
      <c r="S235" s="282"/>
      <c r="T235" s="282"/>
      <c r="U235" s="243"/>
    </row>
    <row r="236" spans="1:21" s="67" customFormat="1" ht="18" customHeight="1" x14ac:dyDescent="0.25">
      <c r="A236" s="83"/>
      <c r="B236" s="84"/>
      <c r="C236" s="56"/>
      <c r="D236" s="57" t="s">
        <v>470</v>
      </c>
      <c r="E236" s="57" t="s">
        <v>471</v>
      </c>
      <c r="F236" s="58">
        <f>SUM(F237)</f>
        <v>100000000</v>
      </c>
      <c r="G236" s="59">
        <f>+G237</f>
        <v>0</v>
      </c>
      <c r="H236" s="59">
        <f>+H237</f>
        <v>0</v>
      </c>
      <c r="I236" s="59">
        <f>+G236+H236</f>
        <v>0</v>
      </c>
      <c r="J236" s="59">
        <f>+J237</f>
        <v>0</v>
      </c>
      <c r="K236" s="59">
        <f>+K237</f>
        <v>0</v>
      </c>
      <c r="L236" s="59">
        <f>+J236+K236</f>
        <v>0</v>
      </c>
      <c r="M236" s="59">
        <f t="shared" si="141"/>
        <v>0</v>
      </c>
      <c r="N236" s="58">
        <f t="shared" si="133"/>
        <v>100000000</v>
      </c>
      <c r="P236" s="192"/>
      <c r="S236" s="282"/>
      <c r="T236" s="282"/>
      <c r="U236" s="249"/>
    </row>
    <row r="237" spans="1:21" s="86" customFormat="1" ht="18" customHeight="1" x14ac:dyDescent="0.25">
      <c r="A237" s="85"/>
      <c r="B237" s="66"/>
      <c r="C237" s="61"/>
      <c r="D237" s="62" t="s">
        <v>472</v>
      </c>
      <c r="E237" s="62" t="s">
        <v>473</v>
      </c>
      <c r="F237" s="63">
        <v>100000000</v>
      </c>
      <c r="G237" s="75"/>
      <c r="H237" s="75"/>
      <c r="I237" s="75">
        <f>+G237+H237</f>
        <v>0</v>
      </c>
      <c r="J237" s="75"/>
      <c r="K237" s="75"/>
      <c r="L237" s="75">
        <f t="shared" ref="L237" si="142">+J237+K237</f>
        <v>0</v>
      </c>
      <c r="M237" s="75">
        <f>+I237+L237</f>
        <v>0</v>
      </c>
      <c r="N237" s="63">
        <f t="shared" si="133"/>
        <v>100000000</v>
      </c>
      <c r="P237" s="194"/>
      <c r="S237" s="282"/>
      <c r="T237" s="282"/>
      <c r="U237" s="250"/>
    </row>
    <row r="238" spans="1:21" s="134" customFormat="1" ht="18" customHeight="1" x14ac:dyDescent="0.25">
      <c r="A238" s="129"/>
      <c r="B238" s="131"/>
      <c r="C238" s="131"/>
      <c r="D238" s="131"/>
      <c r="E238" s="131"/>
      <c r="F238" s="132"/>
      <c r="G238" s="133"/>
      <c r="H238" s="133"/>
      <c r="I238" s="133"/>
      <c r="J238" s="133"/>
      <c r="K238" s="133"/>
      <c r="L238" s="133"/>
      <c r="M238" s="133"/>
      <c r="N238" s="132"/>
      <c r="P238" s="197"/>
      <c r="S238" s="286"/>
      <c r="T238" s="286"/>
      <c r="U238" s="247"/>
    </row>
    <row r="239" spans="1:21" s="137" customFormat="1" ht="18" customHeight="1" x14ac:dyDescent="0.25">
      <c r="A239" s="109"/>
      <c r="B239" s="110" t="s">
        <v>357</v>
      </c>
      <c r="C239" s="110"/>
      <c r="D239" s="110"/>
      <c r="E239" s="110" t="s">
        <v>358</v>
      </c>
      <c r="F239" s="135">
        <f>+F241</f>
        <v>260000000</v>
      </c>
      <c r="G239" s="136">
        <f>+G240</f>
        <v>0</v>
      </c>
      <c r="H239" s="136">
        <f>+H240</f>
        <v>0</v>
      </c>
      <c r="I239" s="136">
        <f>+G239+H239</f>
        <v>0</v>
      </c>
      <c r="J239" s="136">
        <f>+J240</f>
        <v>0</v>
      </c>
      <c r="K239" s="136">
        <f>+K240</f>
        <v>0</v>
      </c>
      <c r="L239" s="136">
        <f>+J239+K239</f>
        <v>0</v>
      </c>
      <c r="M239" s="136">
        <f t="shared" ref="M239" si="143">+I239+L239</f>
        <v>0</v>
      </c>
      <c r="N239" s="135">
        <f t="shared" ref="N239:N245" si="144">+F239-M239</f>
        <v>260000000</v>
      </c>
      <c r="P239" s="198"/>
      <c r="R239" s="138"/>
      <c r="S239" s="287"/>
      <c r="T239" s="287"/>
      <c r="U239" s="248"/>
    </row>
    <row r="240" spans="1:21" s="121" customFormat="1" ht="18" customHeight="1" x14ac:dyDescent="0.25">
      <c r="A240" s="116">
        <v>11</v>
      </c>
      <c r="B240" s="117"/>
      <c r="C240" s="117" t="s">
        <v>119</v>
      </c>
      <c r="D240" s="118"/>
      <c r="E240" s="128" t="s">
        <v>120</v>
      </c>
      <c r="F240" s="119">
        <f>+F241</f>
        <v>260000000</v>
      </c>
      <c r="G240" s="120">
        <f>+G241</f>
        <v>0</v>
      </c>
      <c r="H240" s="120">
        <f>+H241</f>
        <v>0</v>
      </c>
      <c r="I240" s="120">
        <f>+G240+H240</f>
        <v>0</v>
      </c>
      <c r="J240" s="120">
        <f>+J241</f>
        <v>0</v>
      </c>
      <c r="K240" s="120">
        <f>+K241</f>
        <v>0</v>
      </c>
      <c r="L240" s="120">
        <f>+J240+K240</f>
        <v>0</v>
      </c>
      <c r="M240" s="120">
        <f>+I240+L240</f>
        <v>0</v>
      </c>
      <c r="N240" s="119">
        <f t="shared" si="144"/>
        <v>260000000</v>
      </c>
      <c r="P240" s="190"/>
      <c r="R240" s="122"/>
      <c r="S240" s="283"/>
      <c r="T240" s="283"/>
      <c r="U240" s="246"/>
    </row>
    <row r="241" spans="1:21" s="107" customFormat="1" ht="18" customHeight="1" x14ac:dyDescent="0.25">
      <c r="A241" s="101"/>
      <c r="B241" s="102"/>
      <c r="C241" s="102"/>
      <c r="D241" s="103" t="s">
        <v>267</v>
      </c>
      <c r="E241" s="104" t="s">
        <v>268</v>
      </c>
      <c r="F241" s="105">
        <f t="shared" ref="F241:H243" si="145">+F242</f>
        <v>260000000</v>
      </c>
      <c r="G241" s="106">
        <f>+G242</f>
        <v>0</v>
      </c>
      <c r="H241" s="106">
        <f t="shared" si="145"/>
        <v>0</v>
      </c>
      <c r="I241" s="106">
        <f t="shared" ref="I241:I245" si="146">+G241+H241</f>
        <v>0</v>
      </c>
      <c r="J241" s="106">
        <f>+J242</f>
        <v>0</v>
      </c>
      <c r="K241" s="106">
        <f t="shared" ref="K241:K243" si="147">+K242</f>
        <v>0</v>
      </c>
      <c r="L241" s="106">
        <f t="shared" ref="L241:L244" si="148">+J241+K241</f>
        <v>0</v>
      </c>
      <c r="M241" s="106">
        <f t="shared" ref="M241:M244" si="149">+I241+L241</f>
        <v>0</v>
      </c>
      <c r="N241" s="105">
        <f t="shared" si="144"/>
        <v>260000000</v>
      </c>
      <c r="P241" s="191"/>
      <c r="R241" s="108"/>
      <c r="S241" s="284"/>
      <c r="T241" s="284"/>
      <c r="U241" s="241"/>
    </row>
    <row r="242" spans="1:21" s="49" customFormat="1" ht="18" customHeight="1" x14ac:dyDescent="0.25">
      <c r="A242" s="44"/>
      <c r="B242" s="82"/>
      <c r="C242" s="44"/>
      <c r="D242" s="45" t="s">
        <v>78</v>
      </c>
      <c r="E242" s="45" t="s">
        <v>75</v>
      </c>
      <c r="F242" s="47">
        <f t="shared" si="145"/>
        <v>260000000</v>
      </c>
      <c r="G242" s="70">
        <f>+G243</f>
        <v>0</v>
      </c>
      <c r="H242" s="70">
        <f t="shared" si="145"/>
        <v>0</v>
      </c>
      <c r="I242" s="70">
        <f t="shared" si="146"/>
        <v>0</v>
      </c>
      <c r="J242" s="70">
        <f>+J243</f>
        <v>0</v>
      </c>
      <c r="K242" s="70">
        <f t="shared" si="147"/>
        <v>0</v>
      </c>
      <c r="L242" s="70">
        <f t="shared" si="148"/>
        <v>0</v>
      </c>
      <c r="M242" s="70">
        <f t="shared" si="149"/>
        <v>0</v>
      </c>
      <c r="N242" s="47">
        <f t="shared" si="144"/>
        <v>260000000</v>
      </c>
      <c r="P242" s="192"/>
      <c r="S242" s="282"/>
      <c r="T242" s="282"/>
      <c r="U242" s="242"/>
    </row>
    <row r="243" spans="1:21" s="55" customFormat="1" ht="18" customHeight="1" x14ac:dyDescent="0.25">
      <c r="A243" s="50"/>
      <c r="B243" s="51"/>
      <c r="C243" s="50"/>
      <c r="D243" s="71" t="s">
        <v>277</v>
      </c>
      <c r="E243" s="51" t="s">
        <v>278</v>
      </c>
      <c r="F243" s="53">
        <f t="shared" si="145"/>
        <v>260000000</v>
      </c>
      <c r="G243" s="72">
        <f>+G244</f>
        <v>0</v>
      </c>
      <c r="H243" s="72">
        <f t="shared" si="145"/>
        <v>0</v>
      </c>
      <c r="I243" s="72">
        <f t="shared" si="146"/>
        <v>0</v>
      </c>
      <c r="J243" s="72">
        <f>+J244</f>
        <v>0</v>
      </c>
      <c r="K243" s="72">
        <f t="shared" si="147"/>
        <v>0</v>
      </c>
      <c r="L243" s="72">
        <f t="shared" si="148"/>
        <v>0</v>
      </c>
      <c r="M243" s="72">
        <f t="shared" si="149"/>
        <v>0</v>
      </c>
      <c r="N243" s="53">
        <f t="shared" si="144"/>
        <v>260000000</v>
      </c>
      <c r="P243" s="195"/>
      <c r="S243" s="282"/>
      <c r="T243" s="282"/>
      <c r="U243" s="243"/>
    </row>
    <row r="244" spans="1:21" s="49" customFormat="1" ht="18" customHeight="1" x14ac:dyDescent="0.25">
      <c r="A244" s="56"/>
      <c r="B244" s="84"/>
      <c r="C244" s="56"/>
      <c r="D244" s="57" t="s">
        <v>121</v>
      </c>
      <c r="E244" s="57" t="s">
        <v>123</v>
      </c>
      <c r="F244" s="58">
        <f>F245</f>
        <v>260000000</v>
      </c>
      <c r="G244" s="59">
        <f>+G245</f>
        <v>0</v>
      </c>
      <c r="H244" s="59">
        <f>+H245</f>
        <v>0</v>
      </c>
      <c r="I244" s="59">
        <f t="shared" si="146"/>
        <v>0</v>
      </c>
      <c r="J244" s="59">
        <f>+J245</f>
        <v>0</v>
      </c>
      <c r="K244" s="59">
        <f>+K245</f>
        <v>0</v>
      </c>
      <c r="L244" s="59">
        <f t="shared" si="148"/>
        <v>0</v>
      </c>
      <c r="M244" s="59">
        <f t="shared" si="149"/>
        <v>0</v>
      </c>
      <c r="N244" s="58">
        <f t="shared" si="144"/>
        <v>260000000</v>
      </c>
      <c r="P244" s="192"/>
      <c r="S244" s="282"/>
      <c r="T244" s="282"/>
      <c r="U244" s="242"/>
    </row>
    <row r="245" spans="1:21" s="49" customFormat="1" ht="18" customHeight="1" x14ac:dyDescent="0.25">
      <c r="A245" s="61"/>
      <c r="B245" s="66"/>
      <c r="C245" s="61"/>
      <c r="D245" s="62" t="s">
        <v>122</v>
      </c>
      <c r="E245" s="62" t="s">
        <v>124</v>
      </c>
      <c r="F245" s="63">
        <v>260000000</v>
      </c>
      <c r="G245" s="75"/>
      <c r="H245" s="75"/>
      <c r="I245" s="75">
        <f t="shared" si="146"/>
        <v>0</v>
      </c>
      <c r="J245" s="75"/>
      <c r="K245" s="75"/>
      <c r="L245" s="75"/>
      <c r="M245" s="75">
        <f>+I245+L245</f>
        <v>0</v>
      </c>
      <c r="N245" s="63">
        <f t="shared" si="144"/>
        <v>260000000</v>
      </c>
      <c r="P245" s="192"/>
      <c r="S245" s="282"/>
      <c r="T245" s="282"/>
      <c r="U245" s="242"/>
    </row>
    <row r="246" spans="1:21" s="134" customFormat="1" ht="18" customHeight="1" x14ac:dyDescent="0.25">
      <c r="A246" s="129"/>
      <c r="B246" s="131"/>
      <c r="C246" s="131"/>
      <c r="D246" s="131"/>
      <c r="E246" s="131"/>
      <c r="F246" s="132"/>
      <c r="G246" s="133"/>
      <c r="H246" s="133"/>
      <c r="I246" s="133"/>
      <c r="J246" s="133"/>
      <c r="K246" s="133"/>
      <c r="L246" s="133"/>
      <c r="M246" s="133"/>
      <c r="N246" s="132"/>
      <c r="P246" s="197"/>
      <c r="S246" s="286"/>
      <c r="T246" s="286"/>
      <c r="U246" s="247"/>
    </row>
    <row r="247" spans="1:21" s="137" customFormat="1" ht="16.5" customHeight="1" x14ac:dyDescent="0.25">
      <c r="A247" s="109"/>
      <c r="B247" s="110" t="s">
        <v>359</v>
      </c>
      <c r="C247" s="110"/>
      <c r="D247" s="110"/>
      <c r="E247" s="110" t="s">
        <v>360</v>
      </c>
      <c r="F247" s="135">
        <f>+F248+F256+F269+F278</f>
        <v>39780847375</v>
      </c>
      <c r="G247" s="136">
        <f>+G248+G256+G269+G278</f>
        <v>6118421408</v>
      </c>
      <c r="H247" s="136">
        <f>+H248+H256+H269+H278</f>
        <v>3351475870</v>
      </c>
      <c r="I247" s="136">
        <f>+G247+H247</f>
        <v>9469897278</v>
      </c>
      <c r="J247" s="136">
        <f>+J248+J256+J269+J278</f>
        <v>207228889</v>
      </c>
      <c r="K247" s="136">
        <f>+K248+K256+K269+K278</f>
        <v>121492481</v>
      </c>
      <c r="L247" s="136">
        <f>+J247+K247</f>
        <v>328721370</v>
      </c>
      <c r="M247" s="113">
        <f t="shared" ref="M247" si="150">+I247+L247</f>
        <v>9798618648</v>
      </c>
      <c r="N247" s="135">
        <f t="shared" ref="N247:N255" si="151">+F247-M247</f>
        <v>29982228727</v>
      </c>
      <c r="P247" s="198"/>
      <c r="R247" s="138"/>
      <c r="S247" s="287"/>
      <c r="T247" s="287"/>
      <c r="U247" s="248"/>
    </row>
    <row r="248" spans="1:21" s="121" customFormat="1" ht="18" customHeight="1" x14ac:dyDescent="0.25">
      <c r="A248" s="116">
        <v>12</v>
      </c>
      <c r="B248" s="117"/>
      <c r="C248" s="117" t="s">
        <v>125</v>
      </c>
      <c r="D248" s="118"/>
      <c r="E248" s="128" t="s">
        <v>34</v>
      </c>
      <c r="F248" s="119">
        <f>+F249</f>
        <v>219414700</v>
      </c>
      <c r="G248" s="120">
        <f>+G249</f>
        <v>0</v>
      </c>
      <c r="H248" s="120">
        <f>+H249</f>
        <v>149879620</v>
      </c>
      <c r="I248" s="120">
        <f>+G248+H248</f>
        <v>149879620</v>
      </c>
      <c r="J248" s="120">
        <f>+J249</f>
        <v>2400000</v>
      </c>
      <c r="K248" s="120">
        <f>+K249</f>
        <v>7338375</v>
      </c>
      <c r="L248" s="120">
        <f>+J248+K248</f>
        <v>9738375</v>
      </c>
      <c r="M248" s="120">
        <f>+I248+L248</f>
        <v>159617995</v>
      </c>
      <c r="N248" s="119">
        <f t="shared" si="151"/>
        <v>59796705</v>
      </c>
      <c r="P248" s="190"/>
      <c r="R248" s="122"/>
      <c r="S248" s="283"/>
      <c r="T248" s="283"/>
      <c r="U248" s="246"/>
    </row>
    <row r="249" spans="1:21" s="107" customFormat="1" ht="18" customHeight="1" x14ac:dyDescent="0.25">
      <c r="A249" s="101"/>
      <c r="B249" s="102"/>
      <c r="C249" s="141"/>
      <c r="D249" s="103" t="s">
        <v>207</v>
      </c>
      <c r="E249" s="104" t="s">
        <v>262</v>
      </c>
      <c r="F249" s="105">
        <f t="shared" ref="F249:H251" si="152">+F250</f>
        <v>219414700</v>
      </c>
      <c r="G249" s="106">
        <f>+G250</f>
        <v>0</v>
      </c>
      <c r="H249" s="106">
        <f t="shared" si="152"/>
        <v>149879620</v>
      </c>
      <c r="I249" s="106">
        <f t="shared" ref="I249:I253" si="153">+G249+H249</f>
        <v>149879620</v>
      </c>
      <c r="J249" s="106">
        <f t="shared" ref="J249:K251" si="154">+J250</f>
        <v>2400000</v>
      </c>
      <c r="K249" s="106">
        <f t="shared" si="154"/>
        <v>7338375</v>
      </c>
      <c r="L249" s="106">
        <f t="shared" ref="L249:L251" si="155">+J249+K249</f>
        <v>9738375</v>
      </c>
      <c r="M249" s="106">
        <f t="shared" ref="M249:M252" si="156">+I249+L249</f>
        <v>159617995</v>
      </c>
      <c r="N249" s="105">
        <f t="shared" si="151"/>
        <v>59796705</v>
      </c>
      <c r="P249" s="191"/>
      <c r="R249" s="108"/>
      <c r="S249" s="284"/>
      <c r="T249" s="284"/>
      <c r="U249" s="241"/>
    </row>
    <row r="250" spans="1:21" s="49" customFormat="1" ht="18" customHeight="1" x14ac:dyDescent="0.25">
      <c r="A250" s="44"/>
      <c r="B250" s="82"/>
      <c r="C250" s="44"/>
      <c r="D250" s="45" t="s">
        <v>63</v>
      </c>
      <c r="E250" s="45" t="s">
        <v>30</v>
      </c>
      <c r="F250" s="47">
        <f t="shared" si="152"/>
        <v>219414700</v>
      </c>
      <c r="G250" s="70">
        <f>+G251</f>
        <v>0</v>
      </c>
      <c r="H250" s="70">
        <f t="shared" si="152"/>
        <v>149879620</v>
      </c>
      <c r="I250" s="70">
        <f t="shared" si="153"/>
        <v>149879620</v>
      </c>
      <c r="J250" s="70">
        <f t="shared" si="154"/>
        <v>2400000</v>
      </c>
      <c r="K250" s="70">
        <f t="shared" si="154"/>
        <v>7338375</v>
      </c>
      <c r="L250" s="70">
        <f t="shared" si="155"/>
        <v>9738375</v>
      </c>
      <c r="M250" s="70">
        <f t="shared" si="156"/>
        <v>159617995</v>
      </c>
      <c r="N250" s="47">
        <f t="shared" si="151"/>
        <v>59796705</v>
      </c>
      <c r="P250" s="192"/>
      <c r="S250" s="282"/>
      <c r="T250" s="282"/>
      <c r="U250" s="242"/>
    </row>
    <row r="251" spans="1:21" s="55" customFormat="1" ht="18" customHeight="1" x14ac:dyDescent="0.25">
      <c r="A251" s="50"/>
      <c r="B251" s="51"/>
      <c r="C251" s="50"/>
      <c r="D251" s="71" t="s">
        <v>263</v>
      </c>
      <c r="E251" s="51" t="s">
        <v>264</v>
      </c>
      <c r="F251" s="53">
        <f t="shared" si="152"/>
        <v>219414700</v>
      </c>
      <c r="G251" s="72">
        <f>+G252</f>
        <v>0</v>
      </c>
      <c r="H251" s="72">
        <f t="shared" si="152"/>
        <v>149879620</v>
      </c>
      <c r="I251" s="72">
        <f t="shared" si="153"/>
        <v>149879620</v>
      </c>
      <c r="J251" s="72">
        <f t="shared" si="154"/>
        <v>2400000</v>
      </c>
      <c r="K251" s="72">
        <f t="shared" si="154"/>
        <v>7338375</v>
      </c>
      <c r="L251" s="72">
        <f t="shared" si="155"/>
        <v>9738375</v>
      </c>
      <c r="M251" s="72">
        <f t="shared" si="156"/>
        <v>159617995</v>
      </c>
      <c r="N251" s="53">
        <f t="shared" si="151"/>
        <v>59796705</v>
      </c>
      <c r="P251" s="195"/>
      <c r="S251" s="282"/>
      <c r="T251" s="282"/>
      <c r="U251" s="243"/>
    </row>
    <row r="252" spans="1:21" s="49" customFormat="1" ht="18" customHeight="1" x14ac:dyDescent="0.25">
      <c r="A252" s="56"/>
      <c r="B252" s="84"/>
      <c r="C252" s="56"/>
      <c r="D252" s="57" t="s">
        <v>64</v>
      </c>
      <c r="E252" s="57" t="s">
        <v>65</v>
      </c>
      <c r="F252" s="58">
        <f>SUM(F253:F255)</f>
        <v>219414700</v>
      </c>
      <c r="G252" s="59">
        <f>SUM(G253:G255)</f>
        <v>0</v>
      </c>
      <c r="H252" s="59">
        <f>SUM(H253:H255)</f>
        <v>149879620</v>
      </c>
      <c r="I252" s="59">
        <f t="shared" si="153"/>
        <v>149879620</v>
      </c>
      <c r="J252" s="59">
        <f>SUM(J253:J255)</f>
        <v>2400000</v>
      </c>
      <c r="K252" s="59">
        <f>SUM(K253:K255)</f>
        <v>7338375</v>
      </c>
      <c r="L252" s="59">
        <f>+J252+K252</f>
        <v>9738375</v>
      </c>
      <c r="M252" s="59">
        <f t="shared" si="156"/>
        <v>159617995</v>
      </c>
      <c r="N252" s="58">
        <f t="shared" si="151"/>
        <v>59796705</v>
      </c>
      <c r="P252" s="192"/>
      <c r="S252" s="282"/>
      <c r="T252" s="282"/>
      <c r="U252" s="242"/>
    </row>
    <row r="253" spans="1:21" s="65" customFormat="1" ht="18" customHeight="1" x14ac:dyDescent="0.25">
      <c r="A253" s="61"/>
      <c r="B253" s="66"/>
      <c r="C253" s="61"/>
      <c r="D253" s="62" t="s">
        <v>337</v>
      </c>
      <c r="E253" s="62" t="s">
        <v>338</v>
      </c>
      <c r="F253" s="63">
        <v>875000</v>
      </c>
      <c r="G253" s="75"/>
      <c r="H253" s="75"/>
      <c r="I253" s="75">
        <f t="shared" si="153"/>
        <v>0</v>
      </c>
      <c r="J253" s="75"/>
      <c r="K253" s="75"/>
      <c r="L253" s="75">
        <f>+J253+K253</f>
        <v>0</v>
      </c>
      <c r="M253" s="75">
        <f>+I253+L253</f>
        <v>0</v>
      </c>
      <c r="N253" s="63">
        <f t="shared" si="151"/>
        <v>875000</v>
      </c>
      <c r="P253" s="194"/>
      <c r="S253" s="282"/>
      <c r="T253" s="282"/>
      <c r="U253" s="244"/>
    </row>
    <row r="254" spans="1:21" s="65" customFormat="1" ht="18" customHeight="1" x14ac:dyDescent="0.25">
      <c r="A254" s="61"/>
      <c r="B254" s="66"/>
      <c r="C254" s="61"/>
      <c r="D254" s="62" t="s">
        <v>68</v>
      </c>
      <c r="E254" s="62" t="s">
        <v>69</v>
      </c>
      <c r="F254" s="63">
        <v>182539700</v>
      </c>
      <c r="G254" s="75"/>
      <c r="H254" s="75">
        <v>149879620</v>
      </c>
      <c r="I254" s="75">
        <f>+G254+H254</f>
        <v>149879620</v>
      </c>
      <c r="J254" s="75"/>
      <c r="K254" s="75">
        <v>4938375</v>
      </c>
      <c r="L254" s="75">
        <f>+J254+K254</f>
        <v>4938375</v>
      </c>
      <c r="M254" s="75">
        <f>+I254+L254</f>
        <v>154817995</v>
      </c>
      <c r="N254" s="63">
        <f t="shared" si="151"/>
        <v>27721705</v>
      </c>
      <c r="P254" s="194"/>
      <c r="S254" s="281">
        <f>995625+973125+974250+995625+999750</f>
        <v>4938375</v>
      </c>
      <c r="T254" s="281">
        <v>149879620</v>
      </c>
      <c r="U254" s="244"/>
    </row>
    <row r="255" spans="1:21" s="127" customFormat="1" ht="18" customHeight="1" x14ac:dyDescent="0.25">
      <c r="A255" s="123"/>
      <c r="B255" s="143"/>
      <c r="C255" s="123"/>
      <c r="D255" s="124" t="s">
        <v>126</v>
      </c>
      <c r="E255" s="124" t="s">
        <v>127</v>
      </c>
      <c r="F255" s="125">
        <v>36000000</v>
      </c>
      <c r="G255" s="140">
        <v>0</v>
      </c>
      <c r="H255" s="140"/>
      <c r="I255" s="140">
        <f>+G255+H255</f>
        <v>0</v>
      </c>
      <c r="J255" s="140">
        <v>2400000</v>
      </c>
      <c r="K255" s="140">
        <v>2400000</v>
      </c>
      <c r="L255" s="140">
        <f>+J255+K255</f>
        <v>4800000</v>
      </c>
      <c r="M255" s="140">
        <f>+I255+L255</f>
        <v>4800000</v>
      </c>
      <c r="N255" s="125">
        <f t="shared" si="151"/>
        <v>31200000</v>
      </c>
      <c r="P255" s="196"/>
      <c r="S255" s="285">
        <f>600000+1800000</f>
        <v>2400000</v>
      </c>
      <c r="T255" s="286"/>
      <c r="U255" s="245"/>
    </row>
    <row r="256" spans="1:21" s="121" customFormat="1" ht="18" customHeight="1" x14ac:dyDescent="0.25">
      <c r="A256" s="116">
        <v>13</v>
      </c>
      <c r="B256" s="117"/>
      <c r="C256" s="117" t="s">
        <v>128</v>
      </c>
      <c r="D256" s="118"/>
      <c r="E256" s="128" t="s">
        <v>46</v>
      </c>
      <c r="F256" s="119">
        <f>+F257</f>
        <v>38400620000</v>
      </c>
      <c r="G256" s="120">
        <f>+G257</f>
        <v>6118421408</v>
      </c>
      <c r="H256" s="120">
        <f>+H257</f>
        <v>3047030520</v>
      </c>
      <c r="I256" s="120">
        <f>+G256+H256</f>
        <v>9165451928</v>
      </c>
      <c r="J256" s="120">
        <f>+J257</f>
        <v>48108889</v>
      </c>
      <c r="K256" s="120">
        <f>+K257</f>
        <v>27954106</v>
      </c>
      <c r="L256" s="120">
        <f>+J256+K256</f>
        <v>76062995</v>
      </c>
      <c r="M256" s="120">
        <f>+I256+L256</f>
        <v>9241514923</v>
      </c>
      <c r="N256" s="119">
        <f>+F256-M256</f>
        <v>29159105077</v>
      </c>
      <c r="P256" s="190"/>
      <c r="R256" s="122"/>
      <c r="S256" s="283"/>
      <c r="T256" s="283"/>
      <c r="U256" s="246"/>
    </row>
    <row r="257" spans="1:21" s="107" customFormat="1" ht="18" customHeight="1" x14ac:dyDescent="0.25">
      <c r="A257" s="101"/>
      <c r="B257" s="102"/>
      <c r="C257" s="141"/>
      <c r="D257" s="103" t="s">
        <v>207</v>
      </c>
      <c r="E257" s="104" t="s">
        <v>262</v>
      </c>
      <c r="F257" s="105">
        <f>+F258</f>
        <v>38400620000</v>
      </c>
      <c r="G257" s="106">
        <f>+G258</f>
        <v>6118421408</v>
      </c>
      <c r="H257" s="106">
        <f t="shared" ref="F257:H259" si="157">+H258</f>
        <v>3047030520</v>
      </c>
      <c r="I257" s="106">
        <f t="shared" ref="I257:I262" si="158">+G257+H257</f>
        <v>9165451928</v>
      </c>
      <c r="J257" s="106">
        <f t="shared" ref="J257:K259" si="159">+J258</f>
        <v>48108889</v>
      </c>
      <c r="K257" s="106">
        <f t="shared" si="159"/>
        <v>27954106</v>
      </c>
      <c r="L257" s="106">
        <f t="shared" ref="L257:L260" si="160">+J257+K257</f>
        <v>76062995</v>
      </c>
      <c r="M257" s="106">
        <f t="shared" ref="M257:M260" si="161">+I257+L257</f>
        <v>9241514923</v>
      </c>
      <c r="N257" s="105">
        <f>+F257-M257</f>
        <v>29159105077</v>
      </c>
      <c r="P257" s="191"/>
      <c r="R257" s="108"/>
      <c r="S257" s="284"/>
      <c r="T257" s="284"/>
      <c r="U257" s="241"/>
    </row>
    <row r="258" spans="1:21" s="49" customFormat="1" ht="18" customHeight="1" x14ac:dyDescent="0.25">
      <c r="A258" s="44"/>
      <c r="B258" s="82"/>
      <c r="C258" s="44"/>
      <c r="D258" s="45" t="s">
        <v>63</v>
      </c>
      <c r="E258" s="45" t="s">
        <v>30</v>
      </c>
      <c r="F258" s="47">
        <f>+F259+F262</f>
        <v>38400620000</v>
      </c>
      <c r="G258" s="70">
        <f>+G259+G262</f>
        <v>6118421408</v>
      </c>
      <c r="H258" s="70">
        <f>+H259+H262</f>
        <v>3047030520</v>
      </c>
      <c r="I258" s="70">
        <f t="shared" si="158"/>
        <v>9165451928</v>
      </c>
      <c r="J258" s="70">
        <f>+J259+J262</f>
        <v>48108889</v>
      </c>
      <c r="K258" s="70">
        <f>+K259+K262</f>
        <v>27954106</v>
      </c>
      <c r="L258" s="70">
        <f t="shared" si="160"/>
        <v>76062995</v>
      </c>
      <c r="M258" s="70">
        <f t="shared" si="161"/>
        <v>9241514923</v>
      </c>
      <c r="N258" s="47">
        <f>+F258-M258</f>
        <v>29159105077</v>
      </c>
      <c r="P258" s="192"/>
      <c r="S258" s="282"/>
      <c r="T258" s="282"/>
      <c r="U258" s="242"/>
    </row>
    <row r="259" spans="1:21" s="55" customFormat="1" ht="18" customHeight="1" x14ac:dyDescent="0.25">
      <c r="A259" s="50"/>
      <c r="B259" s="51"/>
      <c r="C259" s="50"/>
      <c r="D259" s="71" t="s">
        <v>263</v>
      </c>
      <c r="E259" s="51" t="s">
        <v>264</v>
      </c>
      <c r="F259" s="53">
        <f t="shared" si="157"/>
        <v>35000000</v>
      </c>
      <c r="G259" s="72">
        <f>+G260</f>
        <v>0</v>
      </c>
      <c r="H259" s="72">
        <f t="shared" si="157"/>
        <v>0</v>
      </c>
      <c r="I259" s="72">
        <f t="shared" si="158"/>
        <v>0</v>
      </c>
      <c r="J259" s="72">
        <f t="shared" si="159"/>
        <v>3000000</v>
      </c>
      <c r="K259" s="72">
        <f t="shared" si="159"/>
        <v>4269779</v>
      </c>
      <c r="L259" s="72">
        <f t="shared" si="160"/>
        <v>7269779</v>
      </c>
      <c r="M259" s="72">
        <f t="shared" si="161"/>
        <v>7269779</v>
      </c>
      <c r="N259" s="53">
        <f>+F259-M259</f>
        <v>27730221</v>
      </c>
      <c r="P259" s="195"/>
      <c r="S259" s="282"/>
      <c r="T259" s="282"/>
      <c r="U259" s="243"/>
    </row>
    <row r="260" spans="1:21" s="49" customFormat="1" ht="18" customHeight="1" x14ac:dyDescent="0.25">
      <c r="A260" s="56"/>
      <c r="B260" s="84"/>
      <c r="C260" s="56"/>
      <c r="D260" s="57" t="s">
        <v>64</v>
      </c>
      <c r="E260" s="57" t="s">
        <v>65</v>
      </c>
      <c r="F260" s="58">
        <f>+F261</f>
        <v>35000000</v>
      </c>
      <c r="G260" s="59">
        <f>+G261</f>
        <v>0</v>
      </c>
      <c r="H260" s="59">
        <f>+H261+H265</f>
        <v>0</v>
      </c>
      <c r="I260" s="59">
        <f t="shared" si="158"/>
        <v>0</v>
      </c>
      <c r="J260" s="59">
        <f>J261</f>
        <v>3000000</v>
      </c>
      <c r="K260" s="59">
        <f>+K261</f>
        <v>4269779</v>
      </c>
      <c r="L260" s="59">
        <f t="shared" si="160"/>
        <v>7269779</v>
      </c>
      <c r="M260" s="59">
        <f t="shared" si="161"/>
        <v>7269779</v>
      </c>
      <c r="N260" s="58">
        <f>+F260-M260</f>
        <v>27730221</v>
      </c>
      <c r="P260" s="192"/>
      <c r="S260" s="282"/>
      <c r="T260" s="282"/>
      <c r="U260" s="242"/>
    </row>
    <row r="261" spans="1:21" s="65" customFormat="1" ht="18" customHeight="1" x14ac:dyDescent="0.25">
      <c r="A261" s="61"/>
      <c r="B261" s="66"/>
      <c r="C261" s="61"/>
      <c r="D261" s="62" t="s">
        <v>129</v>
      </c>
      <c r="E261" s="62" t="s">
        <v>130</v>
      </c>
      <c r="F261" s="63">
        <v>35000000</v>
      </c>
      <c r="G261" s="75"/>
      <c r="H261" s="75"/>
      <c r="I261" s="75">
        <f t="shared" si="158"/>
        <v>0</v>
      </c>
      <c r="J261" s="75">
        <v>3000000</v>
      </c>
      <c r="K261" s="75">
        <v>4269779</v>
      </c>
      <c r="L261" s="75">
        <f>+J261+K261</f>
        <v>7269779</v>
      </c>
      <c r="M261" s="75">
        <f>+I261+L261</f>
        <v>7269779</v>
      </c>
      <c r="N261" s="63">
        <f t="shared" ref="N261" si="162">+F261-M261</f>
        <v>27730221</v>
      </c>
      <c r="P261" s="194"/>
      <c r="S261" s="281">
        <f>229799+2039980+2000000</f>
        <v>4269779</v>
      </c>
      <c r="T261" s="282"/>
      <c r="U261" s="244"/>
    </row>
    <row r="262" spans="1:21" s="55" customFormat="1" ht="18" customHeight="1" x14ac:dyDescent="0.25">
      <c r="A262" s="50"/>
      <c r="B262" s="51"/>
      <c r="C262" s="50"/>
      <c r="D262" s="71" t="s">
        <v>271</v>
      </c>
      <c r="E262" s="51" t="s">
        <v>272</v>
      </c>
      <c r="F262" s="53">
        <f t="shared" ref="F262:H262" si="163">+F263</f>
        <v>38365620000</v>
      </c>
      <c r="G262" s="72">
        <f>+G263</f>
        <v>6118421408</v>
      </c>
      <c r="H262" s="72">
        <f t="shared" si="163"/>
        <v>3047030520</v>
      </c>
      <c r="I262" s="72">
        <f t="shared" si="158"/>
        <v>9165451928</v>
      </c>
      <c r="J262" s="72">
        <f>+J263</f>
        <v>45108889</v>
      </c>
      <c r="K262" s="72">
        <f t="shared" ref="K262" si="164">+K263</f>
        <v>23684327</v>
      </c>
      <c r="L262" s="72">
        <f t="shared" ref="L262" si="165">+J262+K262</f>
        <v>68793216</v>
      </c>
      <c r="M262" s="72">
        <f t="shared" ref="M262:M263" si="166">+I262+L262</f>
        <v>9234245144</v>
      </c>
      <c r="N262" s="53">
        <f>+F262-M262</f>
        <v>29131374856</v>
      </c>
      <c r="P262" s="195"/>
      <c r="S262" s="282"/>
      <c r="T262" s="282"/>
      <c r="U262" s="243"/>
    </row>
    <row r="263" spans="1:21" s="49" customFormat="1" ht="18" customHeight="1" x14ac:dyDescent="0.25">
      <c r="A263" s="56"/>
      <c r="B263" s="84"/>
      <c r="C263" s="56"/>
      <c r="D263" s="57" t="s">
        <v>81</v>
      </c>
      <c r="E263" s="57" t="s">
        <v>31</v>
      </c>
      <c r="F263" s="58">
        <f>SUM(F264:F268)</f>
        <v>38365620000</v>
      </c>
      <c r="G263" s="59">
        <f>SUM(G264:G268)</f>
        <v>6118421408</v>
      </c>
      <c r="H263" s="59">
        <f>SUM(H264:H268)</f>
        <v>3047030520</v>
      </c>
      <c r="I263" s="59">
        <f>+G263+H263</f>
        <v>9165451928</v>
      </c>
      <c r="J263" s="59">
        <f>SUM(J264:J268)</f>
        <v>45108889</v>
      </c>
      <c r="K263" s="59">
        <f>SUM(K264:K268)</f>
        <v>23684327</v>
      </c>
      <c r="L263" s="59">
        <f>+J263+K263</f>
        <v>68793216</v>
      </c>
      <c r="M263" s="59">
        <f t="shared" si="166"/>
        <v>9234245144</v>
      </c>
      <c r="N263" s="58">
        <f>+F263-M263</f>
        <v>29131374856</v>
      </c>
      <c r="P263" s="192"/>
      <c r="S263" s="282"/>
      <c r="T263" s="282"/>
      <c r="U263" s="242"/>
    </row>
    <row r="264" spans="1:21" s="65" customFormat="1" ht="18" customHeight="1" x14ac:dyDescent="0.25">
      <c r="A264" s="61"/>
      <c r="B264" s="66"/>
      <c r="C264" s="61"/>
      <c r="D264" s="62" t="s">
        <v>131</v>
      </c>
      <c r="E264" s="62" t="s">
        <v>132</v>
      </c>
      <c r="F264" s="63">
        <v>16800000</v>
      </c>
      <c r="G264" s="75"/>
      <c r="H264" s="75"/>
      <c r="I264" s="75">
        <f t="shared" ref="I264:I268" si="167">+G264+H264</f>
        <v>0</v>
      </c>
      <c r="J264" s="75">
        <v>144552</v>
      </c>
      <c r="K264" s="75">
        <v>369835</v>
      </c>
      <c r="L264" s="75">
        <f>+J264+K264</f>
        <v>514387</v>
      </c>
      <c r="M264" s="75">
        <f>+I264+L264</f>
        <v>514387</v>
      </c>
      <c r="N264" s="63">
        <f t="shared" ref="N264:N268" si="168">+F264-M264</f>
        <v>16285613</v>
      </c>
      <c r="P264" s="194"/>
      <c r="S264" s="281">
        <f>122485+178636+68714</f>
        <v>369835</v>
      </c>
      <c r="T264" s="282"/>
      <c r="U264" s="244"/>
    </row>
    <row r="265" spans="1:21" s="65" customFormat="1" ht="18" customHeight="1" x14ac:dyDescent="0.25">
      <c r="A265" s="61"/>
      <c r="B265" s="66"/>
      <c r="C265" s="61"/>
      <c r="D265" s="62" t="s">
        <v>133</v>
      </c>
      <c r="E265" s="62" t="s">
        <v>134</v>
      </c>
      <c r="F265" s="63">
        <v>42000000</v>
      </c>
      <c r="G265" s="75">
        <v>0</v>
      </c>
      <c r="H265" s="75"/>
      <c r="I265" s="75">
        <f t="shared" si="167"/>
        <v>0</v>
      </c>
      <c r="J265" s="75">
        <v>4739800</v>
      </c>
      <c r="K265" s="75">
        <f>2464400</f>
        <v>2464400</v>
      </c>
      <c r="L265" s="75">
        <f>+J265+K265</f>
        <v>7204200</v>
      </c>
      <c r="M265" s="75">
        <f>+I265+L265</f>
        <v>7204200</v>
      </c>
      <c r="N265" s="63">
        <f t="shared" si="168"/>
        <v>34795800</v>
      </c>
      <c r="P265" s="194"/>
      <c r="S265" s="281">
        <v>2464400</v>
      </c>
      <c r="T265" s="282"/>
      <c r="U265" s="244"/>
    </row>
    <row r="266" spans="1:21" s="65" customFormat="1" ht="18" customHeight="1" x14ac:dyDescent="0.25">
      <c r="A266" s="61"/>
      <c r="B266" s="66"/>
      <c r="C266" s="61"/>
      <c r="D266" s="62" t="s">
        <v>135</v>
      </c>
      <c r="E266" s="62" t="s">
        <v>136</v>
      </c>
      <c r="F266" s="63">
        <v>37992800000</v>
      </c>
      <c r="G266" s="75">
        <v>6118421408</v>
      </c>
      <c r="H266" s="75">
        <f>29630768+3017399752</f>
        <v>3047030520</v>
      </c>
      <c r="I266" s="75">
        <f t="shared" si="167"/>
        <v>9165451928</v>
      </c>
      <c r="J266" s="75">
        <v>0</v>
      </c>
      <c r="K266" s="75">
        <v>64183</v>
      </c>
      <c r="L266" s="75">
        <f>+J266+K266</f>
        <v>64183</v>
      </c>
      <c r="M266" s="75">
        <f>+I266+L266</f>
        <v>9165516111</v>
      </c>
      <c r="N266" s="63">
        <f t="shared" si="168"/>
        <v>28827283889</v>
      </c>
      <c r="P266" s="194"/>
      <c r="S266" s="281">
        <f>64183</f>
        <v>64183</v>
      </c>
      <c r="T266" s="281">
        <f>29630768+3017399752</f>
        <v>3047030520</v>
      </c>
      <c r="U266" s="244"/>
    </row>
    <row r="267" spans="1:21" s="65" customFormat="1" ht="18" customHeight="1" x14ac:dyDescent="0.25">
      <c r="A267" s="61"/>
      <c r="B267" s="66"/>
      <c r="C267" s="61"/>
      <c r="D267" s="62" t="s">
        <v>137</v>
      </c>
      <c r="E267" s="62" t="s">
        <v>138</v>
      </c>
      <c r="F267" s="63">
        <v>12820000</v>
      </c>
      <c r="G267" s="75"/>
      <c r="H267" s="75"/>
      <c r="I267" s="75">
        <f t="shared" si="167"/>
        <v>0</v>
      </c>
      <c r="J267" s="75">
        <v>460000</v>
      </c>
      <c r="K267" s="75">
        <f>230000+600000</f>
        <v>830000</v>
      </c>
      <c r="L267" s="75">
        <f t="shared" ref="L267:L272" si="169">+J267+K267</f>
        <v>1290000</v>
      </c>
      <c r="M267" s="75">
        <f t="shared" ref="M267:M268" si="170">+I267+L267</f>
        <v>1290000</v>
      </c>
      <c r="N267" s="63">
        <f t="shared" si="168"/>
        <v>11530000</v>
      </c>
      <c r="P267" s="194"/>
      <c r="S267" s="281">
        <f>600000+230000</f>
        <v>830000</v>
      </c>
      <c r="T267" s="282"/>
      <c r="U267" s="244"/>
    </row>
    <row r="268" spans="1:21" s="65" customFormat="1" ht="18" customHeight="1" x14ac:dyDescent="0.25">
      <c r="A268" s="61"/>
      <c r="B268" s="66"/>
      <c r="C268" s="61"/>
      <c r="D268" s="62" t="s">
        <v>139</v>
      </c>
      <c r="E268" s="62" t="s">
        <v>140</v>
      </c>
      <c r="F268" s="63">
        <v>301200000</v>
      </c>
      <c r="G268" s="75"/>
      <c r="H268" s="75"/>
      <c r="I268" s="75">
        <f t="shared" si="167"/>
        <v>0</v>
      </c>
      <c r="J268" s="75">
        <v>39764537</v>
      </c>
      <c r="K268" s="75">
        <f>105909+19850000</f>
        <v>19955909</v>
      </c>
      <c r="L268" s="75">
        <f t="shared" si="169"/>
        <v>59720446</v>
      </c>
      <c r="M268" s="75">
        <f t="shared" si="170"/>
        <v>59720446</v>
      </c>
      <c r="N268" s="63">
        <f t="shared" si="168"/>
        <v>241479554</v>
      </c>
      <c r="P268" s="194"/>
      <c r="S268" s="281">
        <f>19850000+105909</f>
        <v>19955909</v>
      </c>
      <c r="T268" s="282"/>
      <c r="U268" s="244"/>
    </row>
    <row r="269" spans="1:21" s="121" customFormat="1" ht="18" customHeight="1" x14ac:dyDescent="0.25">
      <c r="A269" s="116">
        <v>14</v>
      </c>
      <c r="B269" s="117"/>
      <c r="C269" s="117" t="s">
        <v>141</v>
      </c>
      <c r="D269" s="118"/>
      <c r="E269" s="128" t="s">
        <v>142</v>
      </c>
      <c r="F269" s="119">
        <f>+F270</f>
        <v>100000000</v>
      </c>
      <c r="G269" s="120">
        <f>+G270</f>
        <v>0</v>
      </c>
      <c r="H269" s="120">
        <f>+H270</f>
        <v>99545055</v>
      </c>
      <c r="I269" s="120">
        <f>+G269+H269</f>
        <v>99545055</v>
      </c>
      <c r="J269" s="120">
        <f>+J270</f>
        <v>0</v>
      </c>
      <c r="K269" s="120">
        <f>+K270</f>
        <v>0</v>
      </c>
      <c r="L269" s="120">
        <f t="shared" si="169"/>
        <v>0</v>
      </c>
      <c r="M269" s="120">
        <f>+I269+L269</f>
        <v>99545055</v>
      </c>
      <c r="N269" s="119">
        <f>+F269-M269</f>
        <v>454945</v>
      </c>
      <c r="P269" s="190"/>
      <c r="R269" s="122"/>
      <c r="S269" s="283"/>
      <c r="T269" s="283"/>
      <c r="U269" s="246"/>
    </row>
    <row r="270" spans="1:21" s="107" customFormat="1" ht="16.5" customHeight="1" x14ac:dyDescent="0.25">
      <c r="A270" s="101"/>
      <c r="B270" s="102"/>
      <c r="C270" s="102"/>
      <c r="D270" s="103" t="s">
        <v>207</v>
      </c>
      <c r="E270" s="104" t="s">
        <v>262</v>
      </c>
      <c r="F270" s="105">
        <f>+F271</f>
        <v>100000000</v>
      </c>
      <c r="G270" s="106">
        <f>+G271</f>
        <v>0</v>
      </c>
      <c r="H270" s="106">
        <f t="shared" ref="F270:H272" si="171">+H271</f>
        <v>99545055</v>
      </c>
      <c r="I270" s="106">
        <f t="shared" ref="I270:I276" si="172">+G270+H270</f>
        <v>99545055</v>
      </c>
      <c r="J270" s="106">
        <f t="shared" ref="J270:J272" si="173">+J271</f>
        <v>0</v>
      </c>
      <c r="K270" s="106">
        <f>+K271</f>
        <v>0</v>
      </c>
      <c r="L270" s="106">
        <f t="shared" si="169"/>
        <v>0</v>
      </c>
      <c r="M270" s="106">
        <f t="shared" ref="M270:M273" si="174">+I270+L270</f>
        <v>99545055</v>
      </c>
      <c r="N270" s="105">
        <f>+F270-M270</f>
        <v>454945</v>
      </c>
      <c r="P270" s="191"/>
      <c r="R270" s="108"/>
      <c r="S270" s="284"/>
      <c r="T270" s="284"/>
      <c r="U270" s="241"/>
    </row>
    <row r="271" spans="1:21" s="49" customFormat="1" ht="16.5" customHeight="1" x14ac:dyDescent="0.25">
      <c r="A271" s="44"/>
      <c r="B271" s="82"/>
      <c r="C271" s="44"/>
      <c r="D271" s="45" t="s">
        <v>63</v>
      </c>
      <c r="E271" s="45" t="s">
        <v>30</v>
      </c>
      <c r="F271" s="47">
        <f>F272</f>
        <v>100000000</v>
      </c>
      <c r="G271" s="70">
        <f>+G272</f>
        <v>0</v>
      </c>
      <c r="H271" s="70">
        <f t="shared" si="171"/>
        <v>99545055</v>
      </c>
      <c r="I271" s="70">
        <f t="shared" si="172"/>
        <v>99545055</v>
      </c>
      <c r="J271" s="70">
        <f t="shared" si="173"/>
        <v>0</v>
      </c>
      <c r="K271" s="70">
        <f>+K272</f>
        <v>0</v>
      </c>
      <c r="L271" s="70">
        <f t="shared" si="169"/>
        <v>0</v>
      </c>
      <c r="M271" s="70">
        <f t="shared" si="174"/>
        <v>99545055</v>
      </c>
      <c r="N271" s="47">
        <f>+F271-M271</f>
        <v>454945</v>
      </c>
      <c r="P271" s="192"/>
      <c r="S271" s="282"/>
      <c r="T271" s="282"/>
      <c r="U271" s="242"/>
    </row>
    <row r="272" spans="1:21" s="55" customFormat="1" ht="16.5" customHeight="1" x14ac:dyDescent="0.25">
      <c r="A272" s="50"/>
      <c r="B272" s="51"/>
      <c r="C272" s="50"/>
      <c r="D272" s="71" t="s">
        <v>263</v>
      </c>
      <c r="E272" s="51" t="s">
        <v>264</v>
      </c>
      <c r="F272" s="53">
        <f t="shared" si="171"/>
        <v>100000000</v>
      </c>
      <c r="G272" s="72">
        <f>+G273</f>
        <v>0</v>
      </c>
      <c r="H272" s="72">
        <f t="shared" si="171"/>
        <v>99545055</v>
      </c>
      <c r="I272" s="72">
        <f t="shared" si="172"/>
        <v>99545055</v>
      </c>
      <c r="J272" s="72">
        <f t="shared" si="173"/>
        <v>0</v>
      </c>
      <c r="K272" s="72">
        <f>+K273</f>
        <v>0</v>
      </c>
      <c r="L272" s="72">
        <f t="shared" si="169"/>
        <v>0</v>
      </c>
      <c r="M272" s="72">
        <f t="shared" si="174"/>
        <v>99545055</v>
      </c>
      <c r="N272" s="53">
        <f>+F272-M272</f>
        <v>454945</v>
      </c>
      <c r="P272" s="195"/>
      <c r="S272" s="282"/>
      <c r="T272" s="282"/>
      <c r="U272" s="243"/>
    </row>
    <row r="273" spans="1:21" s="49" customFormat="1" ht="16.5" customHeight="1" x14ac:dyDescent="0.25">
      <c r="A273" s="56"/>
      <c r="B273" s="84"/>
      <c r="C273" s="56"/>
      <c r="D273" s="57" t="s">
        <v>64</v>
      </c>
      <c r="E273" s="57" t="s">
        <v>65</v>
      </c>
      <c r="F273" s="58">
        <f>SUM(F274:F277)</f>
        <v>100000000</v>
      </c>
      <c r="G273" s="59">
        <f>SUM(G274:G277)</f>
        <v>0</v>
      </c>
      <c r="H273" s="59">
        <f>SUM(H274:H277)</f>
        <v>99545055</v>
      </c>
      <c r="I273" s="59">
        <f>+G273+H273</f>
        <v>99545055</v>
      </c>
      <c r="J273" s="59">
        <f>SUM(J274:J277)</f>
        <v>0</v>
      </c>
      <c r="K273" s="59">
        <f>SUM(K274:K277)</f>
        <v>0</v>
      </c>
      <c r="L273" s="59">
        <f>+J273+K273</f>
        <v>0</v>
      </c>
      <c r="M273" s="59">
        <f t="shared" si="174"/>
        <v>99545055</v>
      </c>
      <c r="N273" s="58">
        <f>+F273-M273</f>
        <v>454945</v>
      </c>
      <c r="P273" s="192"/>
      <c r="S273" s="282"/>
      <c r="T273" s="282"/>
      <c r="U273" s="242"/>
    </row>
    <row r="274" spans="1:21" s="65" customFormat="1" ht="16.5" customHeight="1" x14ac:dyDescent="0.25">
      <c r="A274" s="61"/>
      <c r="B274" s="66"/>
      <c r="C274" s="61"/>
      <c r="D274" s="62" t="s">
        <v>66</v>
      </c>
      <c r="E274" s="62" t="s">
        <v>67</v>
      </c>
      <c r="F274" s="63">
        <v>57982150</v>
      </c>
      <c r="G274" s="75"/>
      <c r="H274" s="75">
        <f>57659915</f>
        <v>57659915</v>
      </c>
      <c r="I274" s="75">
        <f t="shared" si="172"/>
        <v>57659915</v>
      </c>
      <c r="J274" s="75"/>
      <c r="K274" s="75"/>
      <c r="L274" s="75">
        <f>+J274+K274</f>
        <v>0</v>
      </c>
      <c r="M274" s="75">
        <f>+I274+L274</f>
        <v>57659915</v>
      </c>
      <c r="N274" s="63">
        <f t="shared" ref="N274:N277" si="175">+F274-M274</f>
        <v>322235</v>
      </c>
      <c r="P274" s="194"/>
      <c r="S274" s="282"/>
      <c r="T274" s="281">
        <v>57659915</v>
      </c>
      <c r="U274" s="244"/>
    </row>
    <row r="275" spans="1:21" s="65" customFormat="1" ht="18" customHeight="1" x14ac:dyDescent="0.25">
      <c r="A275" s="61"/>
      <c r="B275" s="66"/>
      <c r="C275" s="61"/>
      <c r="D275" s="62" t="s">
        <v>337</v>
      </c>
      <c r="E275" s="62" t="s">
        <v>338</v>
      </c>
      <c r="F275" s="63">
        <v>29743300</v>
      </c>
      <c r="G275" s="75"/>
      <c r="H275" s="75">
        <v>29686975</v>
      </c>
      <c r="I275" s="75">
        <f t="shared" si="172"/>
        <v>29686975</v>
      </c>
      <c r="J275" s="75"/>
      <c r="K275" s="75"/>
      <c r="L275" s="75"/>
      <c r="M275" s="75">
        <f t="shared" ref="M275:M276" si="176">+I275+L275</f>
        <v>29686975</v>
      </c>
      <c r="N275" s="63">
        <f t="shared" si="175"/>
        <v>56325</v>
      </c>
      <c r="P275" s="194"/>
      <c r="S275" s="282"/>
      <c r="T275" s="281">
        <v>29686975</v>
      </c>
      <c r="U275" s="244"/>
    </row>
    <row r="276" spans="1:21" s="65" customFormat="1" ht="18" customHeight="1" x14ac:dyDescent="0.25">
      <c r="A276" s="61"/>
      <c r="B276" s="66"/>
      <c r="C276" s="61"/>
      <c r="D276" s="62" t="s">
        <v>339</v>
      </c>
      <c r="E276" s="62" t="s">
        <v>340</v>
      </c>
      <c r="F276" s="63">
        <v>8842500</v>
      </c>
      <c r="G276" s="75"/>
      <c r="H276" s="75">
        <v>8822700</v>
      </c>
      <c r="I276" s="75">
        <f t="shared" si="172"/>
        <v>8822700</v>
      </c>
      <c r="J276" s="75"/>
      <c r="K276" s="75"/>
      <c r="L276" s="75"/>
      <c r="M276" s="75">
        <f t="shared" si="176"/>
        <v>8822700</v>
      </c>
      <c r="N276" s="63">
        <f t="shared" si="175"/>
        <v>19800</v>
      </c>
      <c r="P276" s="194"/>
      <c r="S276" s="282"/>
      <c r="T276" s="281">
        <v>8822700</v>
      </c>
      <c r="U276" s="244"/>
    </row>
    <row r="277" spans="1:21" s="127" customFormat="1" ht="18" customHeight="1" x14ac:dyDescent="0.25">
      <c r="A277" s="123"/>
      <c r="B277" s="143"/>
      <c r="C277" s="123"/>
      <c r="D277" s="124" t="s">
        <v>361</v>
      </c>
      <c r="E277" s="124" t="s">
        <v>362</v>
      </c>
      <c r="F277" s="125">
        <v>3432050</v>
      </c>
      <c r="G277" s="140"/>
      <c r="H277" s="140">
        <v>3375465</v>
      </c>
      <c r="I277" s="140">
        <f>+G277+H277</f>
        <v>3375465</v>
      </c>
      <c r="J277" s="140"/>
      <c r="K277" s="140"/>
      <c r="L277" s="140">
        <f>+J277+K277</f>
        <v>0</v>
      </c>
      <c r="M277" s="140">
        <f>+I277+L277</f>
        <v>3375465</v>
      </c>
      <c r="N277" s="125">
        <f t="shared" si="175"/>
        <v>56585</v>
      </c>
      <c r="P277" s="196"/>
      <c r="S277" s="286"/>
      <c r="T277" s="285">
        <v>3375465</v>
      </c>
      <c r="U277" s="245"/>
    </row>
    <row r="278" spans="1:21" s="121" customFormat="1" ht="18" customHeight="1" x14ac:dyDescent="0.25">
      <c r="A278" s="154">
        <v>15</v>
      </c>
      <c r="B278" s="117"/>
      <c r="C278" s="117" t="s">
        <v>363</v>
      </c>
      <c r="D278" s="118"/>
      <c r="E278" s="128" t="s">
        <v>364</v>
      </c>
      <c r="F278" s="119">
        <f t="shared" ref="F278:H279" si="177">+F279</f>
        <v>1060812675</v>
      </c>
      <c r="G278" s="120">
        <f t="shared" si="177"/>
        <v>0</v>
      </c>
      <c r="H278" s="120">
        <f t="shared" si="177"/>
        <v>55020675</v>
      </c>
      <c r="I278" s="120">
        <f>+G278+H278</f>
        <v>55020675</v>
      </c>
      <c r="J278" s="120">
        <f>+J279</f>
        <v>156720000</v>
      </c>
      <c r="K278" s="120">
        <f>+K279</f>
        <v>86200000</v>
      </c>
      <c r="L278" s="120">
        <f>+J278+K278</f>
        <v>242920000</v>
      </c>
      <c r="M278" s="120">
        <f>+I278+L278</f>
        <v>297940675</v>
      </c>
      <c r="N278" s="119">
        <f>+F278-M278</f>
        <v>762872000</v>
      </c>
      <c r="P278" s="190"/>
      <c r="R278" s="122"/>
      <c r="S278" s="283"/>
      <c r="T278" s="283"/>
      <c r="U278" s="246"/>
    </row>
    <row r="279" spans="1:21" s="107" customFormat="1" ht="18" customHeight="1" x14ac:dyDescent="0.25">
      <c r="A279" s="101"/>
      <c r="B279" s="102"/>
      <c r="C279" s="102"/>
      <c r="D279" s="103" t="s">
        <v>207</v>
      </c>
      <c r="E279" s="104" t="s">
        <v>262</v>
      </c>
      <c r="F279" s="105">
        <f t="shared" si="177"/>
        <v>1060812675</v>
      </c>
      <c r="G279" s="106">
        <f t="shared" si="177"/>
        <v>0</v>
      </c>
      <c r="H279" s="106">
        <f t="shared" si="177"/>
        <v>55020675</v>
      </c>
      <c r="I279" s="106">
        <f t="shared" ref="I279:I283" si="178">+G279+H279</f>
        <v>55020675</v>
      </c>
      <c r="J279" s="106">
        <f>+J280</f>
        <v>156720000</v>
      </c>
      <c r="K279" s="106">
        <f>+K280</f>
        <v>86200000</v>
      </c>
      <c r="L279" s="106">
        <f t="shared" ref="L279:L281" si="179">+J279+K279</f>
        <v>242920000</v>
      </c>
      <c r="M279" s="106">
        <f t="shared" ref="M279:M282" si="180">+I279+L279</f>
        <v>297940675</v>
      </c>
      <c r="N279" s="105">
        <f>+F279-M279</f>
        <v>762872000</v>
      </c>
      <c r="P279" s="191"/>
      <c r="R279" s="108"/>
      <c r="S279" s="284"/>
      <c r="T279" s="284"/>
      <c r="U279" s="241"/>
    </row>
    <row r="280" spans="1:21" s="49" customFormat="1" ht="18" customHeight="1" x14ac:dyDescent="0.25">
      <c r="A280" s="44"/>
      <c r="B280" s="82"/>
      <c r="C280" s="44"/>
      <c r="D280" s="45" t="s">
        <v>63</v>
      </c>
      <c r="E280" s="45" t="s">
        <v>30</v>
      </c>
      <c r="F280" s="47">
        <f>+F281+F291</f>
        <v>1060812675</v>
      </c>
      <c r="G280" s="70">
        <f>+G281+G291</f>
        <v>0</v>
      </c>
      <c r="H280" s="70">
        <f>+H281+H291</f>
        <v>55020675</v>
      </c>
      <c r="I280" s="70">
        <f t="shared" si="178"/>
        <v>55020675</v>
      </c>
      <c r="J280" s="70">
        <f>+J281+J291</f>
        <v>156720000</v>
      </c>
      <c r="K280" s="70">
        <f>+K281+K291</f>
        <v>86200000</v>
      </c>
      <c r="L280" s="70">
        <f t="shared" si="179"/>
        <v>242920000</v>
      </c>
      <c r="M280" s="70">
        <f t="shared" si="180"/>
        <v>297940675</v>
      </c>
      <c r="N280" s="47">
        <f>+F280-M280</f>
        <v>762872000</v>
      </c>
      <c r="P280" s="192"/>
      <c r="S280" s="282"/>
      <c r="T280" s="282"/>
      <c r="U280" s="242"/>
    </row>
    <row r="281" spans="1:21" s="55" customFormat="1" ht="18" customHeight="1" x14ac:dyDescent="0.25">
      <c r="A281" s="50"/>
      <c r="B281" s="51"/>
      <c r="C281" s="50"/>
      <c r="D281" s="71" t="s">
        <v>263</v>
      </c>
      <c r="E281" s="51" t="s">
        <v>264</v>
      </c>
      <c r="F281" s="53">
        <f>+F282</f>
        <v>105412675</v>
      </c>
      <c r="G281" s="72">
        <f t="shared" ref="G281:J281" si="181">+G282</f>
        <v>0</v>
      </c>
      <c r="H281" s="72">
        <f>+H282</f>
        <v>55020675</v>
      </c>
      <c r="I281" s="72">
        <f t="shared" si="178"/>
        <v>55020675</v>
      </c>
      <c r="J281" s="72">
        <f t="shared" si="181"/>
        <v>0</v>
      </c>
      <c r="K281" s="72">
        <f>+K282</f>
        <v>0</v>
      </c>
      <c r="L281" s="72">
        <f t="shared" si="179"/>
        <v>0</v>
      </c>
      <c r="M281" s="72">
        <f t="shared" si="180"/>
        <v>55020675</v>
      </c>
      <c r="N281" s="53">
        <f>+F281-M281</f>
        <v>50392000</v>
      </c>
      <c r="P281" s="195"/>
      <c r="S281" s="282"/>
      <c r="T281" s="282"/>
      <c r="U281" s="243"/>
    </row>
    <row r="282" spans="1:21" s="49" customFormat="1" ht="18" customHeight="1" x14ac:dyDescent="0.25">
      <c r="A282" s="56"/>
      <c r="B282" s="84"/>
      <c r="C282" s="56"/>
      <c r="D282" s="57" t="s">
        <v>64</v>
      </c>
      <c r="E282" s="57" t="s">
        <v>65</v>
      </c>
      <c r="F282" s="58">
        <f>SUM(F283:F290)</f>
        <v>105412675</v>
      </c>
      <c r="G282" s="59">
        <f>SUM(G283:G290)</f>
        <v>0</v>
      </c>
      <c r="H282" s="59">
        <f>SUM(H283:H290)</f>
        <v>55020675</v>
      </c>
      <c r="I282" s="59">
        <f>+G282+H282</f>
        <v>55020675</v>
      </c>
      <c r="J282" s="59">
        <f>SUM(J283:J290)</f>
        <v>0</v>
      </c>
      <c r="K282" s="59">
        <f>SUM(K283:K290)</f>
        <v>0</v>
      </c>
      <c r="L282" s="59">
        <f>+J282+K282</f>
        <v>0</v>
      </c>
      <c r="M282" s="59">
        <f t="shared" si="180"/>
        <v>55020675</v>
      </c>
      <c r="N282" s="58">
        <f>+F282-M282</f>
        <v>50392000</v>
      </c>
      <c r="P282" s="192"/>
      <c r="S282" s="282"/>
      <c r="T282" s="282"/>
      <c r="U282" s="242"/>
    </row>
    <row r="283" spans="1:21" s="65" customFormat="1" ht="18" customHeight="1" x14ac:dyDescent="0.25">
      <c r="A283" s="171"/>
      <c r="C283" s="171"/>
      <c r="D283" s="162" t="s">
        <v>365</v>
      </c>
      <c r="E283" s="162" t="s">
        <v>366</v>
      </c>
      <c r="F283" s="173">
        <v>9228650</v>
      </c>
      <c r="G283" s="163"/>
      <c r="H283" s="163"/>
      <c r="I283" s="163">
        <f t="shared" si="178"/>
        <v>0</v>
      </c>
      <c r="J283" s="163"/>
      <c r="K283" s="163"/>
      <c r="L283" s="163">
        <f>+J283+K283</f>
        <v>0</v>
      </c>
      <c r="M283" s="163">
        <f>+I283+L283</f>
        <v>0</v>
      </c>
      <c r="N283" s="173">
        <f t="shared" ref="N283:N290" si="182">+F283-M283</f>
        <v>9228650</v>
      </c>
      <c r="P283" s="194"/>
      <c r="S283" s="282"/>
      <c r="T283" s="282"/>
      <c r="U283" s="244"/>
    </row>
    <row r="284" spans="1:21" s="65" customFormat="1" ht="18" customHeight="1" x14ac:dyDescent="0.25">
      <c r="A284" s="171"/>
      <c r="C284" s="171"/>
      <c r="D284" s="162" t="s">
        <v>66</v>
      </c>
      <c r="E284" s="162" t="s">
        <v>67</v>
      </c>
      <c r="F284" s="173">
        <v>4831925</v>
      </c>
      <c r="G284" s="163"/>
      <c r="H284" s="163"/>
      <c r="I284" s="163"/>
      <c r="J284" s="163"/>
      <c r="K284" s="163"/>
      <c r="L284" s="163">
        <f t="shared" ref="L284:L296" si="183">+J284+K284</f>
        <v>0</v>
      </c>
      <c r="M284" s="163">
        <f t="shared" ref="M284:M292" si="184">+I284+L284</f>
        <v>0</v>
      </c>
      <c r="N284" s="173">
        <f t="shared" si="182"/>
        <v>4831925</v>
      </c>
      <c r="P284" s="194"/>
      <c r="S284" s="282"/>
      <c r="T284" s="282"/>
      <c r="U284" s="244"/>
    </row>
    <row r="285" spans="1:21" s="65" customFormat="1" ht="18" customHeight="1" x14ac:dyDescent="0.25">
      <c r="A285" s="171"/>
      <c r="C285" s="171"/>
      <c r="D285" s="162" t="s">
        <v>337</v>
      </c>
      <c r="E285" s="162" t="s">
        <v>338</v>
      </c>
      <c r="F285" s="173">
        <v>18985000</v>
      </c>
      <c r="G285" s="163"/>
      <c r="H285" s="163"/>
      <c r="I285" s="163"/>
      <c r="J285" s="163"/>
      <c r="K285" s="163"/>
      <c r="L285" s="163">
        <f t="shared" si="183"/>
        <v>0</v>
      </c>
      <c r="M285" s="163">
        <f t="shared" si="184"/>
        <v>0</v>
      </c>
      <c r="N285" s="173">
        <f t="shared" si="182"/>
        <v>18985000</v>
      </c>
      <c r="P285" s="194"/>
      <c r="S285" s="282"/>
      <c r="T285" s="282"/>
      <c r="U285" s="244"/>
    </row>
    <row r="286" spans="1:21" s="65" customFormat="1" ht="18" customHeight="1" x14ac:dyDescent="0.25">
      <c r="A286" s="171"/>
      <c r="C286" s="171"/>
      <c r="D286" s="162" t="s">
        <v>339</v>
      </c>
      <c r="E286" s="162" t="s">
        <v>340</v>
      </c>
      <c r="F286" s="173">
        <v>2175000</v>
      </c>
      <c r="G286" s="163"/>
      <c r="H286" s="163"/>
      <c r="I286" s="163"/>
      <c r="J286" s="163"/>
      <c r="K286" s="163"/>
      <c r="L286" s="163">
        <f t="shared" si="183"/>
        <v>0</v>
      </c>
      <c r="M286" s="163">
        <f t="shared" si="184"/>
        <v>0</v>
      </c>
      <c r="N286" s="173">
        <f t="shared" si="182"/>
        <v>2175000</v>
      </c>
      <c r="P286" s="194"/>
      <c r="S286" s="282"/>
      <c r="T286" s="282"/>
      <c r="U286" s="244"/>
    </row>
    <row r="287" spans="1:21" s="65" customFormat="1" ht="18" customHeight="1" x14ac:dyDescent="0.25">
      <c r="A287" s="171"/>
      <c r="C287" s="171"/>
      <c r="D287" s="162" t="s">
        <v>367</v>
      </c>
      <c r="E287" s="162" t="s">
        <v>368</v>
      </c>
      <c r="F287" s="173">
        <v>55592100</v>
      </c>
      <c r="G287" s="163"/>
      <c r="H287" s="163">
        <v>55020675</v>
      </c>
      <c r="I287" s="163">
        <f>+G287+H287</f>
        <v>55020675</v>
      </c>
      <c r="J287" s="163"/>
      <c r="K287" s="163"/>
      <c r="L287" s="163">
        <f t="shared" si="183"/>
        <v>0</v>
      </c>
      <c r="M287" s="163">
        <f t="shared" si="184"/>
        <v>55020675</v>
      </c>
      <c r="N287" s="173">
        <f t="shared" si="182"/>
        <v>571425</v>
      </c>
      <c r="P287" s="194"/>
      <c r="S287" s="282"/>
      <c r="T287" s="281">
        <v>55020675</v>
      </c>
      <c r="U287" s="244"/>
    </row>
    <row r="288" spans="1:21" s="65" customFormat="1" ht="22.5" customHeight="1" x14ac:dyDescent="0.25">
      <c r="A288" s="171"/>
      <c r="C288" s="171"/>
      <c r="D288" s="162" t="s">
        <v>369</v>
      </c>
      <c r="E288" s="162" t="s">
        <v>370</v>
      </c>
      <c r="F288" s="173">
        <v>7200000</v>
      </c>
      <c r="G288" s="163"/>
      <c r="H288" s="163"/>
      <c r="I288" s="163"/>
      <c r="J288" s="163"/>
      <c r="K288" s="163"/>
      <c r="L288" s="163">
        <f t="shared" si="183"/>
        <v>0</v>
      </c>
      <c r="M288" s="163">
        <f t="shared" si="184"/>
        <v>0</v>
      </c>
      <c r="N288" s="173">
        <f t="shared" si="182"/>
        <v>7200000</v>
      </c>
      <c r="P288" s="194"/>
      <c r="S288" s="282"/>
      <c r="T288" s="282"/>
      <c r="U288" s="244"/>
    </row>
    <row r="289" spans="1:21" s="65" customFormat="1" ht="18" customHeight="1" x14ac:dyDescent="0.25">
      <c r="A289" s="171"/>
      <c r="C289" s="171"/>
      <c r="D289" s="162" t="s">
        <v>70</v>
      </c>
      <c r="E289" s="162" t="s">
        <v>33</v>
      </c>
      <c r="F289" s="173">
        <v>5000000</v>
      </c>
      <c r="G289" s="163"/>
      <c r="H289" s="163"/>
      <c r="I289" s="163"/>
      <c r="J289" s="163"/>
      <c r="K289" s="163"/>
      <c r="L289" s="163">
        <f t="shared" si="183"/>
        <v>0</v>
      </c>
      <c r="M289" s="163">
        <f t="shared" si="184"/>
        <v>0</v>
      </c>
      <c r="N289" s="173">
        <f t="shared" si="182"/>
        <v>5000000</v>
      </c>
      <c r="P289" s="194"/>
      <c r="S289" s="282"/>
      <c r="T289" s="282"/>
      <c r="U289" s="244"/>
    </row>
    <row r="290" spans="1:21" s="65" customFormat="1" ht="18" customHeight="1" x14ac:dyDescent="0.25">
      <c r="A290" s="171"/>
      <c r="C290" s="171"/>
      <c r="D290" s="162" t="s">
        <v>374</v>
      </c>
      <c r="E290" s="162" t="s">
        <v>375</v>
      </c>
      <c r="F290" s="173">
        <v>2400000</v>
      </c>
      <c r="G290" s="163"/>
      <c r="H290" s="163"/>
      <c r="I290" s="163"/>
      <c r="J290" s="163"/>
      <c r="K290" s="163"/>
      <c r="L290" s="163">
        <f t="shared" si="183"/>
        <v>0</v>
      </c>
      <c r="M290" s="163">
        <f t="shared" si="184"/>
        <v>0</v>
      </c>
      <c r="N290" s="173">
        <f t="shared" si="182"/>
        <v>2400000</v>
      </c>
      <c r="P290" s="194"/>
      <c r="S290" s="282"/>
      <c r="T290" s="282"/>
      <c r="U290" s="244"/>
    </row>
    <row r="291" spans="1:21" s="55" customFormat="1" ht="18" customHeight="1" x14ac:dyDescent="0.25">
      <c r="A291" s="50"/>
      <c r="B291" s="51"/>
      <c r="C291" s="50"/>
      <c r="D291" s="71" t="s">
        <v>271</v>
      </c>
      <c r="E291" s="51" t="s">
        <v>272</v>
      </c>
      <c r="F291" s="53">
        <f t="shared" ref="F291:J291" si="185">+F292</f>
        <v>955400000</v>
      </c>
      <c r="G291" s="72">
        <f t="shared" si="185"/>
        <v>0</v>
      </c>
      <c r="H291" s="72">
        <f>+H292</f>
        <v>0</v>
      </c>
      <c r="I291" s="72">
        <f>+G291+H291</f>
        <v>0</v>
      </c>
      <c r="J291" s="72">
        <f t="shared" si="185"/>
        <v>156720000</v>
      </c>
      <c r="K291" s="72">
        <f>+K292</f>
        <v>86200000</v>
      </c>
      <c r="L291" s="72">
        <f t="shared" si="183"/>
        <v>242920000</v>
      </c>
      <c r="M291" s="72">
        <f t="shared" si="184"/>
        <v>242920000</v>
      </c>
      <c r="N291" s="53">
        <f>+F291-M291</f>
        <v>712480000</v>
      </c>
      <c r="P291" s="195"/>
      <c r="S291" s="282"/>
      <c r="T291" s="282"/>
      <c r="U291" s="243"/>
    </row>
    <row r="292" spans="1:21" s="49" customFormat="1" ht="18" customHeight="1" x14ac:dyDescent="0.25">
      <c r="A292" s="56"/>
      <c r="B292" s="84"/>
      <c r="C292" s="56"/>
      <c r="D292" s="57" t="s">
        <v>81</v>
      </c>
      <c r="E292" s="57" t="s">
        <v>31</v>
      </c>
      <c r="F292" s="58">
        <f>SUM(F293:F296)</f>
        <v>955400000</v>
      </c>
      <c r="G292" s="59">
        <f>SUM(G293:G296)</f>
        <v>0</v>
      </c>
      <c r="H292" s="59">
        <f>SUM(H293:H296)</f>
        <v>0</v>
      </c>
      <c r="I292" s="59">
        <f>+G292+H292</f>
        <v>0</v>
      </c>
      <c r="J292" s="59">
        <f>SUM(J293:J296)</f>
        <v>156720000</v>
      </c>
      <c r="K292" s="59">
        <f>SUM(K293:K296)</f>
        <v>86200000</v>
      </c>
      <c r="L292" s="59">
        <f t="shared" si="183"/>
        <v>242920000</v>
      </c>
      <c r="M292" s="59">
        <f t="shared" si="184"/>
        <v>242920000</v>
      </c>
      <c r="N292" s="58">
        <f>+F292-M292</f>
        <v>712480000</v>
      </c>
      <c r="P292" s="192"/>
      <c r="S292" s="282"/>
      <c r="T292" s="282"/>
      <c r="U292" s="242"/>
    </row>
    <row r="293" spans="1:21" s="65" customFormat="1" ht="18" customHeight="1" x14ac:dyDescent="0.25">
      <c r="A293" s="61"/>
      <c r="B293" s="66"/>
      <c r="C293" s="61"/>
      <c r="D293" s="62" t="s">
        <v>100</v>
      </c>
      <c r="E293" s="62" t="s">
        <v>101</v>
      </c>
      <c r="F293" s="63">
        <v>336000000</v>
      </c>
      <c r="G293" s="75"/>
      <c r="H293" s="75"/>
      <c r="I293" s="75">
        <f t="shared" ref="I293:I294" si="186">+G293+H293</f>
        <v>0</v>
      </c>
      <c r="J293" s="75"/>
      <c r="K293" s="75"/>
      <c r="L293" s="75">
        <f t="shared" si="183"/>
        <v>0</v>
      </c>
      <c r="M293" s="75">
        <f>+I293+L293</f>
        <v>0</v>
      </c>
      <c r="N293" s="63">
        <f t="shared" ref="N293:N296" si="187">+F293-M293</f>
        <v>336000000</v>
      </c>
      <c r="P293" s="194"/>
      <c r="S293" s="282"/>
      <c r="T293" s="282"/>
      <c r="U293" s="244"/>
    </row>
    <row r="294" spans="1:21" s="65" customFormat="1" ht="18" customHeight="1" x14ac:dyDescent="0.25">
      <c r="A294" s="61"/>
      <c r="B294" s="66"/>
      <c r="C294" s="61"/>
      <c r="D294" s="62" t="s">
        <v>474</v>
      </c>
      <c r="E294" s="62" t="s">
        <v>475</v>
      </c>
      <c r="F294" s="63">
        <v>350000000</v>
      </c>
      <c r="G294" s="75"/>
      <c r="H294" s="75"/>
      <c r="I294" s="75">
        <f t="shared" si="186"/>
        <v>0</v>
      </c>
      <c r="J294" s="75"/>
      <c r="K294" s="75"/>
      <c r="L294" s="75">
        <f t="shared" si="183"/>
        <v>0</v>
      </c>
      <c r="M294" s="75">
        <f>+I294+L294</f>
        <v>0</v>
      </c>
      <c r="N294" s="63">
        <f t="shared" si="187"/>
        <v>350000000</v>
      </c>
      <c r="P294" s="194"/>
      <c r="S294" s="282"/>
      <c r="T294" s="282"/>
      <c r="U294" s="244"/>
    </row>
    <row r="295" spans="1:21" s="65" customFormat="1" ht="18" customHeight="1" x14ac:dyDescent="0.25">
      <c r="A295" s="61"/>
      <c r="B295" s="66"/>
      <c r="C295" s="61"/>
      <c r="D295" s="62" t="s">
        <v>376</v>
      </c>
      <c r="E295" s="62" t="s">
        <v>377</v>
      </c>
      <c r="F295" s="63">
        <v>268800000</v>
      </c>
      <c r="G295" s="75">
        <v>0</v>
      </c>
      <c r="H295" s="75"/>
      <c r="I295" s="75">
        <f>+G295+H295</f>
        <v>0</v>
      </c>
      <c r="J295" s="75">
        <v>156720000</v>
      </c>
      <c r="K295" s="75">
        <v>86200000</v>
      </c>
      <c r="L295" s="75">
        <f t="shared" si="183"/>
        <v>242920000</v>
      </c>
      <c r="M295" s="75">
        <f>+I295+L295</f>
        <v>242920000</v>
      </c>
      <c r="N295" s="63">
        <f t="shared" si="187"/>
        <v>25880000</v>
      </c>
      <c r="P295" s="194"/>
      <c r="S295" s="281">
        <v>86200000</v>
      </c>
      <c r="T295" s="282"/>
      <c r="U295" s="244"/>
    </row>
    <row r="296" spans="1:21" s="65" customFormat="1" ht="18" customHeight="1" x14ac:dyDescent="0.25">
      <c r="A296" s="61"/>
      <c r="B296" s="66"/>
      <c r="C296" s="61"/>
      <c r="D296" s="62" t="s">
        <v>378</v>
      </c>
      <c r="E296" s="62" t="s">
        <v>379</v>
      </c>
      <c r="F296" s="63">
        <v>600000</v>
      </c>
      <c r="G296" s="75"/>
      <c r="H296" s="75"/>
      <c r="I296" s="75"/>
      <c r="J296" s="75"/>
      <c r="K296" s="75"/>
      <c r="L296" s="75">
        <f t="shared" si="183"/>
        <v>0</v>
      </c>
      <c r="M296" s="75">
        <f>+I296+L296</f>
        <v>0</v>
      </c>
      <c r="N296" s="63">
        <f t="shared" si="187"/>
        <v>600000</v>
      </c>
      <c r="P296" s="194"/>
      <c r="S296" s="282"/>
      <c r="T296" s="282"/>
      <c r="U296" s="244"/>
    </row>
    <row r="297" spans="1:21" s="146" customFormat="1" ht="18" customHeight="1" x14ac:dyDescent="0.25">
      <c r="A297" s="147"/>
      <c r="B297" s="147"/>
      <c r="C297" s="147"/>
      <c r="D297" s="147"/>
      <c r="E297" s="147"/>
      <c r="F297" s="148"/>
      <c r="G297" s="149"/>
      <c r="H297" s="149"/>
      <c r="I297" s="149"/>
      <c r="J297" s="149"/>
      <c r="K297" s="149"/>
      <c r="L297" s="149"/>
      <c r="M297" s="149"/>
      <c r="N297" s="148"/>
      <c r="P297" s="197"/>
      <c r="S297" s="286"/>
      <c r="T297" s="286"/>
      <c r="U297" s="253"/>
    </row>
    <row r="298" spans="1:21" s="137" customFormat="1" ht="21" customHeight="1" x14ac:dyDescent="0.25">
      <c r="A298" s="109"/>
      <c r="B298" s="110" t="s">
        <v>342</v>
      </c>
      <c r="C298" s="110"/>
      <c r="D298" s="110"/>
      <c r="E298" s="150" t="s">
        <v>341</v>
      </c>
      <c r="F298" s="135">
        <f>+F299+F312+F331+F337+F343</f>
        <v>2394721000</v>
      </c>
      <c r="G298" s="136">
        <f>+G299+G312+G331+G337+G343</f>
        <v>0</v>
      </c>
      <c r="H298" s="136">
        <f>+H299+H312+H331+H337+H343</f>
        <v>0</v>
      </c>
      <c r="I298" s="136">
        <f t="shared" ref="I298:I303" si="188">+G298+H298</f>
        <v>0</v>
      </c>
      <c r="J298" s="136">
        <f>+J299+J312+J331+J337+J343</f>
        <v>83363817</v>
      </c>
      <c r="K298" s="136">
        <f>+K299+K312+K331+K337+K343</f>
        <v>112472437</v>
      </c>
      <c r="L298" s="136">
        <f>+J298+K298</f>
        <v>195836254</v>
      </c>
      <c r="M298" s="136">
        <f t="shared" ref="M298" si="189">+I298+L298</f>
        <v>195836254</v>
      </c>
      <c r="N298" s="135">
        <f t="shared" ref="N298" si="190">+F298-M298</f>
        <v>2198884746</v>
      </c>
      <c r="P298" s="198"/>
      <c r="S298" s="287"/>
      <c r="T298" s="287"/>
      <c r="U298" s="248"/>
    </row>
    <row r="299" spans="1:21" s="121" customFormat="1" ht="35.25" customHeight="1" x14ac:dyDescent="0.25">
      <c r="A299" s="154">
        <v>16</v>
      </c>
      <c r="B299" s="155"/>
      <c r="C299" s="155" t="s">
        <v>476</v>
      </c>
      <c r="D299" s="156"/>
      <c r="E299" s="164" t="s">
        <v>477</v>
      </c>
      <c r="F299" s="158">
        <f t="shared" ref="F299:H300" si="191">+F300</f>
        <v>690000000</v>
      </c>
      <c r="G299" s="159">
        <f t="shared" si="191"/>
        <v>0</v>
      </c>
      <c r="H299" s="159">
        <f t="shared" si="191"/>
        <v>0</v>
      </c>
      <c r="I299" s="159">
        <f t="shared" si="188"/>
        <v>0</v>
      </c>
      <c r="J299" s="159">
        <f>+J300</f>
        <v>43678817</v>
      </c>
      <c r="K299" s="159">
        <f>+K300</f>
        <v>29255437</v>
      </c>
      <c r="L299" s="159">
        <f>+J299+K299</f>
        <v>72934254</v>
      </c>
      <c r="M299" s="159">
        <f>+I299+L299</f>
        <v>72934254</v>
      </c>
      <c r="N299" s="158">
        <f>+F299-M299</f>
        <v>617065746</v>
      </c>
      <c r="P299" s="190"/>
      <c r="R299" s="122"/>
      <c r="S299" s="283"/>
      <c r="T299" s="283"/>
      <c r="U299" s="246"/>
    </row>
    <row r="300" spans="1:21" s="107" customFormat="1" ht="18" customHeight="1" x14ac:dyDescent="0.25">
      <c r="A300" s="101"/>
      <c r="B300" s="102"/>
      <c r="C300" s="102"/>
      <c r="D300" s="103" t="s">
        <v>207</v>
      </c>
      <c r="E300" s="104" t="s">
        <v>262</v>
      </c>
      <c r="F300" s="105">
        <f t="shared" si="191"/>
        <v>690000000</v>
      </c>
      <c r="G300" s="106">
        <f t="shared" si="191"/>
        <v>0</v>
      </c>
      <c r="H300" s="106">
        <f t="shared" si="191"/>
        <v>0</v>
      </c>
      <c r="I300" s="106">
        <f t="shared" si="188"/>
        <v>0</v>
      </c>
      <c r="J300" s="106">
        <f>+J301</f>
        <v>43678817</v>
      </c>
      <c r="K300" s="106">
        <f>+K301</f>
        <v>29255437</v>
      </c>
      <c r="L300" s="106">
        <f t="shared" ref="L300:L304" si="192">+J300+K300</f>
        <v>72934254</v>
      </c>
      <c r="M300" s="106">
        <f t="shared" ref="M300:M311" si="193">+I300+L300</f>
        <v>72934254</v>
      </c>
      <c r="N300" s="105">
        <f t="shared" ref="N300:N311" si="194">+F300-M300</f>
        <v>617065746</v>
      </c>
      <c r="P300" s="191"/>
      <c r="R300" s="108"/>
      <c r="S300" s="284"/>
      <c r="T300" s="284"/>
      <c r="U300" s="241"/>
    </row>
    <row r="301" spans="1:21" s="67" customFormat="1" ht="18" customHeight="1" x14ac:dyDescent="0.25">
      <c r="A301" s="88"/>
      <c r="B301" s="89"/>
      <c r="C301" s="88"/>
      <c r="D301" s="45" t="s">
        <v>63</v>
      </c>
      <c r="E301" s="45" t="s">
        <v>30</v>
      </c>
      <c r="F301" s="47">
        <f>+F302+F305+F309</f>
        <v>690000000</v>
      </c>
      <c r="G301" s="70">
        <f>+G302+G305+G309</f>
        <v>0</v>
      </c>
      <c r="H301" s="70">
        <f>+H302+H305+H309</f>
        <v>0</v>
      </c>
      <c r="I301" s="70">
        <f t="shared" si="188"/>
        <v>0</v>
      </c>
      <c r="J301" s="70">
        <f>+J302+J305+J309</f>
        <v>43678817</v>
      </c>
      <c r="K301" s="70">
        <f>+K302+K305+K309</f>
        <v>29255437</v>
      </c>
      <c r="L301" s="70">
        <f t="shared" si="192"/>
        <v>72934254</v>
      </c>
      <c r="M301" s="70">
        <f t="shared" si="193"/>
        <v>72934254</v>
      </c>
      <c r="N301" s="47">
        <f t="shared" si="194"/>
        <v>617065746</v>
      </c>
      <c r="P301" s="192"/>
      <c r="S301" s="282"/>
      <c r="T301" s="282"/>
      <c r="U301" s="249"/>
    </row>
    <row r="302" spans="1:21" s="55" customFormat="1" ht="18" customHeight="1" x14ac:dyDescent="0.25">
      <c r="A302" s="50"/>
      <c r="B302" s="51"/>
      <c r="C302" s="51"/>
      <c r="D302" s="71" t="s">
        <v>263</v>
      </c>
      <c r="E302" s="51" t="s">
        <v>264</v>
      </c>
      <c r="F302" s="53">
        <f>+F303</f>
        <v>435000000</v>
      </c>
      <c r="G302" s="72">
        <f>+G303</f>
        <v>0</v>
      </c>
      <c r="H302" s="72">
        <f>+H303</f>
        <v>0</v>
      </c>
      <c r="I302" s="72">
        <f t="shared" si="188"/>
        <v>0</v>
      </c>
      <c r="J302" s="72">
        <f>+J303</f>
        <v>14950117</v>
      </c>
      <c r="K302" s="72">
        <f>+K303</f>
        <v>16581309</v>
      </c>
      <c r="L302" s="72">
        <f t="shared" si="192"/>
        <v>31531426</v>
      </c>
      <c r="M302" s="72">
        <f t="shared" si="193"/>
        <v>31531426</v>
      </c>
      <c r="N302" s="53">
        <f t="shared" si="194"/>
        <v>403468574</v>
      </c>
      <c r="P302" s="195"/>
      <c r="S302" s="282"/>
      <c r="T302" s="282"/>
      <c r="U302" s="243"/>
    </row>
    <row r="303" spans="1:21" s="67" customFormat="1" ht="18" customHeight="1" x14ac:dyDescent="0.25">
      <c r="A303" s="90"/>
      <c r="B303" s="91"/>
      <c r="C303" s="90"/>
      <c r="D303" s="57" t="s">
        <v>64</v>
      </c>
      <c r="E303" s="57" t="s">
        <v>65</v>
      </c>
      <c r="F303" s="58">
        <f>F304</f>
        <v>435000000</v>
      </c>
      <c r="G303" s="59">
        <f>+G304</f>
        <v>0</v>
      </c>
      <c r="H303" s="59">
        <f>+H304</f>
        <v>0</v>
      </c>
      <c r="I303" s="59">
        <f t="shared" si="188"/>
        <v>0</v>
      </c>
      <c r="J303" s="59">
        <f>+J304</f>
        <v>14950117</v>
      </c>
      <c r="K303" s="59">
        <f>+K304</f>
        <v>16581309</v>
      </c>
      <c r="L303" s="59">
        <f t="shared" si="192"/>
        <v>31531426</v>
      </c>
      <c r="M303" s="59">
        <f t="shared" si="193"/>
        <v>31531426</v>
      </c>
      <c r="N303" s="58">
        <f t="shared" si="194"/>
        <v>403468574</v>
      </c>
      <c r="P303" s="192"/>
      <c r="S303" s="282"/>
      <c r="T303" s="282"/>
      <c r="U303" s="249"/>
    </row>
    <row r="304" spans="1:21" s="49" customFormat="1" ht="18" customHeight="1" x14ac:dyDescent="0.25">
      <c r="A304" s="92"/>
      <c r="B304" s="93"/>
      <c r="C304" s="61"/>
      <c r="D304" s="62" t="s">
        <v>129</v>
      </c>
      <c r="E304" s="62" t="s">
        <v>130</v>
      </c>
      <c r="F304" s="63">
        <v>435000000</v>
      </c>
      <c r="G304" s="94"/>
      <c r="H304" s="94"/>
      <c r="I304" s="94"/>
      <c r="J304" s="75">
        <v>14950117</v>
      </c>
      <c r="K304" s="75">
        <v>16581309</v>
      </c>
      <c r="L304" s="75">
        <f t="shared" si="192"/>
        <v>31531426</v>
      </c>
      <c r="M304" s="75">
        <f t="shared" si="193"/>
        <v>31531426</v>
      </c>
      <c r="N304" s="63">
        <f t="shared" si="194"/>
        <v>403468574</v>
      </c>
      <c r="P304" s="192"/>
      <c r="S304" s="281">
        <f>256000+192000+850000+600000+793830+800000+400000+604512+298167+256000+256000+268800+900000+350000+704000+960000+260000+768000+768000+768000+256000+256000+768000+764400+762400+759400+757400+754400+450000</f>
        <v>16581309</v>
      </c>
      <c r="T304" s="282"/>
      <c r="U304" s="242"/>
    </row>
    <row r="305" spans="1:21" s="55" customFormat="1" ht="20.25" x14ac:dyDescent="0.25">
      <c r="A305" s="50"/>
      <c r="B305" s="51"/>
      <c r="C305" s="51"/>
      <c r="D305" s="71" t="s">
        <v>271</v>
      </c>
      <c r="E305" s="51" t="s">
        <v>272</v>
      </c>
      <c r="F305" s="53">
        <f>+F306</f>
        <v>79500000</v>
      </c>
      <c r="G305" s="72">
        <f>+G306</f>
        <v>0</v>
      </c>
      <c r="H305" s="72">
        <f>+H306</f>
        <v>0</v>
      </c>
      <c r="I305" s="72">
        <f t="shared" ref="I305:I316" si="195">+G305+H305</f>
        <v>0</v>
      </c>
      <c r="J305" s="72">
        <f>+J306</f>
        <v>4488700</v>
      </c>
      <c r="K305" s="72">
        <f>+K306</f>
        <v>5290000</v>
      </c>
      <c r="L305" s="72">
        <f>+J305+K305</f>
        <v>9778700</v>
      </c>
      <c r="M305" s="72">
        <f t="shared" si="193"/>
        <v>9778700</v>
      </c>
      <c r="N305" s="53">
        <f t="shared" si="194"/>
        <v>69721300</v>
      </c>
      <c r="P305" s="195"/>
      <c r="S305" s="282"/>
      <c r="T305" s="282"/>
      <c r="U305" s="243"/>
    </row>
    <row r="306" spans="1:21" s="67" customFormat="1" ht="18" customHeight="1" x14ac:dyDescent="0.25">
      <c r="A306" s="56"/>
      <c r="B306" s="84"/>
      <c r="C306" s="56"/>
      <c r="D306" s="57" t="s">
        <v>81</v>
      </c>
      <c r="E306" s="57" t="s">
        <v>31</v>
      </c>
      <c r="F306" s="58">
        <f>F308+F307</f>
        <v>79500000</v>
      </c>
      <c r="G306" s="59">
        <f>SUM(G307:G308)</f>
        <v>0</v>
      </c>
      <c r="H306" s="59">
        <f>SUM(H307:H308)</f>
        <v>0</v>
      </c>
      <c r="I306" s="59">
        <f t="shared" si="195"/>
        <v>0</v>
      </c>
      <c r="J306" s="59">
        <f>SUM(J307:J308)</f>
        <v>4488700</v>
      </c>
      <c r="K306" s="59">
        <f>SUM(K307:K308)</f>
        <v>5290000</v>
      </c>
      <c r="L306" s="59">
        <f>+J306+K306</f>
        <v>9778700</v>
      </c>
      <c r="M306" s="59">
        <f t="shared" si="193"/>
        <v>9778700</v>
      </c>
      <c r="N306" s="58">
        <f t="shared" si="194"/>
        <v>69721300</v>
      </c>
      <c r="P306" s="192"/>
      <c r="R306" s="68"/>
      <c r="S306" s="282"/>
      <c r="T306" s="282"/>
      <c r="U306" s="249"/>
    </row>
    <row r="307" spans="1:21" s="67" customFormat="1" ht="18" customHeight="1" x14ac:dyDescent="0.25">
      <c r="A307" s="61"/>
      <c r="B307" s="66"/>
      <c r="C307" s="61"/>
      <c r="D307" s="62" t="s">
        <v>82</v>
      </c>
      <c r="E307" s="62" t="s">
        <v>83</v>
      </c>
      <c r="F307" s="63">
        <v>18000000</v>
      </c>
      <c r="G307" s="75"/>
      <c r="H307" s="75"/>
      <c r="I307" s="75">
        <f t="shared" si="195"/>
        <v>0</v>
      </c>
      <c r="J307" s="75">
        <v>2800000</v>
      </c>
      <c r="K307" s="75">
        <v>1400000</v>
      </c>
      <c r="L307" s="75">
        <f>J307+K307</f>
        <v>4200000</v>
      </c>
      <c r="M307" s="75">
        <f t="shared" si="193"/>
        <v>4200000</v>
      </c>
      <c r="N307" s="63">
        <f t="shared" si="194"/>
        <v>13800000</v>
      </c>
      <c r="P307" s="192"/>
      <c r="S307" s="281">
        <v>1400000</v>
      </c>
      <c r="T307" s="282"/>
      <c r="U307" s="249"/>
    </row>
    <row r="308" spans="1:21" s="67" customFormat="1" ht="18" customHeight="1" x14ac:dyDescent="0.25">
      <c r="A308" s="61"/>
      <c r="B308" s="66"/>
      <c r="C308" s="61"/>
      <c r="D308" s="62" t="s">
        <v>343</v>
      </c>
      <c r="E308" s="62" t="s">
        <v>344</v>
      </c>
      <c r="F308" s="63">
        <v>61500000</v>
      </c>
      <c r="G308" s="75"/>
      <c r="H308" s="75"/>
      <c r="I308" s="75">
        <f t="shared" si="195"/>
        <v>0</v>
      </c>
      <c r="J308" s="75">
        <v>1688700</v>
      </c>
      <c r="K308" s="75">
        <v>3890000</v>
      </c>
      <c r="L308" s="75">
        <f>J308+K308</f>
        <v>5578700</v>
      </c>
      <c r="M308" s="75">
        <f t="shared" si="193"/>
        <v>5578700</v>
      </c>
      <c r="N308" s="63">
        <f t="shared" si="194"/>
        <v>55921300</v>
      </c>
      <c r="P308" s="192"/>
      <c r="S308" s="281">
        <v>3890000</v>
      </c>
      <c r="T308" s="282"/>
      <c r="U308" s="249"/>
    </row>
    <row r="309" spans="1:21" s="55" customFormat="1" ht="20.25" x14ac:dyDescent="0.25">
      <c r="A309" s="50"/>
      <c r="B309" s="51"/>
      <c r="C309" s="50"/>
      <c r="D309" s="71" t="s">
        <v>275</v>
      </c>
      <c r="E309" s="51" t="s">
        <v>276</v>
      </c>
      <c r="F309" s="53">
        <f>+F310</f>
        <v>175500000</v>
      </c>
      <c r="G309" s="72">
        <f>+G310</f>
        <v>0</v>
      </c>
      <c r="H309" s="72">
        <f>+H310</f>
        <v>0</v>
      </c>
      <c r="I309" s="72">
        <f t="shared" si="195"/>
        <v>0</v>
      </c>
      <c r="J309" s="72">
        <f>+J310</f>
        <v>24240000</v>
      </c>
      <c r="K309" s="72">
        <f>+K310</f>
        <v>7384128</v>
      </c>
      <c r="L309" s="72">
        <f>+J309+K309</f>
        <v>31624128</v>
      </c>
      <c r="M309" s="72">
        <f t="shared" si="193"/>
        <v>31624128</v>
      </c>
      <c r="N309" s="53">
        <f t="shared" si="194"/>
        <v>143875872</v>
      </c>
      <c r="P309" s="195"/>
      <c r="S309" s="282"/>
      <c r="T309" s="282"/>
      <c r="U309" s="243"/>
    </row>
    <row r="310" spans="1:21" s="67" customFormat="1" ht="18" customHeight="1" x14ac:dyDescent="0.25">
      <c r="A310" s="56"/>
      <c r="B310" s="84"/>
      <c r="C310" s="56"/>
      <c r="D310" s="57" t="s">
        <v>114</v>
      </c>
      <c r="E310" s="57" t="s">
        <v>43</v>
      </c>
      <c r="F310" s="58">
        <f>+F311</f>
        <v>175500000</v>
      </c>
      <c r="G310" s="59">
        <f>SUM(G311)</f>
        <v>0</v>
      </c>
      <c r="H310" s="59">
        <f>SUM(H311)</f>
        <v>0</v>
      </c>
      <c r="I310" s="59">
        <f t="shared" si="195"/>
        <v>0</v>
      </c>
      <c r="J310" s="59">
        <f>SUM(J311)</f>
        <v>24240000</v>
      </c>
      <c r="K310" s="59">
        <f>SUM(K311)</f>
        <v>7384128</v>
      </c>
      <c r="L310" s="59">
        <f>+J310+K310</f>
        <v>31624128</v>
      </c>
      <c r="M310" s="59">
        <f t="shared" si="193"/>
        <v>31624128</v>
      </c>
      <c r="N310" s="58">
        <f t="shared" si="194"/>
        <v>143875872</v>
      </c>
      <c r="P310" s="192"/>
      <c r="R310" s="68"/>
      <c r="S310" s="282"/>
      <c r="T310" s="282"/>
      <c r="U310" s="249"/>
    </row>
    <row r="311" spans="1:21" s="146" customFormat="1" ht="33.75" customHeight="1" x14ac:dyDescent="0.25">
      <c r="A311" s="165"/>
      <c r="B311" s="127"/>
      <c r="C311" s="165"/>
      <c r="D311" s="166" t="s">
        <v>345</v>
      </c>
      <c r="E311" s="167" t="s">
        <v>346</v>
      </c>
      <c r="F311" s="168">
        <v>175500000</v>
      </c>
      <c r="G311" s="169"/>
      <c r="H311" s="169"/>
      <c r="I311" s="163">
        <f t="shared" si="195"/>
        <v>0</v>
      </c>
      <c r="J311" s="169">
        <v>24240000</v>
      </c>
      <c r="K311" s="169">
        <f>4590000+2794128</f>
        <v>7384128</v>
      </c>
      <c r="L311" s="169">
        <f>J311+K311</f>
        <v>31624128</v>
      </c>
      <c r="M311" s="169">
        <f t="shared" si="193"/>
        <v>31624128</v>
      </c>
      <c r="N311" s="168">
        <f t="shared" si="194"/>
        <v>143875872</v>
      </c>
      <c r="P311" s="197"/>
      <c r="S311" s="285">
        <f>2794128+2700000+170000+860000+860000</f>
        <v>7384128</v>
      </c>
      <c r="T311" s="286"/>
      <c r="U311" s="253"/>
    </row>
    <row r="312" spans="1:21" s="121" customFormat="1" ht="22.5" customHeight="1" x14ac:dyDescent="0.25">
      <c r="A312" s="154">
        <v>17</v>
      </c>
      <c r="B312" s="155"/>
      <c r="C312" s="155" t="s">
        <v>143</v>
      </c>
      <c r="D312" s="156"/>
      <c r="E312" s="164" t="s">
        <v>144</v>
      </c>
      <c r="F312" s="158">
        <f t="shared" ref="F312:H313" si="196">+F313</f>
        <v>1024733000</v>
      </c>
      <c r="G312" s="159">
        <f t="shared" si="196"/>
        <v>0</v>
      </c>
      <c r="H312" s="159">
        <f t="shared" si="196"/>
        <v>0</v>
      </c>
      <c r="I312" s="159">
        <f t="shared" si="195"/>
        <v>0</v>
      </c>
      <c r="J312" s="159">
        <f>+J313</f>
        <v>39685000</v>
      </c>
      <c r="K312" s="159">
        <f>+K313</f>
        <v>63217000</v>
      </c>
      <c r="L312" s="159">
        <f>+J312+K312</f>
        <v>102902000</v>
      </c>
      <c r="M312" s="159">
        <f>+I312+L312</f>
        <v>102902000</v>
      </c>
      <c r="N312" s="158">
        <f>+F312-M312</f>
        <v>921831000</v>
      </c>
      <c r="P312" s="190"/>
      <c r="R312" s="122"/>
      <c r="S312" s="283"/>
      <c r="T312" s="283"/>
      <c r="U312" s="246"/>
    </row>
    <row r="313" spans="1:21" s="107" customFormat="1" ht="18" customHeight="1" x14ac:dyDescent="0.25">
      <c r="A313" s="101"/>
      <c r="B313" s="102"/>
      <c r="C313" s="102"/>
      <c r="D313" s="103" t="s">
        <v>207</v>
      </c>
      <c r="E313" s="104" t="s">
        <v>262</v>
      </c>
      <c r="F313" s="105">
        <f t="shared" si="196"/>
        <v>1024733000</v>
      </c>
      <c r="G313" s="106">
        <f t="shared" si="196"/>
        <v>0</v>
      </c>
      <c r="H313" s="106">
        <f t="shared" si="196"/>
        <v>0</v>
      </c>
      <c r="I313" s="106">
        <f t="shared" si="195"/>
        <v>0</v>
      </c>
      <c r="J313" s="106">
        <f>+J314</f>
        <v>39685000</v>
      </c>
      <c r="K313" s="106">
        <f>+K314</f>
        <v>63217000</v>
      </c>
      <c r="L313" s="106">
        <f>+J313+K313</f>
        <v>102902000</v>
      </c>
      <c r="M313" s="106">
        <f t="shared" ref="M313:M330" si="197">+I313+L313</f>
        <v>102902000</v>
      </c>
      <c r="N313" s="105">
        <f t="shared" ref="N313:N330" si="198">+F313-M313</f>
        <v>921831000</v>
      </c>
      <c r="P313" s="191"/>
      <c r="R313" s="108"/>
      <c r="S313" s="284"/>
      <c r="T313" s="284"/>
      <c r="U313" s="241"/>
    </row>
    <row r="314" spans="1:21" s="67" customFormat="1" ht="18" customHeight="1" x14ac:dyDescent="0.25">
      <c r="A314" s="88"/>
      <c r="B314" s="89"/>
      <c r="C314" s="88"/>
      <c r="D314" s="45" t="s">
        <v>63</v>
      </c>
      <c r="E314" s="45" t="s">
        <v>30</v>
      </c>
      <c r="F314" s="47">
        <f>+F315+F319+F322</f>
        <v>1024733000</v>
      </c>
      <c r="G314" s="70">
        <f>+G315+G319+G322</f>
        <v>0</v>
      </c>
      <c r="H314" s="70">
        <f>+H315+H319+H322</f>
        <v>0</v>
      </c>
      <c r="I314" s="70">
        <f t="shared" si="195"/>
        <v>0</v>
      </c>
      <c r="J314" s="70">
        <f>+J315+J319+J322</f>
        <v>39685000</v>
      </c>
      <c r="K314" s="70">
        <f>+K315+K319+K322</f>
        <v>63217000</v>
      </c>
      <c r="L314" s="70">
        <f>+J314+K314</f>
        <v>102902000</v>
      </c>
      <c r="M314" s="70">
        <f t="shared" si="197"/>
        <v>102902000</v>
      </c>
      <c r="N314" s="47">
        <f t="shared" si="198"/>
        <v>921831000</v>
      </c>
      <c r="P314" s="192"/>
      <c r="S314" s="282"/>
      <c r="T314" s="282"/>
      <c r="U314" s="249"/>
    </row>
    <row r="315" spans="1:21" s="55" customFormat="1" ht="18" customHeight="1" x14ac:dyDescent="0.25">
      <c r="A315" s="50"/>
      <c r="B315" s="51"/>
      <c r="C315" s="51"/>
      <c r="D315" s="71" t="s">
        <v>263</v>
      </c>
      <c r="E315" s="51" t="s">
        <v>264</v>
      </c>
      <c r="F315" s="53">
        <f>+F316</f>
        <v>160643000</v>
      </c>
      <c r="G315" s="72">
        <f>+G316</f>
        <v>0</v>
      </c>
      <c r="H315" s="72">
        <f>+H316</f>
        <v>0</v>
      </c>
      <c r="I315" s="72">
        <f t="shared" si="195"/>
        <v>0</v>
      </c>
      <c r="J315" s="72">
        <f>+J316</f>
        <v>11830000</v>
      </c>
      <c r="K315" s="72">
        <f>+K316</f>
        <v>18653000</v>
      </c>
      <c r="L315" s="72">
        <f>+J315+K315</f>
        <v>30483000</v>
      </c>
      <c r="M315" s="72">
        <f t="shared" si="197"/>
        <v>30483000</v>
      </c>
      <c r="N315" s="53">
        <f t="shared" si="198"/>
        <v>130160000</v>
      </c>
      <c r="P315" s="195"/>
      <c r="S315" s="282"/>
      <c r="T315" s="282"/>
      <c r="U315" s="243"/>
    </row>
    <row r="316" spans="1:21" s="67" customFormat="1" ht="18" customHeight="1" x14ac:dyDescent="0.25">
      <c r="A316" s="90"/>
      <c r="B316" s="91"/>
      <c r="C316" s="90"/>
      <c r="D316" s="57" t="s">
        <v>64</v>
      </c>
      <c r="E316" s="57" t="s">
        <v>65</v>
      </c>
      <c r="F316" s="58">
        <f>F317+F318</f>
        <v>160643000</v>
      </c>
      <c r="G316" s="59">
        <f>+G317</f>
        <v>0</v>
      </c>
      <c r="H316" s="59">
        <f>+H317</f>
        <v>0</v>
      </c>
      <c r="I316" s="59">
        <f t="shared" si="195"/>
        <v>0</v>
      </c>
      <c r="J316" s="59">
        <f>+J317</f>
        <v>11830000</v>
      </c>
      <c r="K316" s="59">
        <f>+K317</f>
        <v>18653000</v>
      </c>
      <c r="L316" s="59">
        <f>+J316+K316</f>
        <v>30483000</v>
      </c>
      <c r="M316" s="59">
        <f t="shared" si="197"/>
        <v>30483000</v>
      </c>
      <c r="N316" s="58">
        <f t="shared" si="198"/>
        <v>130160000</v>
      </c>
      <c r="P316" s="192"/>
      <c r="S316" s="282"/>
      <c r="T316" s="282"/>
      <c r="U316" s="249"/>
    </row>
    <row r="317" spans="1:21" s="49" customFormat="1" ht="18" customHeight="1" x14ac:dyDescent="0.25">
      <c r="A317" s="92"/>
      <c r="B317" s="93"/>
      <c r="C317" s="61"/>
      <c r="D317" s="62" t="s">
        <v>339</v>
      </c>
      <c r="E317" s="62" t="s">
        <v>340</v>
      </c>
      <c r="F317" s="63">
        <v>99000000</v>
      </c>
      <c r="G317" s="94"/>
      <c r="H317" s="94"/>
      <c r="I317" s="94"/>
      <c r="J317" s="75">
        <v>11830000</v>
      </c>
      <c r="K317" s="75">
        <f>1693000+9190000+7770000</f>
        <v>18653000</v>
      </c>
      <c r="L317" s="75">
        <f t="shared" ref="L317:L330" si="199">+J317+K317</f>
        <v>30483000</v>
      </c>
      <c r="M317" s="75">
        <f t="shared" si="197"/>
        <v>30483000</v>
      </c>
      <c r="N317" s="63">
        <f t="shared" si="198"/>
        <v>68517000</v>
      </c>
      <c r="P317" s="203"/>
      <c r="S317" s="281">
        <f>1693000+7770000+9190000</f>
        <v>18653000</v>
      </c>
      <c r="T317" s="282"/>
      <c r="U317" s="242"/>
    </row>
    <row r="318" spans="1:21" s="49" customFormat="1" ht="18" customHeight="1" x14ac:dyDescent="0.25">
      <c r="A318" s="92"/>
      <c r="B318" s="93"/>
      <c r="C318" s="61"/>
      <c r="D318" s="62" t="s">
        <v>361</v>
      </c>
      <c r="E318" s="62" t="s">
        <v>362</v>
      </c>
      <c r="F318" s="63">
        <v>61643000</v>
      </c>
      <c r="G318" s="94"/>
      <c r="H318" s="94"/>
      <c r="I318" s="94"/>
      <c r="J318" s="75"/>
      <c r="K318" s="75"/>
      <c r="L318" s="75">
        <f t="shared" si="199"/>
        <v>0</v>
      </c>
      <c r="M318" s="75">
        <f t="shared" si="197"/>
        <v>0</v>
      </c>
      <c r="N318" s="63">
        <f t="shared" si="198"/>
        <v>61643000</v>
      </c>
      <c r="P318" s="203"/>
      <c r="S318" s="282"/>
      <c r="T318" s="282"/>
      <c r="U318" s="242"/>
    </row>
    <row r="319" spans="1:21" s="55" customFormat="1" ht="18" customHeight="1" x14ac:dyDescent="0.25">
      <c r="A319" s="50"/>
      <c r="B319" s="51"/>
      <c r="C319" s="51"/>
      <c r="D319" s="71" t="s">
        <v>271</v>
      </c>
      <c r="E319" s="51" t="s">
        <v>272</v>
      </c>
      <c r="F319" s="53">
        <f>+F320</f>
        <v>36480000</v>
      </c>
      <c r="G319" s="72">
        <f>+G320</f>
        <v>0</v>
      </c>
      <c r="H319" s="72">
        <f>+H320</f>
        <v>0</v>
      </c>
      <c r="I319" s="72">
        <f>+G319+H319</f>
        <v>0</v>
      </c>
      <c r="J319" s="72">
        <f>+J320</f>
        <v>3200000</v>
      </c>
      <c r="K319" s="72">
        <f>+K320</f>
        <v>1600000</v>
      </c>
      <c r="L319" s="72">
        <f t="shared" si="199"/>
        <v>4800000</v>
      </c>
      <c r="M319" s="72">
        <f t="shared" si="197"/>
        <v>4800000</v>
      </c>
      <c r="N319" s="53">
        <f t="shared" si="198"/>
        <v>31680000</v>
      </c>
      <c r="P319" s="204"/>
      <c r="S319" s="282"/>
      <c r="T319" s="282"/>
      <c r="U319" s="243"/>
    </row>
    <row r="320" spans="1:21" s="67" customFormat="1" ht="18" customHeight="1" x14ac:dyDescent="0.25">
      <c r="A320" s="90"/>
      <c r="B320" s="91"/>
      <c r="C320" s="90"/>
      <c r="D320" s="57" t="s">
        <v>81</v>
      </c>
      <c r="E320" s="57" t="s">
        <v>31</v>
      </c>
      <c r="F320" s="58">
        <f>F321</f>
        <v>36480000</v>
      </c>
      <c r="G320" s="59">
        <f>+G321</f>
        <v>0</v>
      </c>
      <c r="H320" s="59">
        <f>+H321</f>
        <v>0</v>
      </c>
      <c r="I320" s="59">
        <f>+G320+H320</f>
        <v>0</v>
      </c>
      <c r="J320" s="59">
        <f>+J321</f>
        <v>3200000</v>
      </c>
      <c r="K320" s="59">
        <f>+K321</f>
        <v>1600000</v>
      </c>
      <c r="L320" s="59">
        <f t="shared" si="199"/>
        <v>4800000</v>
      </c>
      <c r="M320" s="59">
        <f t="shared" si="197"/>
        <v>4800000</v>
      </c>
      <c r="N320" s="58">
        <f t="shared" si="198"/>
        <v>31680000</v>
      </c>
      <c r="P320" s="203"/>
      <c r="S320" s="282"/>
      <c r="T320" s="282"/>
      <c r="U320" s="249"/>
    </row>
    <row r="321" spans="1:21" s="49" customFormat="1" ht="18" customHeight="1" x14ac:dyDescent="0.25">
      <c r="A321" s="92"/>
      <c r="B321" s="93"/>
      <c r="C321" s="61"/>
      <c r="D321" s="62" t="s">
        <v>82</v>
      </c>
      <c r="E321" s="62" t="s">
        <v>83</v>
      </c>
      <c r="F321" s="63">
        <v>36480000</v>
      </c>
      <c r="G321" s="94"/>
      <c r="H321" s="75"/>
      <c r="I321" s="94"/>
      <c r="J321" s="75">
        <v>3200000</v>
      </c>
      <c r="K321" s="75">
        <v>1600000</v>
      </c>
      <c r="L321" s="75">
        <f t="shared" si="199"/>
        <v>4800000</v>
      </c>
      <c r="M321" s="75">
        <f t="shared" si="197"/>
        <v>4800000</v>
      </c>
      <c r="N321" s="63">
        <f t="shared" si="198"/>
        <v>31680000</v>
      </c>
      <c r="P321" s="203"/>
      <c r="S321" s="281">
        <v>1600000</v>
      </c>
      <c r="T321" s="282"/>
      <c r="U321" s="242"/>
    </row>
    <row r="322" spans="1:21" s="55" customFormat="1" ht="18" customHeight="1" x14ac:dyDescent="0.25">
      <c r="A322" s="50"/>
      <c r="B322" s="51"/>
      <c r="C322" s="51"/>
      <c r="D322" s="71" t="s">
        <v>275</v>
      </c>
      <c r="E322" s="51" t="s">
        <v>276</v>
      </c>
      <c r="F322" s="53">
        <f>+F323</f>
        <v>827610000</v>
      </c>
      <c r="G322" s="72">
        <f>+G323</f>
        <v>0</v>
      </c>
      <c r="H322" s="72">
        <f>+H323</f>
        <v>0</v>
      </c>
      <c r="I322" s="72">
        <f>+G322+H322</f>
        <v>0</v>
      </c>
      <c r="J322" s="72">
        <f>+J323</f>
        <v>24655000</v>
      </c>
      <c r="K322" s="72">
        <f>+K323</f>
        <v>42964000</v>
      </c>
      <c r="L322" s="72">
        <f>+J322+K322</f>
        <v>67619000</v>
      </c>
      <c r="M322" s="72">
        <f t="shared" si="197"/>
        <v>67619000</v>
      </c>
      <c r="N322" s="53">
        <f t="shared" si="198"/>
        <v>759991000</v>
      </c>
      <c r="P322" s="204"/>
      <c r="S322" s="282"/>
      <c r="T322" s="282"/>
      <c r="U322" s="243"/>
    </row>
    <row r="323" spans="1:21" s="67" customFormat="1" ht="18" customHeight="1" x14ac:dyDescent="0.25">
      <c r="A323" s="90"/>
      <c r="B323" s="91"/>
      <c r="C323" s="90"/>
      <c r="D323" s="57" t="s">
        <v>114</v>
      </c>
      <c r="E323" s="57" t="s">
        <v>43</v>
      </c>
      <c r="F323" s="58">
        <f>SUM(F324:F330)</f>
        <v>827610000</v>
      </c>
      <c r="G323" s="59">
        <f>SUM(G325:G330)</f>
        <v>0</v>
      </c>
      <c r="H323" s="59">
        <f>SUM(H325:H330)</f>
        <v>0</v>
      </c>
      <c r="I323" s="59">
        <f>+G323+H323</f>
        <v>0</v>
      </c>
      <c r="J323" s="59">
        <f>SUM(J325:J330)</f>
        <v>24655000</v>
      </c>
      <c r="K323" s="59">
        <f>SUM(K324:K330)</f>
        <v>42964000</v>
      </c>
      <c r="L323" s="59">
        <f>+J323+K323</f>
        <v>67619000</v>
      </c>
      <c r="M323" s="59">
        <f t="shared" si="197"/>
        <v>67619000</v>
      </c>
      <c r="N323" s="58">
        <f t="shared" si="198"/>
        <v>759991000</v>
      </c>
      <c r="P323" s="203"/>
      <c r="S323" s="282"/>
      <c r="T323" s="282"/>
      <c r="U323" s="249"/>
    </row>
    <row r="324" spans="1:21" s="49" customFormat="1" ht="27" customHeight="1" x14ac:dyDescent="0.25">
      <c r="A324" s="170"/>
      <c r="B324" s="86"/>
      <c r="C324" s="171"/>
      <c r="D324" s="162" t="s">
        <v>478</v>
      </c>
      <c r="E324" s="172" t="s">
        <v>479</v>
      </c>
      <c r="F324" s="173">
        <v>31700000</v>
      </c>
      <c r="G324" s="174"/>
      <c r="H324" s="174"/>
      <c r="I324" s="174"/>
      <c r="J324" s="163"/>
      <c r="K324" s="163">
        <v>5794000</v>
      </c>
      <c r="L324" s="163">
        <f t="shared" ref="L324" si="200">+J324+K324</f>
        <v>5794000</v>
      </c>
      <c r="M324" s="163">
        <f t="shared" si="197"/>
        <v>5794000</v>
      </c>
      <c r="N324" s="173">
        <f t="shared" si="198"/>
        <v>25906000</v>
      </c>
      <c r="P324" s="203"/>
      <c r="S324" s="281">
        <f>954000+957000+975000+976000+975000+957000</f>
        <v>5794000</v>
      </c>
      <c r="T324" s="282"/>
      <c r="U324" s="242"/>
    </row>
    <row r="325" spans="1:21" s="49" customFormat="1" ht="35.25" customHeight="1" x14ac:dyDescent="0.25">
      <c r="A325" s="170"/>
      <c r="B325" s="86"/>
      <c r="C325" s="171"/>
      <c r="D325" s="162" t="s">
        <v>347</v>
      </c>
      <c r="E325" s="172" t="s">
        <v>348</v>
      </c>
      <c r="F325" s="173">
        <v>8500000</v>
      </c>
      <c r="G325" s="174"/>
      <c r="H325" s="174"/>
      <c r="I325" s="174"/>
      <c r="J325" s="163"/>
      <c r="K325" s="163"/>
      <c r="L325" s="163">
        <f t="shared" si="199"/>
        <v>0</v>
      </c>
      <c r="M325" s="163">
        <f t="shared" si="197"/>
        <v>0</v>
      </c>
      <c r="N325" s="173">
        <f t="shared" si="198"/>
        <v>8500000</v>
      </c>
      <c r="P325" s="203"/>
      <c r="S325" s="282"/>
      <c r="T325" s="282"/>
      <c r="U325" s="242"/>
    </row>
    <row r="326" spans="1:21" s="49" customFormat="1" ht="29.25" customHeight="1" x14ac:dyDescent="0.25">
      <c r="A326" s="170"/>
      <c r="B326" s="86"/>
      <c r="C326" s="162"/>
      <c r="D326" s="162" t="s">
        <v>349</v>
      </c>
      <c r="E326" s="172" t="s">
        <v>350</v>
      </c>
      <c r="F326" s="173">
        <v>99960000</v>
      </c>
      <c r="G326" s="174"/>
      <c r="H326" s="174"/>
      <c r="I326" s="174"/>
      <c r="J326" s="163">
        <v>13970000</v>
      </c>
      <c r="K326" s="163">
        <f>2275000+15000000</f>
        <v>17275000</v>
      </c>
      <c r="L326" s="163">
        <f t="shared" si="199"/>
        <v>31245000</v>
      </c>
      <c r="M326" s="163">
        <f t="shared" si="197"/>
        <v>31245000</v>
      </c>
      <c r="N326" s="173">
        <f>+F326-M326</f>
        <v>68715000</v>
      </c>
      <c r="P326" s="203"/>
      <c r="S326" s="281">
        <f>15000000+325000+750000+145000+60000+200000+95000+700000</f>
        <v>17275000</v>
      </c>
      <c r="T326" s="282"/>
      <c r="U326" s="242"/>
    </row>
    <row r="327" spans="1:21" s="49" customFormat="1" ht="35.25" customHeight="1" x14ac:dyDescent="0.25">
      <c r="A327" s="170"/>
      <c r="B327" s="86"/>
      <c r="C327" s="162"/>
      <c r="D327" s="162" t="s">
        <v>145</v>
      </c>
      <c r="E327" s="172" t="s">
        <v>351</v>
      </c>
      <c r="F327" s="173">
        <v>73200000</v>
      </c>
      <c r="G327" s="174"/>
      <c r="H327" s="174"/>
      <c r="I327" s="174"/>
      <c r="J327" s="163">
        <v>7975000</v>
      </c>
      <c r="K327" s="163">
        <v>6675000</v>
      </c>
      <c r="L327" s="163">
        <f t="shared" si="199"/>
        <v>14650000</v>
      </c>
      <c r="M327" s="163">
        <f t="shared" si="197"/>
        <v>14650000</v>
      </c>
      <c r="N327" s="173">
        <f>+F327-M327</f>
        <v>58550000</v>
      </c>
      <c r="P327" s="203"/>
      <c r="S327" s="281">
        <f>775000+950000+925000+675000+1000000+950000+1400000</f>
        <v>6675000</v>
      </c>
      <c r="T327" s="282"/>
      <c r="U327" s="242"/>
    </row>
    <row r="328" spans="1:21" s="49" customFormat="1" ht="18.75" customHeight="1" x14ac:dyDescent="0.25">
      <c r="A328" s="170"/>
      <c r="B328" s="86"/>
      <c r="C328" s="162"/>
      <c r="D328" s="162" t="s">
        <v>115</v>
      </c>
      <c r="E328" s="172" t="s">
        <v>116</v>
      </c>
      <c r="F328" s="173">
        <v>109500000</v>
      </c>
      <c r="G328" s="174"/>
      <c r="H328" s="174"/>
      <c r="I328" s="174"/>
      <c r="J328" s="163">
        <v>920000</v>
      </c>
      <c r="K328" s="163">
        <f>4470000+5350000</f>
        <v>9820000</v>
      </c>
      <c r="L328" s="163">
        <f t="shared" si="199"/>
        <v>10740000</v>
      </c>
      <c r="M328" s="163">
        <f t="shared" si="197"/>
        <v>10740000</v>
      </c>
      <c r="N328" s="173">
        <f>+F328-M328</f>
        <v>98760000</v>
      </c>
      <c r="P328" s="192"/>
      <c r="S328" s="281">
        <f>5350000+535000+440000+285000+565000+250000+745000+200000+200000+200000+900000+150000</f>
        <v>9820000</v>
      </c>
      <c r="T328" s="282"/>
      <c r="U328" s="242"/>
    </row>
    <row r="329" spans="1:21" s="49" customFormat="1" ht="21" customHeight="1" x14ac:dyDescent="0.25">
      <c r="A329" s="170"/>
      <c r="B329" s="86"/>
      <c r="C329" s="162"/>
      <c r="D329" s="162" t="s">
        <v>352</v>
      </c>
      <c r="E329" s="172" t="s">
        <v>353</v>
      </c>
      <c r="F329" s="173">
        <v>108500000</v>
      </c>
      <c r="G329" s="174"/>
      <c r="H329" s="174"/>
      <c r="I329" s="174"/>
      <c r="J329" s="163">
        <v>1790000</v>
      </c>
      <c r="K329" s="163">
        <f>3400000</f>
        <v>3400000</v>
      </c>
      <c r="L329" s="163">
        <f t="shared" si="199"/>
        <v>5190000</v>
      </c>
      <c r="M329" s="163">
        <f t="shared" si="197"/>
        <v>5190000</v>
      </c>
      <c r="N329" s="173">
        <f t="shared" si="198"/>
        <v>103310000</v>
      </c>
      <c r="P329" s="192"/>
      <c r="S329" s="281">
        <f>3400000</f>
        <v>3400000</v>
      </c>
      <c r="T329" s="282"/>
      <c r="U329" s="242"/>
    </row>
    <row r="330" spans="1:21" s="134" customFormat="1" ht="18" customHeight="1" x14ac:dyDescent="0.25">
      <c r="A330" s="151"/>
      <c r="B330" s="152"/>
      <c r="C330" s="124"/>
      <c r="D330" s="124" t="s">
        <v>354</v>
      </c>
      <c r="E330" s="139" t="s">
        <v>355</v>
      </c>
      <c r="F330" s="125">
        <v>396250000</v>
      </c>
      <c r="G330" s="140"/>
      <c r="H330" s="140"/>
      <c r="I330" s="140">
        <f t="shared" ref="I330:I347" si="201">+G330+H330</f>
        <v>0</v>
      </c>
      <c r="J330" s="140"/>
      <c r="K330" s="140"/>
      <c r="L330" s="140">
        <f t="shared" si="199"/>
        <v>0</v>
      </c>
      <c r="M330" s="140">
        <f t="shared" si="197"/>
        <v>0</v>
      </c>
      <c r="N330" s="125">
        <f t="shared" si="198"/>
        <v>396250000</v>
      </c>
      <c r="P330" s="197"/>
      <c r="S330" s="286"/>
      <c r="T330" s="286"/>
      <c r="U330" s="247"/>
    </row>
    <row r="331" spans="1:21" s="121" customFormat="1" ht="22.5" customHeight="1" x14ac:dyDescent="0.25">
      <c r="A331" s="154">
        <v>18</v>
      </c>
      <c r="B331" s="155"/>
      <c r="C331" s="155" t="s">
        <v>146</v>
      </c>
      <c r="D331" s="156"/>
      <c r="E331" s="164" t="s">
        <v>356</v>
      </c>
      <c r="F331" s="158">
        <f t="shared" ref="F331:H334" si="202">+F332</f>
        <v>399988000</v>
      </c>
      <c r="G331" s="159">
        <f t="shared" si="202"/>
        <v>0</v>
      </c>
      <c r="H331" s="159">
        <f t="shared" si="202"/>
        <v>0</v>
      </c>
      <c r="I331" s="159">
        <f t="shared" si="201"/>
        <v>0</v>
      </c>
      <c r="J331" s="159">
        <f t="shared" ref="J331:K335" si="203">+J332</f>
        <v>0</v>
      </c>
      <c r="K331" s="159">
        <f t="shared" si="203"/>
        <v>0</v>
      </c>
      <c r="L331" s="159">
        <f>+J331+K331</f>
        <v>0</v>
      </c>
      <c r="M331" s="159">
        <f>+I331+L331</f>
        <v>0</v>
      </c>
      <c r="N331" s="158">
        <f>+F331-M331</f>
        <v>399988000</v>
      </c>
      <c r="P331" s="190"/>
      <c r="R331" s="122"/>
      <c r="S331" s="283"/>
      <c r="T331" s="283"/>
      <c r="U331" s="246"/>
    </row>
    <row r="332" spans="1:21" s="107" customFormat="1" ht="18" customHeight="1" x14ac:dyDescent="0.25">
      <c r="A332" s="101"/>
      <c r="B332" s="102"/>
      <c r="C332" s="102"/>
      <c r="D332" s="103" t="s">
        <v>207</v>
      </c>
      <c r="E332" s="104" t="s">
        <v>262</v>
      </c>
      <c r="F332" s="105">
        <f t="shared" si="202"/>
        <v>399988000</v>
      </c>
      <c r="G332" s="106">
        <f t="shared" si="202"/>
        <v>0</v>
      </c>
      <c r="H332" s="106">
        <f t="shared" si="202"/>
        <v>0</v>
      </c>
      <c r="I332" s="106">
        <f t="shared" si="201"/>
        <v>0</v>
      </c>
      <c r="J332" s="106">
        <f t="shared" si="203"/>
        <v>0</v>
      </c>
      <c r="K332" s="106">
        <f t="shared" si="203"/>
        <v>0</v>
      </c>
      <c r="L332" s="106">
        <f>+J332+K332</f>
        <v>0</v>
      </c>
      <c r="M332" s="106">
        <f t="shared" ref="M332:M336" si="204">+I332+L332</f>
        <v>0</v>
      </c>
      <c r="N332" s="105">
        <f>+F332-M332</f>
        <v>399988000</v>
      </c>
      <c r="P332" s="191"/>
      <c r="R332" s="108"/>
      <c r="S332" s="284"/>
      <c r="T332" s="284"/>
      <c r="U332" s="241"/>
    </row>
    <row r="333" spans="1:21" s="67" customFormat="1" ht="18" customHeight="1" x14ac:dyDescent="0.25">
      <c r="A333" s="88"/>
      <c r="B333" s="89"/>
      <c r="C333" s="88"/>
      <c r="D333" s="45" t="s">
        <v>63</v>
      </c>
      <c r="E333" s="45" t="s">
        <v>30</v>
      </c>
      <c r="F333" s="47">
        <f t="shared" si="202"/>
        <v>399988000</v>
      </c>
      <c r="G333" s="70">
        <f t="shared" si="202"/>
        <v>0</v>
      </c>
      <c r="H333" s="70">
        <f t="shared" si="202"/>
        <v>0</v>
      </c>
      <c r="I333" s="70">
        <f t="shared" si="201"/>
        <v>0</v>
      </c>
      <c r="J333" s="70">
        <f t="shared" si="203"/>
        <v>0</v>
      </c>
      <c r="K333" s="70">
        <f t="shared" si="203"/>
        <v>0</v>
      </c>
      <c r="L333" s="70">
        <f>+J333+K333</f>
        <v>0</v>
      </c>
      <c r="M333" s="70">
        <f t="shared" si="204"/>
        <v>0</v>
      </c>
      <c r="N333" s="47">
        <f t="shared" ref="N333:N336" si="205">+F333-M333</f>
        <v>399988000</v>
      </c>
      <c r="P333" s="192"/>
      <c r="S333" s="282"/>
      <c r="T333" s="282"/>
      <c r="U333" s="249"/>
    </row>
    <row r="334" spans="1:21" s="55" customFormat="1" ht="18" customHeight="1" x14ac:dyDescent="0.25">
      <c r="A334" s="50"/>
      <c r="B334" s="51"/>
      <c r="C334" s="51"/>
      <c r="D334" s="71" t="s">
        <v>275</v>
      </c>
      <c r="E334" s="51" t="s">
        <v>276</v>
      </c>
      <c r="F334" s="53">
        <f t="shared" si="202"/>
        <v>399988000</v>
      </c>
      <c r="G334" s="72">
        <f t="shared" si="202"/>
        <v>0</v>
      </c>
      <c r="H334" s="72">
        <f t="shared" si="202"/>
        <v>0</v>
      </c>
      <c r="I334" s="72">
        <f t="shared" si="201"/>
        <v>0</v>
      </c>
      <c r="J334" s="72">
        <f t="shared" si="203"/>
        <v>0</v>
      </c>
      <c r="K334" s="72">
        <f t="shared" si="203"/>
        <v>0</v>
      </c>
      <c r="L334" s="72">
        <f>+J334+K334</f>
        <v>0</v>
      </c>
      <c r="M334" s="72">
        <f t="shared" si="204"/>
        <v>0</v>
      </c>
      <c r="N334" s="53">
        <f t="shared" si="205"/>
        <v>399988000</v>
      </c>
      <c r="P334" s="195"/>
      <c r="S334" s="282"/>
      <c r="T334" s="282"/>
      <c r="U334" s="243"/>
    </row>
    <row r="335" spans="1:21" s="67" customFormat="1" ht="18" customHeight="1" x14ac:dyDescent="0.25">
      <c r="A335" s="90"/>
      <c r="B335" s="91"/>
      <c r="C335" s="90"/>
      <c r="D335" s="57" t="s">
        <v>147</v>
      </c>
      <c r="E335" s="57" t="s">
        <v>35</v>
      </c>
      <c r="F335" s="58">
        <f>F336</f>
        <v>399988000</v>
      </c>
      <c r="G335" s="59">
        <f>+G336</f>
        <v>0</v>
      </c>
      <c r="H335" s="59">
        <f>+H336</f>
        <v>0</v>
      </c>
      <c r="I335" s="59">
        <f t="shared" si="201"/>
        <v>0</v>
      </c>
      <c r="J335" s="59">
        <f t="shared" si="203"/>
        <v>0</v>
      </c>
      <c r="K335" s="59">
        <f t="shared" si="203"/>
        <v>0</v>
      </c>
      <c r="L335" s="59">
        <f>+J335+K335</f>
        <v>0</v>
      </c>
      <c r="M335" s="59">
        <f t="shared" si="204"/>
        <v>0</v>
      </c>
      <c r="N335" s="58">
        <f t="shared" si="205"/>
        <v>399988000</v>
      </c>
      <c r="P335" s="192"/>
      <c r="S335" s="282"/>
      <c r="T335" s="282"/>
      <c r="U335" s="249"/>
    </row>
    <row r="336" spans="1:21" s="134" customFormat="1" ht="33.75" customHeight="1" x14ac:dyDescent="0.25">
      <c r="A336" s="265"/>
      <c r="B336" s="144"/>
      <c r="C336" s="165"/>
      <c r="D336" s="166" t="s">
        <v>148</v>
      </c>
      <c r="E336" s="167" t="s">
        <v>149</v>
      </c>
      <c r="F336" s="168">
        <v>399988000</v>
      </c>
      <c r="G336" s="266"/>
      <c r="H336" s="169"/>
      <c r="I336" s="169">
        <f t="shared" si="201"/>
        <v>0</v>
      </c>
      <c r="J336" s="169"/>
      <c r="K336" s="169"/>
      <c r="L336" s="169">
        <f t="shared" ref="L336" si="206">+J336+K336</f>
        <v>0</v>
      </c>
      <c r="M336" s="169">
        <f t="shared" si="204"/>
        <v>0</v>
      </c>
      <c r="N336" s="168">
        <f t="shared" si="205"/>
        <v>399988000</v>
      </c>
      <c r="P336" s="197"/>
      <c r="S336" s="286"/>
      <c r="T336" s="286"/>
      <c r="U336" s="247"/>
    </row>
    <row r="337" spans="1:21" s="121" customFormat="1" ht="34.5" customHeight="1" x14ac:dyDescent="0.25">
      <c r="A337" s="154">
        <v>19</v>
      </c>
      <c r="B337" s="155"/>
      <c r="C337" s="155" t="s">
        <v>151</v>
      </c>
      <c r="D337" s="156"/>
      <c r="E337" s="164" t="s">
        <v>152</v>
      </c>
      <c r="F337" s="158">
        <f t="shared" ref="F337:H340" si="207">+F338</f>
        <v>200000000</v>
      </c>
      <c r="G337" s="159">
        <f t="shared" si="207"/>
        <v>0</v>
      </c>
      <c r="H337" s="159">
        <f t="shared" si="207"/>
        <v>0</v>
      </c>
      <c r="I337" s="159">
        <f t="shared" si="201"/>
        <v>0</v>
      </c>
      <c r="J337" s="159">
        <f t="shared" ref="J337:K341" si="208">+J338</f>
        <v>0</v>
      </c>
      <c r="K337" s="159">
        <f t="shared" si="208"/>
        <v>0</v>
      </c>
      <c r="L337" s="159">
        <f>+J337+K337</f>
        <v>0</v>
      </c>
      <c r="M337" s="159">
        <f>+I337+L337</f>
        <v>0</v>
      </c>
      <c r="N337" s="158">
        <f>+F337-M337</f>
        <v>200000000</v>
      </c>
      <c r="P337" s="190"/>
      <c r="R337" s="122"/>
      <c r="S337" s="283"/>
      <c r="T337" s="283"/>
      <c r="U337" s="246"/>
    </row>
    <row r="338" spans="1:21" s="107" customFormat="1" ht="18" customHeight="1" x14ac:dyDescent="0.25">
      <c r="A338" s="101"/>
      <c r="B338" s="102"/>
      <c r="C338" s="102"/>
      <c r="D338" s="103" t="s">
        <v>207</v>
      </c>
      <c r="E338" s="104" t="s">
        <v>262</v>
      </c>
      <c r="F338" s="105">
        <f t="shared" si="207"/>
        <v>200000000</v>
      </c>
      <c r="G338" s="106">
        <f t="shared" si="207"/>
        <v>0</v>
      </c>
      <c r="H338" s="106">
        <f t="shared" si="207"/>
        <v>0</v>
      </c>
      <c r="I338" s="106">
        <f t="shared" si="201"/>
        <v>0</v>
      </c>
      <c r="J338" s="106">
        <f t="shared" si="208"/>
        <v>0</v>
      </c>
      <c r="K338" s="106">
        <f t="shared" si="208"/>
        <v>0</v>
      </c>
      <c r="L338" s="106">
        <f>+J338+K338</f>
        <v>0</v>
      </c>
      <c r="M338" s="106">
        <f t="shared" ref="M338:M342" si="209">+I338+L338</f>
        <v>0</v>
      </c>
      <c r="N338" s="105">
        <f t="shared" ref="N338:N342" si="210">+F338-M338</f>
        <v>200000000</v>
      </c>
      <c r="P338" s="191"/>
      <c r="R338" s="108"/>
      <c r="S338" s="284"/>
      <c r="T338" s="284"/>
      <c r="U338" s="241"/>
    </row>
    <row r="339" spans="1:21" s="67" customFormat="1" ht="18" customHeight="1" x14ac:dyDescent="0.25">
      <c r="A339" s="88"/>
      <c r="B339" s="89"/>
      <c r="C339" s="88"/>
      <c r="D339" s="45" t="s">
        <v>63</v>
      </c>
      <c r="E339" s="45" t="s">
        <v>30</v>
      </c>
      <c r="F339" s="47">
        <f t="shared" si="207"/>
        <v>200000000</v>
      </c>
      <c r="G339" s="70">
        <f t="shared" si="207"/>
        <v>0</v>
      </c>
      <c r="H339" s="70">
        <f t="shared" si="207"/>
        <v>0</v>
      </c>
      <c r="I339" s="70">
        <f t="shared" si="201"/>
        <v>0</v>
      </c>
      <c r="J339" s="70">
        <f t="shared" si="208"/>
        <v>0</v>
      </c>
      <c r="K339" s="70">
        <f t="shared" si="208"/>
        <v>0</v>
      </c>
      <c r="L339" s="70">
        <f>+J339+K339</f>
        <v>0</v>
      </c>
      <c r="M339" s="70">
        <f t="shared" si="209"/>
        <v>0</v>
      </c>
      <c r="N339" s="47">
        <f t="shared" si="210"/>
        <v>200000000</v>
      </c>
      <c r="P339" s="192"/>
      <c r="S339" s="282"/>
      <c r="T339" s="282"/>
      <c r="U339" s="249"/>
    </row>
    <row r="340" spans="1:21" s="55" customFormat="1" ht="18" customHeight="1" x14ac:dyDescent="0.25">
      <c r="A340" s="50"/>
      <c r="B340" s="51"/>
      <c r="C340" s="51"/>
      <c r="D340" s="71" t="s">
        <v>275</v>
      </c>
      <c r="E340" s="51" t="s">
        <v>276</v>
      </c>
      <c r="F340" s="53">
        <f t="shared" si="207"/>
        <v>200000000</v>
      </c>
      <c r="G340" s="72">
        <f t="shared" si="207"/>
        <v>0</v>
      </c>
      <c r="H340" s="72">
        <f t="shared" si="207"/>
        <v>0</v>
      </c>
      <c r="I340" s="72">
        <f t="shared" si="201"/>
        <v>0</v>
      </c>
      <c r="J340" s="72">
        <f t="shared" si="208"/>
        <v>0</v>
      </c>
      <c r="K340" s="72">
        <f t="shared" si="208"/>
        <v>0</v>
      </c>
      <c r="L340" s="72">
        <f>+J340+K340</f>
        <v>0</v>
      </c>
      <c r="M340" s="72">
        <f t="shared" si="209"/>
        <v>0</v>
      </c>
      <c r="N340" s="53">
        <f t="shared" si="210"/>
        <v>200000000</v>
      </c>
      <c r="P340" s="195"/>
      <c r="S340" s="282"/>
      <c r="T340" s="282"/>
      <c r="U340" s="243"/>
    </row>
    <row r="341" spans="1:21" s="67" customFormat="1" ht="18" customHeight="1" x14ac:dyDescent="0.25">
      <c r="A341" s="90"/>
      <c r="B341" s="91"/>
      <c r="C341" s="90"/>
      <c r="D341" s="57" t="s">
        <v>147</v>
      </c>
      <c r="E341" s="57" t="s">
        <v>35</v>
      </c>
      <c r="F341" s="58">
        <f>F342</f>
        <v>200000000</v>
      </c>
      <c r="G341" s="59">
        <f>+G342</f>
        <v>0</v>
      </c>
      <c r="H341" s="59">
        <f>+H342</f>
        <v>0</v>
      </c>
      <c r="I341" s="59">
        <f t="shared" si="201"/>
        <v>0</v>
      </c>
      <c r="J341" s="59">
        <f t="shared" si="208"/>
        <v>0</v>
      </c>
      <c r="K341" s="59">
        <f t="shared" si="208"/>
        <v>0</v>
      </c>
      <c r="L341" s="59">
        <f>+J341+K341</f>
        <v>0</v>
      </c>
      <c r="M341" s="59">
        <f t="shared" si="209"/>
        <v>0</v>
      </c>
      <c r="N341" s="58">
        <f t="shared" si="210"/>
        <v>200000000</v>
      </c>
      <c r="P341" s="192"/>
      <c r="S341" s="282"/>
      <c r="T341" s="282"/>
      <c r="U341" s="249"/>
    </row>
    <row r="342" spans="1:21" s="134" customFormat="1" ht="33.75" customHeight="1" x14ac:dyDescent="0.25">
      <c r="A342" s="265"/>
      <c r="B342" s="144"/>
      <c r="C342" s="165"/>
      <c r="D342" s="166" t="s">
        <v>148</v>
      </c>
      <c r="E342" s="167" t="s">
        <v>149</v>
      </c>
      <c r="F342" s="168">
        <v>200000000</v>
      </c>
      <c r="G342" s="266"/>
      <c r="H342" s="169"/>
      <c r="I342" s="169">
        <f t="shared" si="201"/>
        <v>0</v>
      </c>
      <c r="J342" s="169"/>
      <c r="K342" s="169"/>
      <c r="L342" s="169">
        <f t="shared" ref="L342" si="211">+J342+K342</f>
        <v>0</v>
      </c>
      <c r="M342" s="169">
        <f t="shared" si="209"/>
        <v>0</v>
      </c>
      <c r="N342" s="168">
        <f t="shared" si="210"/>
        <v>200000000</v>
      </c>
      <c r="P342" s="197"/>
      <c r="S342" s="286"/>
      <c r="T342" s="286"/>
      <c r="U342" s="247"/>
    </row>
    <row r="343" spans="1:21" s="121" customFormat="1" ht="34.5" customHeight="1" x14ac:dyDescent="0.25">
      <c r="A343" s="154">
        <v>20</v>
      </c>
      <c r="B343" s="155"/>
      <c r="C343" s="155" t="s">
        <v>153</v>
      </c>
      <c r="D343" s="156"/>
      <c r="E343" s="164" t="s">
        <v>154</v>
      </c>
      <c r="F343" s="158">
        <f t="shared" ref="F343:H346" si="212">+F344</f>
        <v>80000000</v>
      </c>
      <c r="G343" s="159">
        <f t="shared" si="212"/>
        <v>0</v>
      </c>
      <c r="H343" s="159">
        <f t="shared" si="212"/>
        <v>0</v>
      </c>
      <c r="I343" s="159">
        <f t="shared" si="201"/>
        <v>0</v>
      </c>
      <c r="J343" s="159">
        <f t="shared" ref="J343:K347" si="213">+J344</f>
        <v>0</v>
      </c>
      <c r="K343" s="159">
        <f t="shared" si="213"/>
        <v>20000000</v>
      </c>
      <c r="L343" s="159">
        <f>+J343+K343</f>
        <v>20000000</v>
      </c>
      <c r="M343" s="159">
        <f>+I343+L343</f>
        <v>20000000</v>
      </c>
      <c r="N343" s="158">
        <f>+F343-M343</f>
        <v>60000000</v>
      </c>
      <c r="P343" s="190"/>
      <c r="R343" s="122"/>
      <c r="S343" s="283"/>
      <c r="T343" s="283"/>
      <c r="U343" s="246"/>
    </row>
    <row r="344" spans="1:21" s="107" customFormat="1" ht="18" customHeight="1" x14ac:dyDescent="0.25">
      <c r="A344" s="101"/>
      <c r="B344" s="102"/>
      <c r="C344" s="102"/>
      <c r="D344" s="103" t="s">
        <v>207</v>
      </c>
      <c r="E344" s="104" t="s">
        <v>262</v>
      </c>
      <c r="F344" s="105">
        <f t="shared" si="212"/>
        <v>80000000</v>
      </c>
      <c r="G344" s="106">
        <f t="shared" si="212"/>
        <v>0</v>
      </c>
      <c r="H344" s="106">
        <f t="shared" si="212"/>
        <v>0</v>
      </c>
      <c r="I344" s="106">
        <f t="shared" si="201"/>
        <v>0</v>
      </c>
      <c r="J344" s="106">
        <f t="shared" si="213"/>
        <v>0</v>
      </c>
      <c r="K344" s="106">
        <f t="shared" si="213"/>
        <v>20000000</v>
      </c>
      <c r="L344" s="106">
        <f>+J344+K344</f>
        <v>20000000</v>
      </c>
      <c r="M344" s="106">
        <f t="shared" ref="M344:M348" si="214">+I344+L344</f>
        <v>20000000</v>
      </c>
      <c r="N344" s="105">
        <f t="shared" ref="N344:N348" si="215">+F344-M344</f>
        <v>60000000</v>
      </c>
      <c r="P344" s="191"/>
      <c r="R344" s="108"/>
      <c r="S344" s="284"/>
      <c r="T344" s="284"/>
      <c r="U344" s="241"/>
    </row>
    <row r="345" spans="1:21" s="67" customFormat="1" ht="18" customHeight="1" x14ac:dyDescent="0.25">
      <c r="A345" s="88"/>
      <c r="B345" s="89"/>
      <c r="C345" s="88"/>
      <c r="D345" s="45" t="s">
        <v>63</v>
      </c>
      <c r="E345" s="45" t="s">
        <v>30</v>
      </c>
      <c r="F345" s="47">
        <f t="shared" si="212"/>
        <v>80000000</v>
      </c>
      <c r="G345" s="70">
        <f t="shared" si="212"/>
        <v>0</v>
      </c>
      <c r="H345" s="70">
        <f t="shared" si="212"/>
        <v>0</v>
      </c>
      <c r="I345" s="70">
        <f t="shared" si="201"/>
        <v>0</v>
      </c>
      <c r="J345" s="70">
        <f t="shared" si="213"/>
        <v>0</v>
      </c>
      <c r="K345" s="70">
        <f t="shared" si="213"/>
        <v>20000000</v>
      </c>
      <c r="L345" s="70">
        <f>+J345+K345</f>
        <v>20000000</v>
      </c>
      <c r="M345" s="70">
        <f t="shared" si="214"/>
        <v>20000000</v>
      </c>
      <c r="N345" s="47">
        <f t="shared" si="215"/>
        <v>60000000</v>
      </c>
      <c r="P345" s="192"/>
      <c r="S345" s="282"/>
      <c r="T345" s="282"/>
      <c r="U345" s="249"/>
    </row>
    <row r="346" spans="1:21" s="55" customFormat="1" ht="18" customHeight="1" x14ac:dyDescent="0.25">
      <c r="A346" s="50"/>
      <c r="B346" s="51"/>
      <c r="C346" s="51"/>
      <c r="D346" s="71" t="s">
        <v>275</v>
      </c>
      <c r="E346" s="51" t="s">
        <v>276</v>
      </c>
      <c r="F346" s="53">
        <f t="shared" si="212"/>
        <v>80000000</v>
      </c>
      <c r="G346" s="72">
        <f t="shared" si="212"/>
        <v>0</v>
      </c>
      <c r="H346" s="72">
        <f t="shared" si="212"/>
        <v>0</v>
      </c>
      <c r="I346" s="72">
        <f t="shared" si="201"/>
        <v>0</v>
      </c>
      <c r="J346" s="72">
        <f t="shared" si="213"/>
        <v>0</v>
      </c>
      <c r="K346" s="72">
        <f t="shared" si="213"/>
        <v>20000000</v>
      </c>
      <c r="L346" s="72">
        <f>+J346+K346</f>
        <v>20000000</v>
      </c>
      <c r="M346" s="72">
        <f t="shared" si="214"/>
        <v>20000000</v>
      </c>
      <c r="N346" s="53">
        <f t="shared" si="215"/>
        <v>60000000</v>
      </c>
      <c r="P346" s="195"/>
      <c r="S346" s="282"/>
      <c r="T346" s="282"/>
      <c r="U346" s="243"/>
    </row>
    <row r="347" spans="1:21" s="67" customFormat="1" ht="18" customHeight="1" x14ac:dyDescent="0.25">
      <c r="A347" s="90"/>
      <c r="B347" s="91"/>
      <c r="C347" s="90"/>
      <c r="D347" s="57" t="s">
        <v>114</v>
      </c>
      <c r="E347" s="57" t="s">
        <v>43</v>
      </c>
      <c r="F347" s="58">
        <f>F348</f>
        <v>80000000</v>
      </c>
      <c r="G347" s="59">
        <f>+G348</f>
        <v>0</v>
      </c>
      <c r="H347" s="59">
        <f>+H348</f>
        <v>0</v>
      </c>
      <c r="I347" s="59">
        <f t="shared" si="201"/>
        <v>0</v>
      </c>
      <c r="J347" s="59">
        <f t="shared" si="213"/>
        <v>0</v>
      </c>
      <c r="K347" s="59">
        <f t="shared" si="213"/>
        <v>20000000</v>
      </c>
      <c r="L347" s="59">
        <f>+J347+K347</f>
        <v>20000000</v>
      </c>
      <c r="M347" s="59">
        <f t="shared" si="214"/>
        <v>20000000</v>
      </c>
      <c r="N347" s="58">
        <f t="shared" si="215"/>
        <v>60000000</v>
      </c>
      <c r="P347" s="192"/>
      <c r="S347" s="282"/>
      <c r="T347" s="282"/>
      <c r="U347" s="249"/>
    </row>
    <row r="348" spans="1:21" s="49" customFormat="1" ht="20.25" customHeight="1" x14ac:dyDescent="0.25">
      <c r="A348" s="170"/>
      <c r="B348" s="86"/>
      <c r="C348" s="171"/>
      <c r="D348" s="162" t="s">
        <v>349</v>
      </c>
      <c r="E348" s="172" t="s">
        <v>350</v>
      </c>
      <c r="F348" s="173">
        <v>80000000</v>
      </c>
      <c r="G348" s="174"/>
      <c r="H348" s="174"/>
      <c r="I348" s="174"/>
      <c r="J348" s="163"/>
      <c r="K348" s="163">
        <v>20000000</v>
      </c>
      <c r="L348" s="163">
        <f t="shared" ref="L348" si="216">+J348+K348</f>
        <v>20000000</v>
      </c>
      <c r="M348" s="163">
        <f t="shared" si="214"/>
        <v>20000000</v>
      </c>
      <c r="N348" s="173">
        <f t="shared" si="215"/>
        <v>60000000</v>
      </c>
      <c r="P348" s="192"/>
      <c r="S348" s="281">
        <v>20000000</v>
      </c>
      <c r="T348" s="282"/>
      <c r="U348" s="242"/>
    </row>
    <row r="349" spans="1:21" s="134" customFormat="1" ht="18" customHeight="1" x14ac:dyDescent="0.25">
      <c r="A349" s="129"/>
      <c r="B349" s="131"/>
      <c r="C349" s="131"/>
      <c r="D349" s="131"/>
      <c r="E349" s="131"/>
      <c r="F349" s="132"/>
      <c r="G349" s="133"/>
      <c r="H349" s="133"/>
      <c r="I349" s="133"/>
      <c r="J349" s="133"/>
      <c r="K349" s="133"/>
      <c r="L349" s="133"/>
      <c r="M349" s="133"/>
      <c r="N349" s="132"/>
      <c r="P349" s="197"/>
      <c r="S349" s="286"/>
      <c r="T349" s="286"/>
      <c r="U349" s="247"/>
    </row>
    <row r="350" spans="1:21" s="137" customFormat="1" ht="18.75" customHeight="1" x14ac:dyDescent="0.25">
      <c r="A350" s="109"/>
      <c r="B350" s="110" t="s">
        <v>410</v>
      </c>
      <c r="C350" s="110"/>
      <c r="D350" s="110"/>
      <c r="E350" s="150" t="s">
        <v>411</v>
      </c>
      <c r="F350" s="135">
        <f>+F351+F357+F369+F375</f>
        <v>352609205400</v>
      </c>
      <c r="G350" s="113">
        <f>G351+G357+G369+G375</f>
        <v>12413234000</v>
      </c>
      <c r="H350" s="113">
        <f>+H351+H357+H369+H375</f>
        <v>25149117000</v>
      </c>
      <c r="I350" s="136">
        <f>+G350+H350</f>
        <v>37562351000</v>
      </c>
      <c r="J350" s="113">
        <f>J351+J357+J369+J375</f>
        <v>0</v>
      </c>
      <c r="K350" s="113">
        <f>+K352</f>
        <v>0</v>
      </c>
      <c r="L350" s="136">
        <f t="shared" ref="L350:L364" si="217">+J350+K350</f>
        <v>0</v>
      </c>
      <c r="M350" s="136">
        <f t="shared" ref="M350:M364" si="218">+I350+L350</f>
        <v>37562351000</v>
      </c>
      <c r="N350" s="135">
        <f t="shared" ref="N350:N355" si="219">+F350-M350</f>
        <v>315046854400</v>
      </c>
      <c r="P350" s="198"/>
      <c r="R350" s="138"/>
      <c r="S350" s="287"/>
      <c r="T350" s="287"/>
      <c r="U350" s="248"/>
    </row>
    <row r="351" spans="1:21" s="121" customFormat="1" ht="32.25" hidden="1" customHeight="1" x14ac:dyDescent="0.25">
      <c r="A351" s="154">
        <v>21</v>
      </c>
      <c r="B351" s="155"/>
      <c r="C351" s="155" t="s">
        <v>280</v>
      </c>
      <c r="D351" s="156"/>
      <c r="E351" s="164" t="s">
        <v>279</v>
      </c>
      <c r="F351" s="158">
        <f t="shared" ref="F351:H355" si="220">+F352</f>
        <v>0</v>
      </c>
      <c r="G351" s="159">
        <f t="shared" si="220"/>
        <v>0</v>
      </c>
      <c r="H351" s="159">
        <f>+H352</f>
        <v>0</v>
      </c>
      <c r="I351" s="159">
        <f>+G351+H351</f>
        <v>0</v>
      </c>
      <c r="J351" s="159">
        <f>+J352</f>
        <v>0</v>
      </c>
      <c r="K351" s="159">
        <f>+K352</f>
        <v>0</v>
      </c>
      <c r="L351" s="159">
        <f t="shared" si="217"/>
        <v>0</v>
      </c>
      <c r="M351" s="159">
        <f>+I351+L351</f>
        <v>0</v>
      </c>
      <c r="N351" s="158">
        <f>+F351-M351</f>
        <v>0</v>
      </c>
      <c r="P351" s="190"/>
      <c r="R351" s="122"/>
      <c r="S351" s="283"/>
      <c r="T351" s="283"/>
      <c r="U351" s="246"/>
    </row>
    <row r="352" spans="1:21" s="107" customFormat="1" ht="18" hidden="1" customHeight="1" x14ac:dyDescent="0.25">
      <c r="A352" s="101"/>
      <c r="B352" s="102"/>
      <c r="C352" s="102"/>
      <c r="D352" s="103" t="s">
        <v>207</v>
      </c>
      <c r="E352" s="104" t="s">
        <v>262</v>
      </c>
      <c r="F352" s="105">
        <f t="shared" si="220"/>
        <v>0</v>
      </c>
      <c r="G352" s="106">
        <f t="shared" si="220"/>
        <v>0</v>
      </c>
      <c r="H352" s="106">
        <f t="shared" si="220"/>
        <v>0</v>
      </c>
      <c r="I352" s="106">
        <f t="shared" ref="I352:I368" si="221">+G352+H352</f>
        <v>0</v>
      </c>
      <c r="J352" s="106">
        <f>+J353</f>
        <v>0</v>
      </c>
      <c r="K352" s="106">
        <f>+K353</f>
        <v>0</v>
      </c>
      <c r="L352" s="106">
        <f t="shared" si="217"/>
        <v>0</v>
      </c>
      <c r="M352" s="106">
        <f t="shared" si="218"/>
        <v>0</v>
      </c>
      <c r="N352" s="105">
        <f t="shared" si="219"/>
        <v>0</v>
      </c>
      <c r="P352" s="191"/>
      <c r="R352" s="108"/>
      <c r="S352" s="284"/>
      <c r="T352" s="284"/>
      <c r="U352" s="241"/>
    </row>
    <row r="353" spans="1:21" s="67" customFormat="1" ht="18" hidden="1" customHeight="1" x14ac:dyDescent="0.25">
      <c r="A353" s="88"/>
      <c r="B353" s="45"/>
      <c r="C353" s="45"/>
      <c r="D353" s="45" t="s">
        <v>281</v>
      </c>
      <c r="E353" s="45" t="s">
        <v>282</v>
      </c>
      <c r="F353" s="47">
        <f t="shared" si="220"/>
        <v>0</v>
      </c>
      <c r="G353" s="48">
        <f t="shared" si="220"/>
        <v>0</v>
      </c>
      <c r="H353" s="48">
        <f t="shared" si="220"/>
        <v>0</v>
      </c>
      <c r="I353" s="48">
        <f>+G353+H353</f>
        <v>0</v>
      </c>
      <c r="J353" s="48">
        <f>+J354+J363</f>
        <v>0</v>
      </c>
      <c r="K353" s="48">
        <f>+K354+K363</f>
        <v>0</v>
      </c>
      <c r="L353" s="48">
        <f t="shared" si="217"/>
        <v>0</v>
      </c>
      <c r="M353" s="48">
        <f>+I353+L353</f>
        <v>0</v>
      </c>
      <c r="N353" s="95">
        <f t="shared" si="219"/>
        <v>0</v>
      </c>
      <c r="P353" s="192"/>
      <c r="S353" s="282"/>
      <c r="T353" s="282"/>
      <c r="U353" s="249"/>
    </row>
    <row r="354" spans="1:21" s="55" customFormat="1" ht="18" hidden="1" customHeight="1" x14ac:dyDescent="0.25">
      <c r="A354" s="50"/>
      <c r="B354" s="51"/>
      <c r="C354" s="51"/>
      <c r="D354" s="51" t="s">
        <v>283</v>
      </c>
      <c r="E354" s="52" t="s">
        <v>284</v>
      </c>
      <c r="F354" s="53">
        <f t="shared" si="220"/>
        <v>0</v>
      </c>
      <c r="G354" s="54">
        <f t="shared" si="220"/>
        <v>0</v>
      </c>
      <c r="H354" s="54">
        <f t="shared" si="220"/>
        <v>0</v>
      </c>
      <c r="I354" s="54">
        <f t="shared" si="221"/>
        <v>0</v>
      </c>
      <c r="J354" s="54">
        <f>+J355</f>
        <v>0</v>
      </c>
      <c r="K354" s="54">
        <f>+K355</f>
        <v>0</v>
      </c>
      <c r="L354" s="54">
        <f t="shared" si="217"/>
        <v>0</v>
      </c>
      <c r="M354" s="54">
        <f t="shared" si="218"/>
        <v>0</v>
      </c>
      <c r="N354" s="53">
        <f t="shared" si="219"/>
        <v>0</v>
      </c>
      <c r="P354" s="195"/>
      <c r="S354" s="282"/>
      <c r="T354" s="282"/>
      <c r="U354" s="243"/>
    </row>
    <row r="355" spans="1:21" s="49" customFormat="1" ht="31.5" hidden="1" customHeight="1" x14ac:dyDescent="0.25">
      <c r="A355" s="56"/>
      <c r="B355" s="57"/>
      <c r="C355" s="57"/>
      <c r="D355" s="57" t="s">
        <v>412</v>
      </c>
      <c r="E355" s="96" t="s">
        <v>413</v>
      </c>
      <c r="F355" s="58">
        <f t="shared" si="220"/>
        <v>0</v>
      </c>
      <c r="G355" s="59">
        <f t="shared" si="220"/>
        <v>0</v>
      </c>
      <c r="H355" s="59">
        <f t="shared" si="220"/>
        <v>0</v>
      </c>
      <c r="I355" s="59">
        <f t="shared" si="221"/>
        <v>0</v>
      </c>
      <c r="J355" s="59">
        <f>+J356</f>
        <v>0</v>
      </c>
      <c r="K355" s="59">
        <f>+K356</f>
        <v>0</v>
      </c>
      <c r="L355" s="59">
        <f t="shared" si="217"/>
        <v>0</v>
      </c>
      <c r="M355" s="59">
        <f t="shared" si="218"/>
        <v>0</v>
      </c>
      <c r="N355" s="58">
        <f t="shared" si="219"/>
        <v>0</v>
      </c>
      <c r="P355" s="192"/>
      <c r="S355" s="282"/>
      <c r="T355" s="282"/>
      <c r="U355" s="242"/>
    </row>
    <row r="356" spans="1:21" s="153" customFormat="1" ht="33.75" hidden="1" customHeight="1" x14ac:dyDescent="0.25">
      <c r="A356" s="123"/>
      <c r="B356" s="124"/>
      <c r="C356" s="124"/>
      <c r="D356" s="124" t="s">
        <v>414</v>
      </c>
      <c r="E356" s="139" t="s">
        <v>413</v>
      </c>
      <c r="F356" s="125"/>
      <c r="G356" s="126"/>
      <c r="H356" s="126"/>
      <c r="I356" s="126">
        <f t="shared" si="221"/>
        <v>0</v>
      </c>
      <c r="J356" s="140"/>
      <c r="K356" s="126"/>
      <c r="L356" s="126">
        <f t="shared" si="217"/>
        <v>0</v>
      </c>
      <c r="M356" s="126">
        <f t="shared" si="218"/>
        <v>0</v>
      </c>
      <c r="N356" s="125">
        <f>+F356-M356</f>
        <v>0</v>
      </c>
      <c r="P356" s="200"/>
      <c r="S356" s="286"/>
      <c r="T356" s="286"/>
      <c r="U356" s="254"/>
    </row>
    <row r="357" spans="1:21" s="121" customFormat="1" ht="18" customHeight="1" x14ac:dyDescent="0.25">
      <c r="A357" s="116">
        <v>21</v>
      </c>
      <c r="B357" s="117"/>
      <c r="C357" s="117" t="s">
        <v>285</v>
      </c>
      <c r="D357" s="118"/>
      <c r="E357" s="128" t="s">
        <v>286</v>
      </c>
      <c r="F357" s="119">
        <f>+F358</f>
        <v>325031788200</v>
      </c>
      <c r="G357" s="120">
        <f t="shared" ref="G357:H358" si="222">+G358</f>
        <v>12413234000</v>
      </c>
      <c r="H357" s="120">
        <f>+H358</f>
        <v>25149117000</v>
      </c>
      <c r="I357" s="120">
        <f t="shared" si="221"/>
        <v>37562351000</v>
      </c>
      <c r="J357" s="120">
        <f t="shared" ref="J357:K358" si="223">+J358</f>
        <v>0</v>
      </c>
      <c r="K357" s="120">
        <f t="shared" si="223"/>
        <v>0</v>
      </c>
      <c r="L357" s="120">
        <f t="shared" si="217"/>
        <v>0</v>
      </c>
      <c r="M357" s="120">
        <f>+I357+L357</f>
        <v>37562351000</v>
      </c>
      <c r="N357" s="119">
        <f>+F357-M357</f>
        <v>287469437200</v>
      </c>
      <c r="P357" s="190"/>
      <c r="R357" s="122"/>
      <c r="S357" s="283"/>
      <c r="T357" s="283"/>
      <c r="U357" s="246"/>
    </row>
    <row r="358" spans="1:21" s="107" customFormat="1" ht="18" customHeight="1" x14ac:dyDescent="0.25">
      <c r="A358" s="101"/>
      <c r="B358" s="102"/>
      <c r="C358" s="102"/>
      <c r="D358" s="103" t="s">
        <v>287</v>
      </c>
      <c r="E358" s="104" t="s">
        <v>288</v>
      </c>
      <c r="F358" s="105">
        <f>+F359</f>
        <v>325031788200</v>
      </c>
      <c r="G358" s="106">
        <f t="shared" si="222"/>
        <v>12413234000</v>
      </c>
      <c r="H358" s="106">
        <f t="shared" si="222"/>
        <v>25149117000</v>
      </c>
      <c r="I358" s="106">
        <f t="shared" si="221"/>
        <v>37562351000</v>
      </c>
      <c r="J358" s="106">
        <f t="shared" si="223"/>
        <v>0</v>
      </c>
      <c r="K358" s="106">
        <f t="shared" si="223"/>
        <v>0</v>
      </c>
      <c r="L358" s="106">
        <f t="shared" si="217"/>
        <v>0</v>
      </c>
      <c r="M358" s="106">
        <f t="shared" ref="M358" si="224">+I358+L358</f>
        <v>37562351000</v>
      </c>
      <c r="N358" s="105">
        <f t="shared" ref="N358:N366" si="225">+F358-M358</f>
        <v>287469437200</v>
      </c>
      <c r="P358" s="191"/>
      <c r="R358" s="108"/>
      <c r="S358" s="284"/>
      <c r="T358" s="284"/>
      <c r="U358" s="241"/>
    </row>
    <row r="359" spans="1:21" s="67" customFormat="1" ht="18" customHeight="1" x14ac:dyDescent="0.25">
      <c r="A359" s="88"/>
      <c r="B359" s="45"/>
      <c r="C359" s="45"/>
      <c r="D359" s="45" t="s">
        <v>289</v>
      </c>
      <c r="E359" s="45" t="s">
        <v>290</v>
      </c>
      <c r="F359" s="47">
        <f>+F363+F360</f>
        <v>325031788200</v>
      </c>
      <c r="G359" s="48">
        <f>+G363+G360</f>
        <v>12413234000</v>
      </c>
      <c r="H359" s="48">
        <f>+H363+H360</f>
        <v>25149117000</v>
      </c>
      <c r="I359" s="48">
        <f t="shared" si="221"/>
        <v>37562351000</v>
      </c>
      <c r="J359" s="48">
        <f>+J363+J360</f>
        <v>0</v>
      </c>
      <c r="K359" s="48">
        <f>+K363+K360</f>
        <v>0</v>
      </c>
      <c r="L359" s="48">
        <f>+J359+K359</f>
        <v>0</v>
      </c>
      <c r="M359" s="48">
        <f>+I359+L359</f>
        <v>37562351000</v>
      </c>
      <c r="N359" s="95">
        <f t="shared" si="225"/>
        <v>287469437200</v>
      </c>
      <c r="P359" s="192"/>
      <c r="S359" s="282"/>
      <c r="T359" s="282"/>
      <c r="U359" s="249"/>
    </row>
    <row r="360" spans="1:21" s="55" customFormat="1" ht="18" customHeight="1" x14ac:dyDescent="0.25">
      <c r="A360" s="176"/>
      <c r="B360" s="177"/>
      <c r="C360" s="177"/>
      <c r="D360" s="177" t="s">
        <v>291</v>
      </c>
      <c r="E360" s="178" t="s">
        <v>292</v>
      </c>
      <c r="F360" s="179">
        <f t="shared" ref="F360:H361" si="226">+F361</f>
        <v>540000000</v>
      </c>
      <c r="G360" s="180">
        <f t="shared" si="226"/>
        <v>0</v>
      </c>
      <c r="H360" s="180">
        <f t="shared" si="226"/>
        <v>0</v>
      </c>
      <c r="I360" s="180">
        <f t="shared" si="221"/>
        <v>0</v>
      </c>
      <c r="J360" s="180">
        <f>+J361</f>
        <v>0</v>
      </c>
      <c r="K360" s="180">
        <f>+K361</f>
        <v>0</v>
      </c>
      <c r="L360" s="180">
        <f>+J360+K360</f>
        <v>0</v>
      </c>
      <c r="M360" s="180">
        <f>+I360+L360</f>
        <v>0</v>
      </c>
      <c r="N360" s="179">
        <f t="shared" si="225"/>
        <v>540000000</v>
      </c>
      <c r="P360" s="195"/>
      <c r="S360" s="282"/>
      <c r="T360" s="282"/>
      <c r="U360" s="243"/>
    </row>
    <row r="361" spans="1:21" s="49" customFormat="1" ht="32.25" customHeight="1" x14ac:dyDescent="0.25">
      <c r="A361" s="181"/>
      <c r="B361" s="182"/>
      <c r="C361" s="182"/>
      <c r="D361" s="182" t="s">
        <v>293</v>
      </c>
      <c r="E361" s="183" t="s">
        <v>295</v>
      </c>
      <c r="F361" s="184">
        <f t="shared" si="226"/>
        <v>540000000</v>
      </c>
      <c r="G361" s="185">
        <f t="shared" si="226"/>
        <v>0</v>
      </c>
      <c r="H361" s="185">
        <f t="shared" si="226"/>
        <v>0</v>
      </c>
      <c r="I361" s="185">
        <f t="shared" si="221"/>
        <v>0</v>
      </c>
      <c r="J361" s="185">
        <f>+J362</f>
        <v>0</v>
      </c>
      <c r="K361" s="185">
        <f>+K362</f>
        <v>0</v>
      </c>
      <c r="L361" s="185">
        <f>+J361+K361</f>
        <v>0</v>
      </c>
      <c r="M361" s="185">
        <f>+I361+L361</f>
        <v>0</v>
      </c>
      <c r="N361" s="184">
        <f t="shared" si="225"/>
        <v>540000000</v>
      </c>
      <c r="P361" s="192"/>
      <c r="S361" s="282"/>
      <c r="T361" s="282"/>
      <c r="U361" s="242"/>
    </row>
    <row r="362" spans="1:21" s="65" customFormat="1" ht="21.75" customHeight="1" x14ac:dyDescent="0.25">
      <c r="A362" s="171"/>
      <c r="B362" s="162"/>
      <c r="C362" s="162"/>
      <c r="D362" s="162" t="s">
        <v>294</v>
      </c>
      <c r="E362" s="172" t="s">
        <v>295</v>
      </c>
      <c r="F362" s="173">
        <v>540000000</v>
      </c>
      <c r="G362" s="186"/>
      <c r="H362" s="186"/>
      <c r="I362" s="186">
        <f t="shared" si="221"/>
        <v>0</v>
      </c>
      <c r="J362" s="163"/>
      <c r="K362" s="186"/>
      <c r="L362" s="186">
        <f>+J362+K362</f>
        <v>0</v>
      </c>
      <c r="M362" s="186">
        <f>+I362+L362</f>
        <v>0</v>
      </c>
      <c r="N362" s="187">
        <f t="shared" si="225"/>
        <v>540000000</v>
      </c>
      <c r="P362" s="194"/>
      <c r="S362" s="282"/>
      <c r="T362" s="282"/>
      <c r="U362" s="244"/>
    </row>
    <row r="363" spans="1:21" s="55" customFormat="1" ht="18" customHeight="1" x14ac:dyDescent="0.25">
      <c r="A363" s="50"/>
      <c r="B363" s="51"/>
      <c r="C363" s="51"/>
      <c r="D363" s="51" t="s">
        <v>296</v>
      </c>
      <c r="E363" s="52" t="s">
        <v>298</v>
      </c>
      <c r="F363" s="53">
        <f>+F364+F366</f>
        <v>324491788200</v>
      </c>
      <c r="G363" s="54">
        <f>+G364+G366</f>
        <v>12413234000</v>
      </c>
      <c r="H363" s="54">
        <f>+H364+H366</f>
        <v>25149117000</v>
      </c>
      <c r="I363" s="54">
        <f t="shared" si="221"/>
        <v>37562351000</v>
      </c>
      <c r="J363" s="54">
        <f>+J364+J366</f>
        <v>0</v>
      </c>
      <c r="K363" s="54">
        <f>+K364+K366</f>
        <v>0</v>
      </c>
      <c r="L363" s="54">
        <f t="shared" si="217"/>
        <v>0</v>
      </c>
      <c r="M363" s="54">
        <f t="shared" si="218"/>
        <v>37562351000</v>
      </c>
      <c r="N363" s="53">
        <f t="shared" si="225"/>
        <v>286929437200</v>
      </c>
      <c r="P363" s="195"/>
      <c r="S363" s="282"/>
      <c r="T363" s="282"/>
      <c r="U363" s="243"/>
    </row>
    <row r="364" spans="1:21" s="49" customFormat="1" ht="32.25" customHeight="1" x14ac:dyDescent="0.25">
      <c r="A364" s="56"/>
      <c r="B364" s="57"/>
      <c r="C364" s="57"/>
      <c r="D364" s="57" t="s">
        <v>297</v>
      </c>
      <c r="E364" s="96" t="s">
        <v>300</v>
      </c>
      <c r="F364" s="58">
        <f>F365</f>
        <v>268985638200</v>
      </c>
      <c r="G364" s="59">
        <f>+G365</f>
        <v>12413234000</v>
      </c>
      <c r="H364" s="59">
        <f>+H365</f>
        <v>25149117000</v>
      </c>
      <c r="I364" s="60">
        <f t="shared" si="221"/>
        <v>37562351000</v>
      </c>
      <c r="J364" s="59">
        <f>+J365</f>
        <v>0</v>
      </c>
      <c r="K364" s="59">
        <f>+K365</f>
        <v>0</v>
      </c>
      <c r="L364" s="60">
        <f t="shared" si="217"/>
        <v>0</v>
      </c>
      <c r="M364" s="59">
        <f t="shared" si="218"/>
        <v>37562351000</v>
      </c>
      <c r="N364" s="58">
        <f t="shared" si="225"/>
        <v>231423287200</v>
      </c>
      <c r="P364" s="192"/>
      <c r="S364" s="282"/>
      <c r="T364" s="282"/>
      <c r="U364" s="242"/>
    </row>
    <row r="365" spans="1:21" s="65" customFormat="1" ht="20.25" customHeight="1" x14ac:dyDescent="0.25">
      <c r="A365" s="171"/>
      <c r="B365" s="162"/>
      <c r="C365" s="162"/>
      <c r="D365" s="162" t="s">
        <v>299</v>
      </c>
      <c r="E365" s="172" t="s">
        <v>300</v>
      </c>
      <c r="F365" s="173">
        <v>268985638200</v>
      </c>
      <c r="G365" s="186">
        <v>12413234000</v>
      </c>
      <c r="H365" s="186">
        <f>18942500000+6206617000</f>
        <v>25149117000</v>
      </c>
      <c r="I365" s="186">
        <f t="shared" si="221"/>
        <v>37562351000</v>
      </c>
      <c r="J365" s="163"/>
      <c r="K365" s="186"/>
      <c r="L365" s="186">
        <f>J365+K365</f>
        <v>0</v>
      </c>
      <c r="M365" s="186">
        <f>+I365+L365</f>
        <v>37562351000</v>
      </c>
      <c r="N365" s="187">
        <f t="shared" si="225"/>
        <v>231423287200</v>
      </c>
      <c r="P365" s="194"/>
      <c r="S365" s="280"/>
      <c r="T365" s="445">
        <f>18942500000+6206617000</f>
        <v>25149117000</v>
      </c>
      <c r="U365" s="244"/>
    </row>
    <row r="366" spans="1:21" s="49" customFormat="1" ht="32.25" customHeight="1" x14ac:dyDescent="0.25">
      <c r="A366" s="56"/>
      <c r="B366" s="57"/>
      <c r="C366" s="57"/>
      <c r="D366" s="57" t="s">
        <v>301</v>
      </c>
      <c r="E366" s="96" t="s">
        <v>303</v>
      </c>
      <c r="F366" s="58">
        <f>F367+F368</f>
        <v>55506150000</v>
      </c>
      <c r="G366" s="59">
        <f>+G367</f>
        <v>0</v>
      </c>
      <c r="H366" s="60">
        <f>+H367</f>
        <v>0</v>
      </c>
      <c r="I366" s="60">
        <f>+G366+H366</f>
        <v>0</v>
      </c>
      <c r="J366" s="59">
        <f>+J367</f>
        <v>0</v>
      </c>
      <c r="K366" s="59">
        <f>+K367</f>
        <v>0</v>
      </c>
      <c r="L366" s="59">
        <f>+J366+K366</f>
        <v>0</v>
      </c>
      <c r="M366" s="59">
        <f t="shared" ref="M366" si="227">+I366+L366</f>
        <v>0</v>
      </c>
      <c r="N366" s="58">
        <f t="shared" si="225"/>
        <v>55506150000</v>
      </c>
      <c r="P366" s="192"/>
      <c r="S366" s="280"/>
      <c r="T366" s="280"/>
      <c r="U366" s="242"/>
    </row>
    <row r="367" spans="1:21" s="127" customFormat="1" ht="21.75" customHeight="1" x14ac:dyDescent="0.25">
      <c r="A367" s="165"/>
      <c r="B367" s="166"/>
      <c r="C367" s="166"/>
      <c r="D367" s="166" t="s">
        <v>480</v>
      </c>
      <c r="E367" s="167" t="s">
        <v>481</v>
      </c>
      <c r="F367" s="168">
        <v>70000000</v>
      </c>
      <c r="G367" s="476"/>
      <c r="H367" s="476"/>
      <c r="I367" s="476">
        <f t="shared" si="221"/>
        <v>0</v>
      </c>
      <c r="J367" s="169"/>
      <c r="K367" s="476"/>
      <c r="L367" s="476">
        <f>J367+K367</f>
        <v>0</v>
      </c>
      <c r="M367" s="476">
        <f>+I367+L367</f>
        <v>0</v>
      </c>
      <c r="N367" s="187">
        <f>+F367-M367</f>
        <v>70000000</v>
      </c>
      <c r="P367" s="196"/>
      <c r="S367" s="288"/>
      <c r="T367" s="288"/>
      <c r="U367" s="245"/>
    </row>
    <row r="368" spans="1:21" s="127" customFormat="1" ht="21.75" customHeight="1" x14ac:dyDescent="0.25">
      <c r="A368" s="165"/>
      <c r="B368" s="166"/>
      <c r="C368" s="166"/>
      <c r="D368" s="166" t="s">
        <v>482</v>
      </c>
      <c r="E368" s="167" t="s">
        <v>483</v>
      </c>
      <c r="F368" s="168">
        <v>55436150000</v>
      </c>
      <c r="G368" s="476"/>
      <c r="H368" s="476"/>
      <c r="I368" s="476">
        <f t="shared" si="221"/>
        <v>0</v>
      </c>
      <c r="J368" s="169"/>
      <c r="K368" s="476"/>
      <c r="L368" s="476">
        <f>J368+K368</f>
        <v>0</v>
      </c>
      <c r="M368" s="476">
        <f>+I368+L368</f>
        <v>0</v>
      </c>
      <c r="N368" s="187">
        <f>+F368-M368</f>
        <v>55436150000</v>
      </c>
      <c r="P368" s="196"/>
      <c r="S368" s="288"/>
      <c r="T368" s="288"/>
      <c r="U368" s="245"/>
    </row>
    <row r="369" spans="1:21" s="121" customFormat="1" ht="18" customHeight="1" x14ac:dyDescent="0.25">
      <c r="A369" s="116">
        <v>22</v>
      </c>
      <c r="B369" s="117"/>
      <c r="C369" s="117" t="s">
        <v>304</v>
      </c>
      <c r="D369" s="118"/>
      <c r="E369" s="128" t="s">
        <v>305</v>
      </c>
      <c r="F369" s="119">
        <f t="shared" ref="F369:H372" si="228">+F370</f>
        <v>8000000000</v>
      </c>
      <c r="G369" s="120">
        <f t="shared" si="228"/>
        <v>0</v>
      </c>
      <c r="H369" s="120">
        <f t="shared" si="228"/>
        <v>0</v>
      </c>
      <c r="I369" s="120">
        <f>+G369+H369</f>
        <v>0</v>
      </c>
      <c r="J369" s="120">
        <f t="shared" ref="J369:K373" si="229">+J370</f>
        <v>0</v>
      </c>
      <c r="K369" s="120">
        <f t="shared" si="229"/>
        <v>0</v>
      </c>
      <c r="L369" s="120">
        <f>+J369+K369</f>
        <v>0</v>
      </c>
      <c r="M369" s="120">
        <f>+I369+L369</f>
        <v>0</v>
      </c>
      <c r="N369" s="119">
        <f>+F369-M369</f>
        <v>8000000000</v>
      </c>
      <c r="P369" s="190"/>
      <c r="R369" s="122"/>
      <c r="S369" s="289"/>
      <c r="T369" s="289"/>
      <c r="U369" s="246"/>
    </row>
    <row r="370" spans="1:21" s="107" customFormat="1" ht="18" customHeight="1" x14ac:dyDescent="0.25">
      <c r="A370" s="101"/>
      <c r="B370" s="102"/>
      <c r="C370" s="102"/>
      <c r="D370" s="103" t="s">
        <v>306</v>
      </c>
      <c r="E370" s="104" t="s">
        <v>307</v>
      </c>
      <c r="F370" s="105">
        <f t="shared" si="228"/>
        <v>8000000000</v>
      </c>
      <c r="G370" s="106">
        <f t="shared" si="228"/>
        <v>0</v>
      </c>
      <c r="H370" s="106">
        <f t="shared" si="228"/>
        <v>0</v>
      </c>
      <c r="I370" s="106">
        <f>+G370+H370</f>
        <v>0</v>
      </c>
      <c r="J370" s="106">
        <f t="shared" si="229"/>
        <v>0</v>
      </c>
      <c r="K370" s="106">
        <f t="shared" si="229"/>
        <v>0</v>
      </c>
      <c r="L370" s="106">
        <f>+J370+K370</f>
        <v>0</v>
      </c>
      <c r="M370" s="106">
        <f t="shared" ref="M370:M373" si="230">+I370+L370</f>
        <v>0</v>
      </c>
      <c r="N370" s="105">
        <f t="shared" ref="N370:N373" si="231">+F370-M370</f>
        <v>8000000000</v>
      </c>
      <c r="P370" s="191"/>
      <c r="R370" s="108"/>
      <c r="S370" s="278"/>
      <c r="T370" s="278"/>
      <c r="U370" s="241"/>
    </row>
    <row r="371" spans="1:21" s="67" customFormat="1" ht="18" customHeight="1" x14ac:dyDescent="0.25">
      <c r="A371" s="88"/>
      <c r="B371" s="45"/>
      <c r="C371" s="45"/>
      <c r="D371" s="45" t="s">
        <v>308</v>
      </c>
      <c r="E371" s="45" t="s">
        <v>307</v>
      </c>
      <c r="F371" s="47">
        <f t="shared" si="228"/>
        <v>8000000000</v>
      </c>
      <c r="G371" s="48">
        <f t="shared" si="228"/>
        <v>0</v>
      </c>
      <c r="H371" s="48">
        <f t="shared" si="228"/>
        <v>0</v>
      </c>
      <c r="I371" s="48">
        <f>+G371+H371</f>
        <v>0</v>
      </c>
      <c r="J371" s="48">
        <f t="shared" si="229"/>
        <v>0</v>
      </c>
      <c r="K371" s="48">
        <f t="shared" si="229"/>
        <v>0</v>
      </c>
      <c r="L371" s="48">
        <f>+J371+K371</f>
        <v>0</v>
      </c>
      <c r="M371" s="48">
        <f t="shared" si="230"/>
        <v>0</v>
      </c>
      <c r="N371" s="95">
        <f t="shared" si="231"/>
        <v>8000000000</v>
      </c>
      <c r="P371" s="192"/>
      <c r="S371" s="290"/>
      <c r="T371" s="290"/>
      <c r="U371" s="249"/>
    </row>
    <row r="372" spans="1:21" s="55" customFormat="1" ht="18" customHeight="1" x14ac:dyDescent="0.25">
      <c r="A372" s="50"/>
      <c r="B372" s="51"/>
      <c r="C372" s="51"/>
      <c r="D372" s="51" t="s">
        <v>309</v>
      </c>
      <c r="E372" s="52" t="s">
        <v>307</v>
      </c>
      <c r="F372" s="53">
        <f t="shared" si="228"/>
        <v>8000000000</v>
      </c>
      <c r="G372" s="54">
        <f t="shared" si="228"/>
        <v>0</v>
      </c>
      <c r="H372" s="54">
        <f t="shared" si="228"/>
        <v>0</v>
      </c>
      <c r="I372" s="54">
        <f>+G372+H372</f>
        <v>0</v>
      </c>
      <c r="J372" s="54">
        <f t="shared" si="229"/>
        <v>0</v>
      </c>
      <c r="K372" s="54">
        <f t="shared" si="229"/>
        <v>0</v>
      </c>
      <c r="L372" s="54">
        <f>+J372+K372</f>
        <v>0</v>
      </c>
      <c r="M372" s="54">
        <f t="shared" si="230"/>
        <v>0</v>
      </c>
      <c r="N372" s="53">
        <f t="shared" si="231"/>
        <v>8000000000</v>
      </c>
      <c r="P372" s="195"/>
      <c r="S372" s="279"/>
      <c r="T372" s="279"/>
      <c r="U372" s="243"/>
    </row>
    <row r="373" spans="1:21" s="49" customFormat="1" ht="17.25" customHeight="1" x14ac:dyDescent="0.25">
      <c r="A373" s="56"/>
      <c r="B373" s="57"/>
      <c r="C373" s="57"/>
      <c r="D373" s="57" t="s">
        <v>310</v>
      </c>
      <c r="E373" s="96" t="s">
        <v>307</v>
      </c>
      <c r="F373" s="58">
        <f>F374</f>
        <v>8000000000</v>
      </c>
      <c r="G373" s="59">
        <f>+G374</f>
        <v>0</v>
      </c>
      <c r="H373" s="59">
        <f>+H374</f>
        <v>0</v>
      </c>
      <c r="I373" s="60">
        <f>+G373+H373</f>
        <v>0</v>
      </c>
      <c r="J373" s="59">
        <f t="shared" si="229"/>
        <v>0</v>
      </c>
      <c r="K373" s="59">
        <f t="shared" si="229"/>
        <v>0</v>
      </c>
      <c r="L373" s="60">
        <f>+J373+K373</f>
        <v>0</v>
      </c>
      <c r="M373" s="59">
        <f t="shared" si="230"/>
        <v>0</v>
      </c>
      <c r="N373" s="58">
        <f t="shared" si="231"/>
        <v>8000000000</v>
      </c>
      <c r="P373" s="192"/>
      <c r="S373" s="280"/>
      <c r="T373" s="280"/>
      <c r="U373" s="242"/>
    </row>
    <row r="374" spans="1:21" s="127" customFormat="1" ht="20.25" customHeight="1" x14ac:dyDescent="0.25">
      <c r="A374" s="123"/>
      <c r="B374" s="124"/>
      <c r="C374" s="124"/>
      <c r="D374" s="124" t="s">
        <v>311</v>
      </c>
      <c r="E374" s="139" t="s">
        <v>307</v>
      </c>
      <c r="F374" s="125">
        <v>8000000000</v>
      </c>
      <c r="G374" s="126"/>
      <c r="H374" s="126"/>
      <c r="I374" s="126">
        <f t="shared" ref="I374:I383" si="232">+G374+H374</f>
        <v>0</v>
      </c>
      <c r="J374" s="140"/>
      <c r="K374" s="126"/>
      <c r="L374" s="126">
        <f>J374+K374</f>
        <v>0</v>
      </c>
      <c r="M374" s="126">
        <f>+I374+L374</f>
        <v>0</v>
      </c>
      <c r="N374" s="97">
        <f>+F374-M374</f>
        <v>8000000000</v>
      </c>
      <c r="P374" s="196"/>
      <c r="S374" s="288"/>
      <c r="T374" s="288"/>
      <c r="U374" s="245"/>
    </row>
    <row r="375" spans="1:21" s="121" customFormat="1" ht="18" customHeight="1" x14ac:dyDescent="0.25">
      <c r="A375" s="116">
        <v>23</v>
      </c>
      <c r="B375" s="117"/>
      <c r="C375" s="117" t="s">
        <v>320</v>
      </c>
      <c r="D375" s="118"/>
      <c r="E375" s="128" t="s">
        <v>312</v>
      </c>
      <c r="F375" s="119">
        <f t="shared" ref="F375:H376" si="233">+F376</f>
        <v>19577417200</v>
      </c>
      <c r="G375" s="120">
        <f t="shared" si="233"/>
        <v>0</v>
      </c>
      <c r="H375" s="120">
        <f t="shared" si="233"/>
        <v>0</v>
      </c>
      <c r="I375" s="120">
        <f t="shared" si="232"/>
        <v>0</v>
      </c>
      <c r="J375" s="120">
        <f>+J376</f>
        <v>0</v>
      </c>
      <c r="K375" s="120">
        <f>+K376</f>
        <v>0</v>
      </c>
      <c r="L375" s="120">
        <f>+J375+K375</f>
        <v>0</v>
      </c>
      <c r="M375" s="120">
        <f>+I375+L375</f>
        <v>0</v>
      </c>
      <c r="N375" s="119">
        <f>+F375-M375</f>
        <v>19577417200</v>
      </c>
      <c r="P375" s="190"/>
      <c r="R375" s="122"/>
      <c r="S375" s="289"/>
      <c r="T375" s="289"/>
      <c r="U375" s="246"/>
    </row>
    <row r="376" spans="1:21" s="107" customFormat="1" ht="18" customHeight="1" x14ac:dyDescent="0.25">
      <c r="A376" s="101"/>
      <c r="B376" s="102"/>
      <c r="C376" s="102"/>
      <c r="D376" s="103" t="s">
        <v>287</v>
      </c>
      <c r="E376" s="104" t="s">
        <v>288</v>
      </c>
      <c r="F376" s="105">
        <f t="shared" si="233"/>
        <v>19577417200</v>
      </c>
      <c r="G376" s="106">
        <f t="shared" si="233"/>
        <v>0</v>
      </c>
      <c r="H376" s="106">
        <f t="shared" si="233"/>
        <v>0</v>
      </c>
      <c r="I376" s="106">
        <f t="shared" si="232"/>
        <v>0</v>
      </c>
      <c r="J376" s="106">
        <f>+J377</f>
        <v>0</v>
      </c>
      <c r="K376" s="106">
        <f>+K377</f>
        <v>0</v>
      </c>
      <c r="L376" s="106">
        <f>+J376+K376</f>
        <v>0</v>
      </c>
      <c r="M376" s="106">
        <f t="shared" ref="M376:M379" si="234">+I376+L376</f>
        <v>0</v>
      </c>
      <c r="N376" s="105">
        <f t="shared" ref="N376:N379" si="235">+F376-M376</f>
        <v>19577417200</v>
      </c>
      <c r="P376" s="191"/>
      <c r="R376" s="108"/>
      <c r="S376" s="278"/>
      <c r="T376" s="278"/>
      <c r="U376" s="241"/>
    </row>
    <row r="377" spans="1:21" s="67" customFormat="1" ht="18" customHeight="1" x14ac:dyDescent="0.25">
      <c r="A377" s="88"/>
      <c r="B377" s="45"/>
      <c r="C377" s="45"/>
      <c r="D377" s="45" t="s">
        <v>313</v>
      </c>
      <c r="E377" s="45" t="s">
        <v>415</v>
      </c>
      <c r="F377" s="47">
        <f>+F378+F381</f>
        <v>19577417200</v>
      </c>
      <c r="G377" s="48">
        <f>+G378+G381</f>
        <v>0</v>
      </c>
      <c r="H377" s="48">
        <f>+H378+H381</f>
        <v>0</v>
      </c>
      <c r="I377" s="48">
        <f t="shared" si="232"/>
        <v>0</v>
      </c>
      <c r="J377" s="48">
        <f>+J378+J381</f>
        <v>0</v>
      </c>
      <c r="K377" s="48">
        <f>+K378+K381</f>
        <v>0</v>
      </c>
      <c r="L377" s="48">
        <f>+J377+K377</f>
        <v>0</v>
      </c>
      <c r="M377" s="48">
        <f t="shared" si="234"/>
        <v>0</v>
      </c>
      <c r="N377" s="95">
        <f t="shared" si="235"/>
        <v>19577417200</v>
      </c>
      <c r="P377" s="192"/>
      <c r="S377" s="290"/>
      <c r="T377" s="290"/>
      <c r="U377" s="249"/>
    </row>
    <row r="378" spans="1:21" s="55" customFormat="1" ht="31.5" customHeight="1" x14ac:dyDescent="0.25">
      <c r="A378" s="50"/>
      <c r="B378" s="51"/>
      <c r="C378" s="51"/>
      <c r="D378" s="51" t="s">
        <v>314</v>
      </c>
      <c r="E378" s="98" t="s">
        <v>416</v>
      </c>
      <c r="F378" s="53">
        <f>+F379</f>
        <v>18835000000</v>
      </c>
      <c r="G378" s="54">
        <f>+G379</f>
        <v>0</v>
      </c>
      <c r="H378" s="54">
        <f>+H379</f>
        <v>0</v>
      </c>
      <c r="I378" s="54">
        <f t="shared" si="232"/>
        <v>0</v>
      </c>
      <c r="J378" s="54">
        <f>+J379</f>
        <v>0</v>
      </c>
      <c r="K378" s="54">
        <f>+K379</f>
        <v>0</v>
      </c>
      <c r="L378" s="54">
        <f>+J378+K378</f>
        <v>0</v>
      </c>
      <c r="M378" s="54">
        <f t="shared" si="234"/>
        <v>0</v>
      </c>
      <c r="N378" s="53">
        <f t="shared" si="235"/>
        <v>18835000000</v>
      </c>
      <c r="P378" s="195"/>
      <c r="S378" s="279"/>
      <c r="T378" s="279"/>
      <c r="U378" s="243"/>
    </row>
    <row r="379" spans="1:21" s="49" customFormat="1" ht="17.25" customHeight="1" x14ac:dyDescent="0.25">
      <c r="A379" s="56"/>
      <c r="B379" s="57"/>
      <c r="C379" s="57"/>
      <c r="D379" s="57" t="s">
        <v>315</v>
      </c>
      <c r="E379" s="96" t="s">
        <v>417</v>
      </c>
      <c r="F379" s="58">
        <f>F380</f>
        <v>18835000000</v>
      </c>
      <c r="G379" s="59">
        <f>+G380</f>
        <v>0</v>
      </c>
      <c r="H379" s="59">
        <f>+H380</f>
        <v>0</v>
      </c>
      <c r="I379" s="60">
        <f t="shared" si="232"/>
        <v>0</v>
      </c>
      <c r="J379" s="59">
        <f>+J380</f>
        <v>0</v>
      </c>
      <c r="K379" s="59">
        <f>+K380</f>
        <v>0</v>
      </c>
      <c r="L379" s="60">
        <f>+J379+K379</f>
        <v>0</v>
      </c>
      <c r="M379" s="59">
        <f t="shared" si="234"/>
        <v>0</v>
      </c>
      <c r="N379" s="58">
        <f t="shared" si="235"/>
        <v>18835000000</v>
      </c>
      <c r="P379" s="192"/>
      <c r="S379" s="280"/>
      <c r="T379" s="280"/>
      <c r="U379" s="242"/>
    </row>
    <row r="380" spans="1:21" s="65" customFormat="1" ht="20.25" customHeight="1" x14ac:dyDescent="0.25">
      <c r="A380" s="61"/>
      <c r="B380" s="62"/>
      <c r="C380" s="62"/>
      <c r="D380" s="62" t="s">
        <v>316</v>
      </c>
      <c r="E380" s="76" t="s">
        <v>417</v>
      </c>
      <c r="F380" s="63">
        <v>18835000000</v>
      </c>
      <c r="G380" s="64"/>
      <c r="H380" s="64"/>
      <c r="I380" s="64">
        <f t="shared" si="232"/>
        <v>0</v>
      </c>
      <c r="J380" s="75"/>
      <c r="K380" s="64"/>
      <c r="L380" s="64">
        <f>J380+K380</f>
        <v>0</v>
      </c>
      <c r="M380" s="64">
        <f>+I380+L380</f>
        <v>0</v>
      </c>
      <c r="N380" s="97">
        <f>+F380-M380</f>
        <v>18835000000</v>
      </c>
      <c r="P380" s="194"/>
      <c r="S380" s="280"/>
      <c r="T380" s="280"/>
      <c r="U380" s="244"/>
    </row>
    <row r="381" spans="1:21" s="55" customFormat="1" ht="20.25" customHeight="1" x14ac:dyDescent="0.25">
      <c r="A381" s="50"/>
      <c r="B381" s="51"/>
      <c r="C381" s="51"/>
      <c r="D381" s="51" t="s">
        <v>317</v>
      </c>
      <c r="E381" s="98" t="s">
        <v>418</v>
      </c>
      <c r="F381" s="53">
        <f>+F382</f>
        <v>742417200</v>
      </c>
      <c r="G381" s="54">
        <f>+G382</f>
        <v>0</v>
      </c>
      <c r="H381" s="54">
        <f>+H382</f>
        <v>0</v>
      </c>
      <c r="I381" s="54">
        <f t="shared" si="232"/>
        <v>0</v>
      </c>
      <c r="J381" s="54">
        <f>+J382</f>
        <v>0</v>
      </c>
      <c r="K381" s="54">
        <f>+K382</f>
        <v>0</v>
      </c>
      <c r="L381" s="54">
        <f>+J381+K381</f>
        <v>0</v>
      </c>
      <c r="M381" s="54">
        <f t="shared" ref="M381:M382" si="236">+I381+L381</f>
        <v>0</v>
      </c>
      <c r="N381" s="53">
        <f t="shared" ref="N381:N382" si="237">+F381-M381</f>
        <v>742417200</v>
      </c>
      <c r="P381" s="195"/>
      <c r="S381" s="279"/>
      <c r="T381" s="279"/>
      <c r="U381" s="243"/>
    </row>
    <row r="382" spans="1:21" s="49" customFormat="1" ht="17.25" customHeight="1" x14ac:dyDescent="0.25">
      <c r="A382" s="56"/>
      <c r="B382" s="57"/>
      <c r="C382" s="57"/>
      <c r="D382" s="57" t="s">
        <v>318</v>
      </c>
      <c r="E382" s="96" t="s">
        <v>418</v>
      </c>
      <c r="F382" s="58">
        <f>F383</f>
        <v>742417200</v>
      </c>
      <c r="G382" s="59">
        <f>+G383</f>
        <v>0</v>
      </c>
      <c r="H382" s="59">
        <f>+H383</f>
        <v>0</v>
      </c>
      <c r="I382" s="60">
        <f t="shared" si="232"/>
        <v>0</v>
      </c>
      <c r="J382" s="59">
        <f>+J383</f>
        <v>0</v>
      </c>
      <c r="K382" s="59">
        <f>+K383</f>
        <v>0</v>
      </c>
      <c r="L382" s="60">
        <f>+J382+K382</f>
        <v>0</v>
      </c>
      <c r="M382" s="59">
        <f t="shared" si="236"/>
        <v>0</v>
      </c>
      <c r="N382" s="58">
        <f t="shared" si="237"/>
        <v>742417200</v>
      </c>
      <c r="P382" s="192"/>
      <c r="S382" s="280"/>
      <c r="T382" s="280"/>
      <c r="U382" s="242"/>
    </row>
    <row r="383" spans="1:21" s="5" customFormat="1" ht="20.25" customHeight="1" x14ac:dyDescent="0.25">
      <c r="A383" s="10"/>
      <c r="B383" s="11"/>
      <c r="C383" s="11"/>
      <c r="D383" s="11" t="s">
        <v>319</v>
      </c>
      <c r="E383" s="19" t="s">
        <v>418</v>
      </c>
      <c r="F383" s="12">
        <v>742417200</v>
      </c>
      <c r="G383" s="13"/>
      <c r="H383" s="13"/>
      <c r="I383" s="13">
        <f t="shared" si="232"/>
        <v>0</v>
      </c>
      <c r="J383" s="16"/>
      <c r="K383" s="13"/>
      <c r="L383" s="13">
        <f>J383+K383</f>
        <v>0</v>
      </c>
      <c r="M383" s="13">
        <f>+I383+L383</f>
        <v>0</v>
      </c>
      <c r="N383" s="17">
        <f>+F383-M383</f>
        <v>742417200</v>
      </c>
      <c r="P383" s="201"/>
      <c r="S383" s="291"/>
      <c r="T383" s="291"/>
      <c r="U383" s="256"/>
    </row>
    <row r="384" spans="1:21" ht="18" customHeight="1" x14ac:dyDescent="0.25">
      <c r="A384" s="9"/>
      <c r="B384" s="18"/>
      <c r="C384" s="18"/>
      <c r="D384" s="18"/>
      <c r="E384" s="18"/>
      <c r="F384" s="14"/>
      <c r="G384" s="15"/>
      <c r="H384" s="15"/>
      <c r="I384" s="15"/>
      <c r="J384" s="15"/>
      <c r="K384" s="15"/>
      <c r="L384" s="15"/>
      <c r="M384" s="15"/>
      <c r="N384" s="14"/>
      <c r="S384" s="292"/>
      <c r="T384" s="292"/>
      <c r="U384" s="257"/>
    </row>
    <row r="385" spans="1:21" ht="18" customHeight="1" x14ac:dyDescent="0.25">
      <c r="A385" s="8"/>
      <c r="B385" s="20"/>
      <c r="C385" s="20"/>
      <c r="D385" s="20"/>
      <c r="E385" s="20" t="s">
        <v>41</v>
      </c>
      <c r="F385" s="21"/>
      <c r="G385" s="21"/>
      <c r="H385" s="21"/>
      <c r="I385" s="21"/>
      <c r="J385" s="21"/>
      <c r="K385" s="21"/>
      <c r="L385" s="21"/>
      <c r="M385" s="21"/>
      <c r="N385" s="22"/>
      <c r="S385" s="292"/>
      <c r="T385" s="292"/>
      <c r="U385" s="257"/>
    </row>
    <row r="386" spans="1:21" s="32" customFormat="1" ht="18" customHeight="1" x14ac:dyDescent="0.25">
      <c r="A386" s="28"/>
      <c r="B386" s="29"/>
      <c r="C386" s="29"/>
      <c r="D386" s="29"/>
      <c r="E386" s="29" t="s">
        <v>21</v>
      </c>
      <c r="F386" s="30"/>
      <c r="G386" s="30">
        <f>+G17</f>
        <v>19588610336</v>
      </c>
      <c r="H386" s="30">
        <f>+H17</f>
        <v>28967363516</v>
      </c>
      <c r="I386" s="30">
        <f>+I17</f>
        <v>48555973852</v>
      </c>
      <c r="J386" s="30">
        <f>+J17</f>
        <v>460031431</v>
      </c>
      <c r="K386" s="30">
        <f>+K17</f>
        <v>316277418</v>
      </c>
      <c r="L386" s="30">
        <f t="shared" ref="L386:L391" si="238">+J386+K386</f>
        <v>776308849</v>
      </c>
      <c r="M386" s="30">
        <f>+I386+L386</f>
        <v>49332282701</v>
      </c>
      <c r="N386" s="31"/>
      <c r="P386" s="202"/>
      <c r="S386" s="292"/>
      <c r="T386" s="292"/>
      <c r="U386" s="258"/>
    </row>
    <row r="387" spans="1:21" s="32" customFormat="1" ht="18" customHeight="1" x14ac:dyDescent="0.25">
      <c r="A387" s="28"/>
      <c r="B387" s="29"/>
      <c r="C387" s="29"/>
      <c r="D387" s="29"/>
      <c r="E387" s="29" t="s">
        <v>42</v>
      </c>
      <c r="F387" s="30"/>
      <c r="G387" s="30">
        <f>+SUM(G388:G401)</f>
        <v>216030070</v>
      </c>
      <c r="H387" s="30">
        <f>+SUM(H388:H401)</f>
        <v>128141081</v>
      </c>
      <c r="I387" s="30">
        <f>+G387+H387</f>
        <v>344171151</v>
      </c>
      <c r="J387" s="30">
        <f>+SUM(J388:J401)</f>
        <v>13556719</v>
      </c>
      <c r="K387" s="30">
        <f>+SUM(K388:K401)</f>
        <v>15516612</v>
      </c>
      <c r="L387" s="30">
        <f>+J387+K387</f>
        <v>29073331</v>
      </c>
      <c r="M387" s="33">
        <f>+I387+L387</f>
        <v>373244482</v>
      </c>
      <c r="N387" s="31"/>
      <c r="P387" s="202">
        <f>+M386+M387</f>
        <v>49705527183</v>
      </c>
      <c r="S387" s="292"/>
      <c r="T387" s="292"/>
      <c r="U387" s="258"/>
    </row>
    <row r="388" spans="1:21" ht="18" customHeight="1" x14ac:dyDescent="0.25">
      <c r="A388" s="8"/>
      <c r="B388" s="20"/>
      <c r="C388" s="20"/>
      <c r="D388" s="20"/>
      <c r="E388" s="23" t="s">
        <v>24</v>
      </c>
      <c r="F388" s="21"/>
      <c r="G388" s="21">
        <v>1563375</v>
      </c>
      <c r="H388" s="35">
        <f>9864825+5452499+14852935+1694550</f>
        <v>31864809</v>
      </c>
      <c r="I388" s="21">
        <f>+G388+H388</f>
        <v>33428184</v>
      </c>
      <c r="J388" s="21">
        <v>7301255</v>
      </c>
      <c r="K388" s="35">
        <f>1804545+1486486+1981982+808649+204640+566203+167775+530180+336937+354279+910721+770000</f>
        <v>9922397</v>
      </c>
      <c r="L388" s="21">
        <f t="shared" si="238"/>
        <v>17223652</v>
      </c>
      <c r="M388" s="21">
        <f t="shared" ref="M388:M391" si="239">+I388+L388</f>
        <v>50651836</v>
      </c>
      <c r="N388" s="22"/>
      <c r="S388" s="292"/>
      <c r="T388" s="292"/>
      <c r="U388" s="257"/>
    </row>
    <row r="389" spans="1:21" ht="18" customHeight="1" x14ac:dyDescent="0.25">
      <c r="A389" s="8"/>
      <c r="B389" s="20"/>
      <c r="C389" s="20"/>
      <c r="D389" s="20"/>
      <c r="E389" s="23" t="s">
        <v>22</v>
      </c>
      <c r="F389" s="21"/>
      <c r="G389" s="21">
        <v>23082264</v>
      </c>
      <c r="H389" s="35">
        <v>289559</v>
      </c>
      <c r="I389" s="21">
        <f>+G389+H389</f>
        <v>23371823</v>
      </c>
      <c r="J389" s="21">
        <v>0</v>
      </c>
      <c r="K389" s="35"/>
      <c r="L389" s="21">
        <f t="shared" si="238"/>
        <v>0</v>
      </c>
      <c r="M389" s="21">
        <f t="shared" si="239"/>
        <v>23371823</v>
      </c>
      <c r="N389" s="22"/>
      <c r="S389" s="292"/>
      <c r="T389" s="292"/>
      <c r="U389" s="257"/>
    </row>
    <row r="390" spans="1:21" ht="18" customHeight="1" x14ac:dyDescent="0.25">
      <c r="A390" s="4"/>
      <c r="B390" s="233"/>
      <c r="C390" s="233"/>
      <c r="D390" s="233"/>
      <c r="E390" s="234" t="s">
        <v>25</v>
      </c>
      <c r="F390" s="235"/>
      <c r="G390" s="235">
        <v>0</v>
      </c>
      <c r="H390" s="236">
        <f>1345203+743523+2025400</f>
        <v>4114126</v>
      </c>
      <c r="I390" s="235">
        <f>+G390+H390</f>
        <v>4114126</v>
      </c>
      <c r="J390" s="235">
        <v>1027898</v>
      </c>
      <c r="K390" s="236">
        <f>214865+110270+27905+77209+22878+27027+214865</f>
        <v>695019</v>
      </c>
      <c r="L390" s="235">
        <f t="shared" si="238"/>
        <v>1722917</v>
      </c>
      <c r="M390" s="235">
        <f t="shared" si="239"/>
        <v>5837043</v>
      </c>
      <c r="N390" s="237"/>
      <c r="Q390" s="3"/>
      <c r="S390" s="292"/>
      <c r="T390" s="292"/>
      <c r="U390" s="257"/>
    </row>
    <row r="391" spans="1:21" ht="18" customHeight="1" x14ac:dyDescent="0.25">
      <c r="A391" s="8"/>
      <c r="B391" s="20"/>
      <c r="C391" s="20"/>
      <c r="D391" s="20"/>
      <c r="E391" s="23" t="s">
        <v>26</v>
      </c>
      <c r="F391" s="21"/>
      <c r="G391" s="21">
        <v>2842500</v>
      </c>
      <c r="H391" s="35">
        <v>3081000</v>
      </c>
      <c r="I391" s="21">
        <f>+G391+H391</f>
        <v>5923500</v>
      </c>
      <c r="J391" s="21">
        <v>1032566</v>
      </c>
      <c r="K391" s="35">
        <f>360909+270270+360360+96396+61261+64414+165586+140000</f>
        <v>1519196</v>
      </c>
      <c r="L391" s="21">
        <f t="shared" si="238"/>
        <v>2551762</v>
      </c>
      <c r="M391" s="21">
        <f t="shared" si="239"/>
        <v>8475262</v>
      </c>
      <c r="N391" s="22"/>
      <c r="S391" s="292"/>
      <c r="T391" s="292"/>
      <c r="U391" s="257"/>
    </row>
    <row r="392" spans="1:21" ht="18" customHeight="1" x14ac:dyDescent="0.25">
      <c r="A392" s="8"/>
      <c r="B392" s="20"/>
      <c r="C392" s="20"/>
      <c r="D392" s="20"/>
      <c r="E392" s="23" t="s">
        <v>40</v>
      </c>
      <c r="F392" s="21"/>
      <c r="G392" s="21"/>
      <c r="H392" s="35"/>
      <c r="I392" s="21"/>
      <c r="J392" s="21"/>
      <c r="K392" s="35"/>
      <c r="L392" s="21"/>
      <c r="M392" s="21"/>
      <c r="N392" s="22"/>
      <c r="S392" s="292"/>
      <c r="T392" s="292"/>
      <c r="U392" s="257"/>
    </row>
    <row r="393" spans="1:21" ht="18" customHeight="1" x14ac:dyDescent="0.25">
      <c r="A393" s="8"/>
      <c r="B393" s="20"/>
      <c r="C393" s="20"/>
      <c r="D393" s="20"/>
      <c r="E393" s="23" t="s">
        <v>321</v>
      </c>
      <c r="F393" s="21"/>
      <c r="G393" s="21">
        <v>0</v>
      </c>
      <c r="H393" s="35"/>
      <c r="I393" s="21">
        <f>+G393+H393</f>
        <v>0</v>
      </c>
      <c r="J393" s="21">
        <v>0</v>
      </c>
      <c r="K393" s="35"/>
      <c r="L393" s="21">
        <f>+J393+K393</f>
        <v>0</v>
      </c>
      <c r="M393" s="21">
        <f>+I393+L393</f>
        <v>0</v>
      </c>
      <c r="N393" s="22"/>
      <c r="S393" s="292"/>
      <c r="T393" s="292"/>
      <c r="U393" s="257"/>
    </row>
    <row r="394" spans="1:21" ht="18" customHeight="1" x14ac:dyDescent="0.25">
      <c r="A394" s="8"/>
      <c r="B394" s="20"/>
      <c r="C394" s="20"/>
      <c r="D394" s="20"/>
      <c r="E394" s="23" t="s">
        <v>322</v>
      </c>
      <c r="F394" s="21"/>
      <c r="G394" s="21">
        <v>110747944</v>
      </c>
      <c r="H394" s="35">
        <f>51518800+2851410</f>
        <v>54370210</v>
      </c>
      <c r="I394" s="21">
        <f t="shared" ref="I394:I400" si="240">+G394+H394</f>
        <v>165118154</v>
      </c>
      <c r="J394" s="21">
        <v>0</v>
      </c>
      <c r="K394" s="35"/>
      <c r="L394" s="21">
        <f>+J394+K394</f>
        <v>0</v>
      </c>
      <c r="M394" s="21">
        <f t="shared" ref="M394:M400" si="241">+I394+L394</f>
        <v>165118154</v>
      </c>
      <c r="N394" s="22"/>
      <c r="S394" s="292"/>
      <c r="T394" s="292"/>
      <c r="U394" s="257"/>
    </row>
    <row r="395" spans="1:21" ht="18" customHeight="1" x14ac:dyDescent="0.25">
      <c r="A395" s="8"/>
      <c r="B395" s="20"/>
      <c r="C395" s="20"/>
      <c r="D395" s="20"/>
      <c r="E395" s="23" t="s">
        <v>323</v>
      </c>
      <c r="F395" s="21"/>
      <c r="G395" s="21">
        <v>30427009</v>
      </c>
      <c r="H395" s="35">
        <v>11405655</v>
      </c>
      <c r="I395" s="21">
        <f t="shared" si="240"/>
        <v>41832664</v>
      </c>
      <c r="J395" s="21"/>
      <c r="K395" s="35"/>
      <c r="L395" s="21"/>
      <c r="M395" s="21">
        <f t="shared" si="241"/>
        <v>41832664</v>
      </c>
      <c r="N395" s="22"/>
      <c r="S395" s="292"/>
      <c r="T395" s="292"/>
      <c r="U395" s="257"/>
    </row>
    <row r="396" spans="1:21" ht="18" customHeight="1" x14ac:dyDescent="0.25">
      <c r="A396" s="8"/>
      <c r="B396" s="20"/>
      <c r="C396" s="20"/>
      <c r="D396" s="20"/>
      <c r="E396" s="23" t="s">
        <v>324</v>
      </c>
      <c r="F396" s="21"/>
      <c r="G396" s="21">
        <v>1163735</v>
      </c>
      <c r="H396" s="35">
        <v>566504</v>
      </c>
      <c r="I396" s="21">
        <f t="shared" si="240"/>
        <v>1730239</v>
      </c>
      <c r="J396" s="21"/>
      <c r="K396" s="35"/>
      <c r="L396" s="21"/>
      <c r="M396" s="21">
        <f t="shared" si="241"/>
        <v>1730239</v>
      </c>
      <c r="N396" s="22"/>
      <c r="S396" s="292"/>
      <c r="T396" s="292"/>
      <c r="U396" s="257"/>
    </row>
    <row r="397" spans="1:21" ht="18" customHeight="1" x14ac:dyDescent="0.25">
      <c r="A397" s="8"/>
      <c r="B397" s="20"/>
      <c r="C397" s="20"/>
      <c r="D397" s="20"/>
      <c r="E397" s="23" t="s">
        <v>325</v>
      </c>
      <c r="F397" s="21"/>
      <c r="G397" s="21">
        <v>3491205</v>
      </c>
      <c r="H397" s="35">
        <v>1699511</v>
      </c>
      <c r="I397" s="21">
        <f t="shared" si="240"/>
        <v>5190716</v>
      </c>
      <c r="J397" s="21"/>
      <c r="K397" s="35"/>
      <c r="L397" s="21"/>
      <c r="M397" s="21">
        <f t="shared" si="241"/>
        <v>5190716</v>
      </c>
      <c r="N397" s="22"/>
      <c r="S397" s="292"/>
      <c r="T397" s="292"/>
      <c r="U397" s="257"/>
    </row>
    <row r="398" spans="1:21" ht="18" customHeight="1" x14ac:dyDescent="0.25">
      <c r="A398" s="8"/>
      <c r="B398" s="20"/>
      <c r="C398" s="20"/>
      <c r="D398" s="20"/>
      <c r="E398" s="23" t="s">
        <v>326</v>
      </c>
      <c r="F398" s="21"/>
      <c r="G398" s="21">
        <v>42712038</v>
      </c>
      <c r="H398" s="35">
        <v>20749707</v>
      </c>
      <c r="I398" s="21">
        <f t="shared" si="240"/>
        <v>63461745</v>
      </c>
      <c r="J398" s="21"/>
      <c r="K398" s="35"/>
      <c r="L398" s="21"/>
      <c r="M398" s="21">
        <f t="shared" si="241"/>
        <v>63461745</v>
      </c>
      <c r="N398" s="22"/>
      <c r="S398" s="292"/>
      <c r="T398" s="292"/>
      <c r="U398" s="257"/>
    </row>
    <row r="399" spans="1:21" ht="18" customHeight="1" x14ac:dyDescent="0.25">
      <c r="A399" s="4"/>
      <c r="B399" s="233"/>
      <c r="C399" s="233"/>
      <c r="D399" s="233"/>
      <c r="E399" s="234" t="s">
        <v>327</v>
      </c>
      <c r="F399" s="235"/>
      <c r="G399" s="235"/>
      <c r="H399" s="236"/>
      <c r="I399" s="235"/>
      <c r="J399" s="235">
        <v>4195000</v>
      </c>
      <c r="K399" s="236">
        <f>1590000+200000+1590000</f>
        <v>3380000</v>
      </c>
      <c r="L399" s="235">
        <f>+J399+K399</f>
        <v>7575000</v>
      </c>
      <c r="M399" s="235">
        <f t="shared" si="241"/>
        <v>7575000</v>
      </c>
      <c r="N399" s="237"/>
      <c r="S399" s="292"/>
      <c r="T399" s="292"/>
      <c r="U399" s="257"/>
    </row>
    <row r="400" spans="1:21" ht="18" customHeight="1" x14ac:dyDescent="0.25">
      <c r="A400" s="8"/>
      <c r="B400" s="20"/>
      <c r="C400" s="20"/>
      <c r="D400" s="20"/>
      <c r="E400" s="23" t="s">
        <v>426</v>
      </c>
      <c r="F400" s="21"/>
      <c r="G400" s="21"/>
      <c r="H400" s="35"/>
      <c r="I400" s="21">
        <f t="shared" si="240"/>
        <v>0</v>
      </c>
      <c r="J400" s="21"/>
      <c r="K400" s="35"/>
      <c r="L400" s="21"/>
      <c r="M400" s="21">
        <f t="shared" si="241"/>
        <v>0</v>
      </c>
      <c r="N400" s="22"/>
      <c r="S400" s="292"/>
      <c r="T400" s="292"/>
      <c r="U400" s="257"/>
    </row>
    <row r="401" spans="1:21" ht="18" customHeight="1" x14ac:dyDescent="0.25">
      <c r="A401" s="8"/>
      <c r="B401" s="20"/>
      <c r="C401" s="20"/>
      <c r="D401" s="20"/>
      <c r="E401" s="20" t="s">
        <v>23</v>
      </c>
      <c r="F401" s="21"/>
      <c r="G401" s="21"/>
      <c r="H401" s="21"/>
      <c r="I401" s="21"/>
      <c r="J401" s="21"/>
      <c r="K401" s="21"/>
      <c r="L401" s="21"/>
      <c r="M401" s="21"/>
      <c r="N401" s="22"/>
      <c r="S401" s="292"/>
      <c r="T401" s="292"/>
      <c r="U401" s="257"/>
    </row>
    <row r="402" spans="1:21" ht="18" customHeight="1" x14ac:dyDescent="0.25">
      <c r="A402" s="8"/>
      <c r="B402" s="20"/>
      <c r="C402" s="20"/>
      <c r="D402" s="20"/>
      <c r="E402" s="24" t="s">
        <v>27</v>
      </c>
      <c r="F402" s="15"/>
      <c r="G402" s="25"/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14"/>
      <c r="Q402" s="3"/>
      <c r="S402" s="292"/>
      <c r="T402" s="292"/>
      <c r="U402" s="257"/>
    </row>
    <row r="403" spans="1:21" ht="18" customHeight="1" x14ac:dyDescent="0.25">
      <c r="A403" s="8"/>
      <c r="B403" s="20"/>
      <c r="C403" s="20"/>
      <c r="D403" s="20"/>
      <c r="E403" s="20"/>
      <c r="F403" s="21"/>
      <c r="G403" s="21"/>
      <c r="H403" s="21"/>
      <c r="I403" s="21"/>
      <c r="J403" s="21"/>
      <c r="K403" s="21"/>
      <c r="L403" s="21"/>
      <c r="M403" s="21"/>
      <c r="N403" s="22"/>
      <c r="S403" s="292"/>
      <c r="T403" s="292"/>
      <c r="U403" s="257"/>
    </row>
    <row r="404" spans="1:21" ht="18" customHeight="1" x14ac:dyDescent="0.25">
      <c r="A404" s="8"/>
      <c r="B404" s="20"/>
      <c r="C404" s="20"/>
      <c r="D404" s="20"/>
      <c r="E404" s="20" t="s">
        <v>328</v>
      </c>
      <c r="F404" s="21"/>
      <c r="G404" s="21"/>
      <c r="H404" s="21"/>
      <c r="I404" s="21"/>
      <c r="J404" s="21"/>
      <c r="K404" s="21"/>
      <c r="L404" s="21"/>
      <c r="M404" s="21"/>
      <c r="N404" s="22"/>
      <c r="S404" s="292"/>
      <c r="T404" s="292"/>
      <c r="U404" s="257"/>
    </row>
    <row r="405" spans="1:21" s="32" customFormat="1" ht="18" customHeight="1" x14ac:dyDescent="0.25">
      <c r="A405" s="28"/>
      <c r="B405" s="29"/>
      <c r="C405" s="29"/>
      <c r="D405" s="29"/>
      <c r="E405" s="29" t="s">
        <v>21</v>
      </c>
      <c r="F405" s="30"/>
      <c r="G405" s="30">
        <f>+G386</f>
        <v>19588610336</v>
      </c>
      <c r="H405" s="33">
        <f>+H386</f>
        <v>28967363516</v>
      </c>
      <c r="I405" s="30">
        <f t="shared" ref="I405:L405" si="242">+I386</f>
        <v>48555973852</v>
      </c>
      <c r="J405" s="30">
        <f t="shared" si="242"/>
        <v>460031431</v>
      </c>
      <c r="K405" s="30">
        <f t="shared" si="242"/>
        <v>316277418</v>
      </c>
      <c r="L405" s="30">
        <f t="shared" si="242"/>
        <v>776308849</v>
      </c>
      <c r="M405" s="30">
        <f>+M386</f>
        <v>49332282701</v>
      </c>
      <c r="N405" s="31"/>
      <c r="O405" s="34"/>
      <c r="P405" s="202"/>
      <c r="S405" s="292"/>
      <c r="T405" s="292"/>
      <c r="U405" s="258"/>
    </row>
    <row r="406" spans="1:21" s="32" customFormat="1" ht="18" customHeight="1" x14ac:dyDescent="0.25">
      <c r="A406" s="28"/>
      <c r="B406" s="29"/>
      <c r="C406" s="29"/>
      <c r="D406" s="29"/>
      <c r="E406" s="29" t="s">
        <v>42</v>
      </c>
      <c r="F406" s="30"/>
      <c r="G406" s="30">
        <f>+SUM(G407:G420)</f>
        <v>216030070</v>
      </c>
      <c r="H406" s="30">
        <f>+SUM(H407:H420)</f>
        <v>128141081</v>
      </c>
      <c r="I406" s="30">
        <f>+G406+H406</f>
        <v>344171151</v>
      </c>
      <c r="J406" s="30">
        <f>+SUM(J407:J420)</f>
        <v>13556719</v>
      </c>
      <c r="K406" s="30">
        <f>+SUM(K407:K420)</f>
        <v>15516612</v>
      </c>
      <c r="L406" s="30">
        <f>+J406+K406</f>
        <v>29073331</v>
      </c>
      <c r="M406" s="33">
        <f>+I406+L406</f>
        <v>373244482</v>
      </c>
      <c r="N406" s="31"/>
      <c r="P406" s="202"/>
      <c r="S406" s="292"/>
      <c r="T406" s="292"/>
      <c r="U406" s="258"/>
    </row>
    <row r="407" spans="1:21" ht="18" customHeight="1" x14ac:dyDescent="0.25">
      <c r="A407" s="8"/>
      <c r="B407" s="20"/>
      <c r="C407" s="20"/>
      <c r="D407" s="20"/>
      <c r="E407" s="23" t="s">
        <v>24</v>
      </c>
      <c r="F407" s="21"/>
      <c r="G407" s="21">
        <v>1563375</v>
      </c>
      <c r="H407" s="35">
        <f>9864825+5452499+14852935+1694550</f>
        <v>31864809</v>
      </c>
      <c r="I407" s="21">
        <f>+G407+H407</f>
        <v>33428184</v>
      </c>
      <c r="J407" s="21">
        <v>7301255</v>
      </c>
      <c r="K407" s="35">
        <f>1804545+1486486+1981982+808649+204640+566203+167775+530180+336937+354279+910721+770000</f>
        <v>9922397</v>
      </c>
      <c r="L407" s="21">
        <f>+J407+K407</f>
        <v>17223652</v>
      </c>
      <c r="M407" s="21">
        <f>+I407+L407</f>
        <v>50651836</v>
      </c>
      <c r="N407" s="22"/>
      <c r="S407" s="292"/>
      <c r="T407" s="292"/>
      <c r="U407" s="257"/>
    </row>
    <row r="408" spans="1:21" ht="18" customHeight="1" x14ac:dyDescent="0.25">
      <c r="A408" s="8"/>
      <c r="B408" s="20"/>
      <c r="C408" s="20"/>
      <c r="D408" s="20"/>
      <c r="E408" s="23" t="s">
        <v>22</v>
      </c>
      <c r="F408" s="21"/>
      <c r="G408" s="21">
        <v>23082264</v>
      </c>
      <c r="H408" s="35">
        <v>289559</v>
      </c>
      <c r="I408" s="21">
        <f>+G408+H408</f>
        <v>23371823</v>
      </c>
      <c r="J408" s="21">
        <v>0</v>
      </c>
      <c r="K408" s="35"/>
      <c r="L408" s="21">
        <f>+J408+K408</f>
        <v>0</v>
      </c>
      <c r="M408" s="21">
        <f>+I408+L408</f>
        <v>23371823</v>
      </c>
      <c r="N408" s="22"/>
      <c r="S408" s="292"/>
      <c r="T408" s="292"/>
      <c r="U408" s="257"/>
    </row>
    <row r="409" spans="1:21" ht="18" customHeight="1" x14ac:dyDescent="0.25">
      <c r="A409" s="8"/>
      <c r="B409" s="20"/>
      <c r="C409" s="20"/>
      <c r="D409" s="20"/>
      <c r="E409" s="23" t="s">
        <v>25</v>
      </c>
      <c r="F409" s="21"/>
      <c r="G409" s="21">
        <v>0</v>
      </c>
      <c r="H409" s="236">
        <f>1345203+743523+2025400</f>
        <v>4114126</v>
      </c>
      <c r="I409" s="21">
        <f>+G409+H409</f>
        <v>4114126</v>
      </c>
      <c r="J409" s="21">
        <v>1027898</v>
      </c>
      <c r="K409" s="236">
        <f>214865+110270+27905+77209+22878+27027+214865</f>
        <v>695019</v>
      </c>
      <c r="L409" s="21">
        <f>+J409+K409</f>
        <v>1722917</v>
      </c>
      <c r="M409" s="21">
        <f>+I409+L409</f>
        <v>5837043</v>
      </c>
      <c r="N409" s="22"/>
      <c r="S409" s="292"/>
      <c r="T409" s="292"/>
      <c r="U409" s="257"/>
    </row>
    <row r="410" spans="1:21" ht="18" customHeight="1" x14ac:dyDescent="0.25">
      <c r="A410" s="8"/>
      <c r="B410" s="20"/>
      <c r="C410" s="20"/>
      <c r="D410" s="20"/>
      <c r="E410" s="23" t="s">
        <v>26</v>
      </c>
      <c r="F410" s="21"/>
      <c r="G410" s="21">
        <v>2842500</v>
      </c>
      <c r="H410" s="35">
        <v>3081000</v>
      </c>
      <c r="I410" s="21">
        <f>+G410+H410</f>
        <v>5923500</v>
      </c>
      <c r="J410" s="21">
        <v>1032566</v>
      </c>
      <c r="K410" s="35">
        <f>360909+270270+360360+96396+61261+64414+165586+140000</f>
        <v>1519196</v>
      </c>
      <c r="L410" s="21">
        <f>+J410+K410</f>
        <v>2551762</v>
      </c>
      <c r="M410" s="21">
        <f>+I410+L410</f>
        <v>8475262</v>
      </c>
      <c r="N410" s="22"/>
      <c r="S410" s="292"/>
      <c r="T410" s="292"/>
      <c r="U410" s="257"/>
    </row>
    <row r="411" spans="1:21" ht="18" customHeight="1" x14ac:dyDescent="0.25">
      <c r="A411" s="8"/>
      <c r="B411" s="20"/>
      <c r="C411" s="20"/>
      <c r="D411" s="20"/>
      <c r="E411" s="23" t="s">
        <v>40</v>
      </c>
      <c r="F411" s="21"/>
      <c r="G411" s="21"/>
      <c r="H411" s="35"/>
      <c r="I411" s="21"/>
      <c r="J411" s="21"/>
      <c r="K411" s="35"/>
      <c r="L411" s="21"/>
      <c r="M411" s="21"/>
      <c r="N411" s="22"/>
      <c r="S411" s="292"/>
      <c r="T411" s="292"/>
      <c r="U411" s="257"/>
    </row>
    <row r="412" spans="1:21" ht="18" customHeight="1" x14ac:dyDescent="0.25">
      <c r="A412" s="8"/>
      <c r="B412" s="20"/>
      <c r="C412" s="20"/>
      <c r="D412" s="20"/>
      <c r="E412" s="23" t="s">
        <v>321</v>
      </c>
      <c r="F412" s="21"/>
      <c r="G412" s="21">
        <v>0</v>
      </c>
      <c r="H412" s="35"/>
      <c r="I412" s="21">
        <f>+G412+H412</f>
        <v>0</v>
      </c>
      <c r="J412" s="21">
        <v>0</v>
      </c>
      <c r="K412" s="35"/>
      <c r="L412" s="21">
        <f>+J412+K412</f>
        <v>0</v>
      </c>
      <c r="M412" s="21">
        <f t="shared" ref="M412:M419" si="243">+I412+L412</f>
        <v>0</v>
      </c>
      <c r="N412" s="22"/>
      <c r="U412" s="257"/>
    </row>
    <row r="413" spans="1:21" ht="18" customHeight="1" x14ac:dyDescent="0.25">
      <c r="A413" s="8"/>
      <c r="B413" s="20"/>
      <c r="C413" s="20"/>
      <c r="D413" s="20"/>
      <c r="E413" s="23" t="s">
        <v>322</v>
      </c>
      <c r="F413" s="21"/>
      <c r="G413" s="21">
        <v>110747944</v>
      </c>
      <c r="H413" s="35">
        <f>51518800+2851410</f>
        <v>54370210</v>
      </c>
      <c r="I413" s="21">
        <f t="shared" ref="I413:I419" si="244">+G413+H413</f>
        <v>165118154</v>
      </c>
      <c r="J413" s="21"/>
      <c r="K413" s="35"/>
      <c r="L413" s="21"/>
      <c r="M413" s="21">
        <f t="shared" si="243"/>
        <v>165118154</v>
      </c>
      <c r="N413" s="22"/>
      <c r="U413" s="257"/>
    </row>
    <row r="414" spans="1:21" ht="18" customHeight="1" x14ac:dyDescent="0.25">
      <c r="A414" s="8"/>
      <c r="B414" s="20"/>
      <c r="C414" s="20"/>
      <c r="D414" s="20"/>
      <c r="E414" s="23" t="s">
        <v>323</v>
      </c>
      <c r="F414" s="21"/>
      <c r="G414" s="21">
        <v>30427009</v>
      </c>
      <c r="H414" s="35">
        <v>11405655</v>
      </c>
      <c r="I414" s="21">
        <f t="shared" si="244"/>
        <v>41832664</v>
      </c>
      <c r="J414" s="21"/>
      <c r="K414" s="35"/>
      <c r="L414" s="21"/>
      <c r="M414" s="21">
        <f t="shared" si="243"/>
        <v>41832664</v>
      </c>
      <c r="N414" s="22"/>
      <c r="U414" s="257"/>
    </row>
    <row r="415" spans="1:21" ht="18" customHeight="1" x14ac:dyDescent="0.25">
      <c r="A415" s="8"/>
      <c r="B415" s="20"/>
      <c r="C415" s="20"/>
      <c r="D415" s="20"/>
      <c r="E415" s="23" t="s">
        <v>324</v>
      </c>
      <c r="F415" s="21"/>
      <c r="G415" s="21">
        <v>1163735</v>
      </c>
      <c r="H415" s="35">
        <v>566504</v>
      </c>
      <c r="I415" s="21">
        <f t="shared" si="244"/>
        <v>1730239</v>
      </c>
      <c r="J415" s="21"/>
      <c r="K415" s="35"/>
      <c r="L415" s="21"/>
      <c r="M415" s="21">
        <f t="shared" si="243"/>
        <v>1730239</v>
      </c>
      <c r="N415" s="22"/>
      <c r="U415" s="257"/>
    </row>
    <row r="416" spans="1:21" ht="18" customHeight="1" x14ac:dyDescent="0.25">
      <c r="A416" s="8"/>
      <c r="B416" s="20"/>
      <c r="C416" s="20"/>
      <c r="D416" s="20"/>
      <c r="E416" s="23" t="s">
        <v>325</v>
      </c>
      <c r="F416" s="21"/>
      <c r="G416" s="21">
        <v>3491205</v>
      </c>
      <c r="H416" s="35">
        <v>1699511</v>
      </c>
      <c r="I416" s="21">
        <f t="shared" si="244"/>
        <v>5190716</v>
      </c>
      <c r="J416" s="21"/>
      <c r="K416" s="35"/>
      <c r="L416" s="21"/>
      <c r="M416" s="21">
        <f t="shared" si="243"/>
        <v>5190716</v>
      </c>
      <c r="N416" s="22"/>
      <c r="U416" s="257"/>
    </row>
    <row r="417" spans="1:21" ht="18" customHeight="1" x14ac:dyDescent="0.25">
      <c r="A417" s="8"/>
      <c r="B417" s="20"/>
      <c r="C417" s="20"/>
      <c r="D417" s="20"/>
      <c r="E417" s="23" t="s">
        <v>326</v>
      </c>
      <c r="F417" s="21"/>
      <c r="G417" s="21">
        <v>42712038</v>
      </c>
      <c r="H417" s="35">
        <v>20749707</v>
      </c>
      <c r="I417" s="21">
        <f t="shared" si="244"/>
        <v>63461745</v>
      </c>
      <c r="J417" s="21"/>
      <c r="K417" s="35"/>
      <c r="L417" s="21"/>
      <c r="M417" s="21">
        <f t="shared" si="243"/>
        <v>63461745</v>
      </c>
      <c r="N417" s="22"/>
      <c r="U417" s="257"/>
    </row>
    <row r="418" spans="1:21" ht="18" customHeight="1" x14ac:dyDescent="0.25">
      <c r="A418" s="8"/>
      <c r="B418" s="20"/>
      <c r="C418" s="20"/>
      <c r="D418" s="20"/>
      <c r="E418" s="23" t="s">
        <v>327</v>
      </c>
      <c r="F418" s="21"/>
      <c r="G418" s="21"/>
      <c r="H418" s="236"/>
      <c r="I418" s="21"/>
      <c r="J418" s="21">
        <v>4195000</v>
      </c>
      <c r="K418" s="236">
        <f>1590000+200000+1590000</f>
        <v>3380000</v>
      </c>
      <c r="L418" s="21">
        <f>+J418+K418</f>
        <v>7575000</v>
      </c>
      <c r="M418" s="21">
        <f t="shared" si="243"/>
        <v>7575000</v>
      </c>
      <c r="N418" s="22"/>
      <c r="U418" s="257"/>
    </row>
    <row r="419" spans="1:21" ht="18" customHeight="1" x14ac:dyDescent="0.25">
      <c r="A419" s="8"/>
      <c r="B419" s="20"/>
      <c r="C419" s="20"/>
      <c r="D419" s="20"/>
      <c r="E419" s="23" t="s">
        <v>426</v>
      </c>
      <c r="F419" s="21"/>
      <c r="G419" s="21"/>
      <c r="H419" s="35"/>
      <c r="I419" s="21">
        <f t="shared" si="244"/>
        <v>0</v>
      </c>
      <c r="J419" s="21"/>
      <c r="K419" s="35"/>
      <c r="L419" s="21"/>
      <c r="M419" s="21">
        <f t="shared" si="243"/>
        <v>0</v>
      </c>
      <c r="N419" s="22"/>
      <c r="U419" s="257"/>
    </row>
    <row r="420" spans="1:21" ht="18" customHeight="1" x14ac:dyDescent="0.25">
      <c r="A420" s="8"/>
      <c r="B420" s="20"/>
      <c r="C420" s="20"/>
      <c r="D420" s="20"/>
      <c r="E420" s="20" t="s">
        <v>23</v>
      </c>
      <c r="F420" s="21"/>
      <c r="G420" s="21"/>
      <c r="H420" s="21"/>
      <c r="I420" s="21"/>
      <c r="J420" s="21"/>
      <c r="K420" s="21"/>
      <c r="L420" s="21"/>
      <c r="M420" s="21"/>
      <c r="N420" s="22"/>
      <c r="U420" s="257"/>
    </row>
    <row r="421" spans="1:21" ht="18" customHeight="1" x14ac:dyDescent="0.25">
      <c r="A421" s="8"/>
      <c r="B421" s="20"/>
      <c r="C421" s="20"/>
      <c r="D421" s="20"/>
      <c r="E421" s="24" t="s">
        <v>27</v>
      </c>
      <c r="F421" s="15"/>
      <c r="G421" s="25" t="s">
        <v>49</v>
      </c>
      <c r="H421" s="25" t="s">
        <v>49</v>
      </c>
      <c r="I421" s="25" t="s">
        <v>49</v>
      </c>
      <c r="J421" s="25" t="s">
        <v>49</v>
      </c>
      <c r="K421" s="25" t="s">
        <v>49</v>
      </c>
      <c r="L421" s="25" t="s">
        <v>49</v>
      </c>
      <c r="M421" s="25" t="s">
        <v>49</v>
      </c>
      <c r="N421" s="14"/>
      <c r="U421" s="257"/>
    </row>
    <row r="422" spans="1:21" ht="18" customHeight="1" x14ac:dyDescent="0.25">
      <c r="A422" s="8"/>
      <c r="B422" s="20"/>
      <c r="C422" s="20"/>
      <c r="D422" s="20"/>
      <c r="E422" s="20"/>
      <c r="F422" s="22"/>
      <c r="G422" s="22"/>
      <c r="H422" s="22"/>
      <c r="I422" s="22"/>
      <c r="J422" s="22"/>
      <c r="K422" s="22"/>
      <c r="L422" s="22"/>
      <c r="M422" s="22"/>
      <c r="N422" s="22"/>
      <c r="U422" s="257"/>
    </row>
    <row r="423" spans="1:21" ht="18" customHeight="1" x14ac:dyDescent="0.25">
      <c r="A423" s="26"/>
      <c r="B423" s="26"/>
      <c r="C423" s="26"/>
      <c r="D423" s="26"/>
      <c r="E423" s="24" t="s">
        <v>28</v>
      </c>
      <c r="F423" s="14"/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/>
      <c r="U423" s="257"/>
    </row>
    <row r="424" spans="1:21" ht="18" customHeight="1" x14ac:dyDescent="0.25">
      <c r="U424" s="257"/>
    </row>
    <row r="425" spans="1:21" ht="18" customHeight="1" x14ac:dyDescent="0.25">
      <c r="A425" s="490" t="s">
        <v>52</v>
      </c>
      <c r="B425" s="490"/>
      <c r="C425" s="490"/>
      <c r="D425" s="490"/>
      <c r="L425" s="492" t="s">
        <v>488</v>
      </c>
      <c r="M425" s="492"/>
      <c r="N425" s="492"/>
      <c r="U425" s="257"/>
    </row>
    <row r="426" spans="1:21" ht="18" customHeight="1" x14ac:dyDescent="0.25">
      <c r="A426" s="490" t="s">
        <v>59</v>
      </c>
      <c r="B426" s="490"/>
      <c r="C426" s="490"/>
      <c r="D426" s="490"/>
      <c r="U426" s="257"/>
    </row>
    <row r="427" spans="1:21" ht="18" customHeight="1" x14ac:dyDescent="0.25">
      <c r="A427" s="490" t="s">
        <v>60</v>
      </c>
      <c r="B427" s="490"/>
      <c r="C427" s="490"/>
      <c r="D427" s="490"/>
      <c r="E427" s="272" t="s">
        <v>38</v>
      </c>
      <c r="F427" s="491" t="s">
        <v>39</v>
      </c>
      <c r="G427" s="491"/>
      <c r="H427" s="491"/>
      <c r="I427" s="160"/>
      <c r="J427" s="160"/>
      <c r="K427" s="160"/>
      <c r="L427" s="491" t="s">
        <v>422</v>
      </c>
      <c r="M427" s="491"/>
      <c r="N427" s="491"/>
      <c r="U427" s="257"/>
    </row>
    <row r="428" spans="1:21" ht="18" customHeight="1" x14ac:dyDescent="0.25">
      <c r="A428" s="490" t="s">
        <v>53</v>
      </c>
      <c r="B428" s="490"/>
      <c r="C428" s="490"/>
      <c r="D428" s="490"/>
      <c r="E428" s="272" t="s">
        <v>330</v>
      </c>
      <c r="F428" s="491" t="s">
        <v>54</v>
      </c>
      <c r="G428" s="491"/>
      <c r="H428" s="491"/>
      <c r="I428" s="160"/>
      <c r="J428" s="160"/>
      <c r="K428" s="160"/>
      <c r="L428" s="491" t="s">
        <v>330</v>
      </c>
      <c r="M428" s="491"/>
      <c r="N428" s="491"/>
      <c r="U428" s="257"/>
    </row>
    <row r="429" spans="1:21" ht="18" customHeight="1" x14ac:dyDescent="0.25">
      <c r="A429" s="462"/>
      <c r="B429" s="7"/>
      <c r="C429" s="7"/>
      <c r="D429" s="7"/>
      <c r="E429" s="462"/>
      <c r="G429" s="463"/>
      <c r="H429" s="6"/>
      <c r="I429" s="6"/>
      <c r="K429" s="6"/>
      <c r="L429" s="6"/>
      <c r="M429" s="6"/>
      <c r="N429" s="6"/>
      <c r="U429" s="257"/>
    </row>
    <row r="430" spans="1:21" ht="18" customHeight="1" x14ac:dyDescent="0.25">
      <c r="A430" s="462"/>
      <c r="B430" s="7"/>
      <c r="C430" s="7"/>
      <c r="D430" s="7"/>
      <c r="E430" s="462"/>
      <c r="G430" s="6"/>
      <c r="H430" s="6"/>
      <c r="K430" s="6"/>
      <c r="L430" s="6"/>
      <c r="M430" s="6"/>
    </row>
    <row r="431" spans="1:21" ht="18" customHeight="1" x14ac:dyDescent="0.25">
      <c r="A431" s="27"/>
      <c r="B431" s="7"/>
      <c r="C431" s="7"/>
      <c r="D431" s="7"/>
      <c r="E431" s="462"/>
      <c r="G431" s="6"/>
      <c r="H431" s="6"/>
      <c r="K431" s="6"/>
      <c r="L431" s="6"/>
      <c r="M431" s="6"/>
    </row>
    <row r="432" spans="1:21" ht="18" customHeight="1" x14ac:dyDescent="0.25">
      <c r="A432" s="490" t="s">
        <v>56</v>
      </c>
      <c r="B432" s="490"/>
      <c r="C432" s="490"/>
      <c r="D432" s="490"/>
      <c r="E432" s="466" t="s">
        <v>421</v>
      </c>
      <c r="F432" s="492" t="s">
        <v>51</v>
      </c>
      <c r="G432" s="492"/>
      <c r="H432" s="492"/>
      <c r="I432" s="161"/>
      <c r="J432" s="161"/>
      <c r="K432" s="161"/>
      <c r="L432" s="492" t="s">
        <v>423</v>
      </c>
      <c r="M432" s="492"/>
      <c r="N432" s="492"/>
    </row>
    <row r="433" spans="1:14" ht="18" customHeight="1" x14ac:dyDescent="0.25">
      <c r="A433" s="490" t="s">
        <v>29</v>
      </c>
      <c r="B433" s="490"/>
      <c r="C433" s="490"/>
      <c r="D433" s="490"/>
      <c r="E433" s="466" t="s">
        <v>419</v>
      </c>
      <c r="F433" s="493" t="s">
        <v>58</v>
      </c>
      <c r="G433" s="493"/>
      <c r="H433" s="493"/>
      <c r="I433" s="161"/>
      <c r="J433" s="161"/>
      <c r="K433" s="161"/>
      <c r="L433" s="493" t="s">
        <v>425</v>
      </c>
      <c r="M433" s="493"/>
      <c r="N433" s="493"/>
    </row>
    <row r="434" spans="1:14" ht="18" customHeight="1" x14ac:dyDescent="0.25">
      <c r="A434" s="490" t="s">
        <v>57</v>
      </c>
      <c r="B434" s="490"/>
      <c r="C434" s="490"/>
      <c r="D434" s="490"/>
      <c r="E434" s="466" t="s">
        <v>420</v>
      </c>
      <c r="F434" s="492" t="s">
        <v>47</v>
      </c>
      <c r="G434" s="492"/>
      <c r="H434" s="492"/>
      <c r="I434" s="161"/>
      <c r="J434" s="161"/>
      <c r="K434" s="161"/>
      <c r="L434" s="492" t="s">
        <v>424</v>
      </c>
      <c r="M434" s="492"/>
      <c r="N434" s="492"/>
    </row>
  </sheetData>
  <mergeCells count="33"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  <mergeCell ref="B17:D17"/>
    <mergeCell ref="A426:D426"/>
    <mergeCell ref="A427:D427"/>
    <mergeCell ref="F427:H427"/>
    <mergeCell ref="L427:N427"/>
    <mergeCell ref="A425:D425"/>
    <mergeCell ref="L425:N425"/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</mergeCells>
  <printOptions horizontalCentered="1"/>
  <pageMargins left="0.19685039370078741" right="0.19685039370078741" top="0.39370078740157483" bottom="0.19685039370078741" header="0.31496062992125984" footer="0.31496062992125984"/>
  <pageSetup paperSize="300" scale="56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34"/>
  <sheetViews>
    <sheetView showGridLines="0" view="pageBreakPreview" zoomScale="90" zoomScaleNormal="85" zoomScaleSheetLayoutView="90" workbookViewId="0">
      <pane xSplit="4" ySplit="16" topLeftCell="G17" activePane="bottomRight" state="frozen"/>
      <selection pane="topRight" activeCell="D1" sqref="D1"/>
      <selection pane="bottomLeft" activeCell="A17" sqref="A17"/>
      <selection pane="bottomRight" activeCell="P382" sqref="P382"/>
    </sheetView>
  </sheetViews>
  <sheetFormatPr defaultRowHeight="15" customHeight="1" x14ac:dyDescent="0.25"/>
  <cols>
    <col min="1" max="1" width="6" style="293" customWidth="1"/>
    <col min="2" max="2" width="11.5703125" style="293" customWidth="1"/>
    <col min="3" max="3" width="13.7109375" style="293" customWidth="1"/>
    <col min="4" max="4" width="15.85546875" style="293" customWidth="1"/>
    <col min="5" max="5" width="68.5703125" style="293" customWidth="1"/>
    <col min="6" max="6" width="18.140625" style="293" customWidth="1"/>
    <col min="7" max="7" width="16.85546875" style="293" customWidth="1"/>
    <col min="8" max="8" width="15.85546875" style="293" customWidth="1"/>
    <col min="9" max="9" width="18.7109375" style="293" customWidth="1"/>
    <col min="10" max="10" width="15" style="293" customWidth="1"/>
    <col min="11" max="11" width="14" style="293" customWidth="1"/>
    <col min="12" max="12" width="15.140625" style="293" customWidth="1"/>
    <col min="13" max="13" width="16.7109375" style="293" customWidth="1"/>
    <col min="14" max="14" width="19.28515625" style="293" customWidth="1"/>
    <col min="15" max="15" width="4.28515625" style="293" customWidth="1"/>
    <col min="16" max="16" width="18.42578125" style="294" customWidth="1"/>
    <col min="17" max="17" width="14.85546875" style="293" customWidth="1"/>
    <col min="18" max="18" width="15.42578125" style="293" customWidth="1"/>
    <col min="19" max="19" width="20.140625" style="295" customWidth="1"/>
    <col min="20" max="20" width="25.7109375" style="295" customWidth="1"/>
    <col min="21" max="21" width="26.140625" style="293" customWidth="1"/>
    <col min="22" max="16384" width="9.140625" style="293"/>
  </cols>
  <sheetData>
    <row r="1" spans="1:18" s="295" customFormat="1" ht="15" customHeight="1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293"/>
      <c r="P1" s="294"/>
      <c r="Q1" s="293"/>
      <c r="R1" s="293"/>
    </row>
    <row r="2" spans="1:18" s="295" customFormat="1" ht="15" customHeight="1" x14ac:dyDescent="0.25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293"/>
      <c r="P2" s="294"/>
      <c r="Q2" s="293"/>
      <c r="R2" s="293"/>
    </row>
    <row r="3" spans="1:18" s="295" customFormat="1" ht="15" customHeight="1" x14ac:dyDescent="0.25">
      <c r="A3" s="522" t="s">
        <v>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293"/>
      <c r="P3" s="294"/>
      <c r="Q3" s="293"/>
      <c r="R3" s="293"/>
    </row>
    <row r="4" spans="1:18" s="295" customFormat="1" ht="15" customHeight="1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  <c r="Q4" s="293"/>
      <c r="R4" s="293"/>
    </row>
    <row r="5" spans="1:18" s="295" customFormat="1" ht="15" customHeight="1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4"/>
      <c r="Q5" s="293"/>
      <c r="R5" s="293"/>
    </row>
    <row r="6" spans="1:18" s="295" customFormat="1" ht="15" customHeight="1" x14ac:dyDescent="0.25">
      <c r="A6" s="293" t="s">
        <v>3</v>
      </c>
      <c r="B6" s="293"/>
      <c r="C6" s="293"/>
      <c r="D6" s="293" t="s">
        <v>45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Q6" s="293"/>
      <c r="R6" s="293"/>
    </row>
    <row r="7" spans="1:18" s="295" customFormat="1" ht="15" customHeight="1" x14ac:dyDescent="0.25">
      <c r="A7" s="293" t="s">
        <v>4</v>
      </c>
      <c r="B7" s="293"/>
      <c r="C7" s="293"/>
      <c r="D7" s="293" t="s">
        <v>55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4"/>
      <c r="Q7" s="293"/>
      <c r="R7" s="293"/>
    </row>
    <row r="8" spans="1:18" s="295" customFormat="1" ht="15" customHeight="1" x14ac:dyDescent="0.25">
      <c r="A8" s="293" t="s">
        <v>5</v>
      </c>
      <c r="B8" s="293"/>
      <c r="C8" s="293"/>
      <c r="D8" s="504" t="s">
        <v>50</v>
      </c>
      <c r="E8" s="504"/>
      <c r="F8" s="504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293"/>
      <c r="R8" s="293"/>
    </row>
    <row r="9" spans="1:18" s="295" customFormat="1" ht="15" customHeight="1" x14ac:dyDescent="0.25">
      <c r="A9" s="293" t="s">
        <v>6</v>
      </c>
      <c r="B9" s="293"/>
      <c r="C9" s="293"/>
      <c r="D9" s="293" t="s">
        <v>449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4"/>
      <c r="Q9" s="293"/>
      <c r="R9" s="296"/>
    </row>
    <row r="10" spans="1:18" s="295" customFormat="1" ht="15" customHeight="1" x14ac:dyDescent="0.25">
      <c r="A10" s="293" t="s">
        <v>7</v>
      </c>
      <c r="B10" s="293"/>
      <c r="C10" s="293"/>
      <c r="D10" s="293" t="s">
        <v>485</v>
      </c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4"/>
      <c r="Q10" s="293"/>
      <c r="R10" s="296"/>
    </row>
    <row r="11" spans="1:18" s="295" customFormat="1" ht="15" customHeight="1" x14ac:dyDescent="0.25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4"/>
      <c r="Q11" s="293"/>
      <c r="R11" s="296"/>
    </row>
    <row r="12" spans="1:18" s="295" customFormat="1" ht="15" customHeight="1" x14ac:dyDescent="0.25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4"/>
      <c r="Q12" s="293"/>
      <c r="R12" s="296"/>
    </row>
    <row r="13" spans="1:18" s="295" customFormat="1" ht="15" customHeight="1" x14ac:dyDescent="0.25">
      <c r="A13" s="523" t="s">
        <v>37</v>
      </c>
      <c r="B13" s="525" t="s">
        <v>10</v>
      </c>
      <c r="C13" s="526"/>
      <c r="D13" s="527"/>
      <c r="E13" s="531" t="s">
        <v>8</v>
      </c>
      <c r="F13" s="531" t="s">
        <v>9</v>
      </c>
      <c r="G13" s="533" t="s">
        <v>14</v>
      </c>
      <c r="H13" s="533"/>
      <c r="I13" s="533"/>
      <c r="J13" s="533" t="s">
        <v>15</v>
      </c>
      <c r="K13" s="533"/>
      <c r="L13" s="533"/>
      <c r="M13" s="531" t="s">
        <v>17</v>
      </c>
      <c r="N13" s="531" t="s">
        <v>16</v>
      </c>
      <c r="O13" s="293"/>
      <c r="P13" s="294"/>
      <c r="Q13" s="293"/>
      <c r="R13" s="296"/>
    </row>
    <row r="14" spans="1:18" s="295" customFormat="1" ht="15" customHeight="1" x14ac:dyDescent="0.25">
      <c r="A14" s="524"/>
      <c r="B14" s="528"/>
      <c r="C14" s="529"/>
      <c r="D14" s="530"/>
      <c r="E14" s="531"/>
      <c r="F14" s="532"/>
      <c r="G14" s="460" t="s">
        <v>11</v>
      </c>
      <c r="H14" s="460" t="s">
        <v>12</v>
      </c>
      <c r="I14" s="460" t="s">
        <v>13</v>
      </c>
      <c r="J14" s="460" t="s">
        <v>11</v>
      </c>
      <c r="K14" s="460" t="s">
        <v>12</v>
      </c>
      <c r="L14" s="460" t="s">
        <v>13</v>
      </c>
      <c r="M14" s="531"/>
      <c r="N14" s="531"/>
      <c r="O14" s="293"/>
      <c r="P14" s="294"/>
      <c r="Q14" s="293"/>
      <c r="R14" s="298"/>
    </row>
    <row r="15" spans="1:18" s="295" customFormat="1" ht="15" customHeight="1" x14ac:dyDescent="0.25">
      <c r="A15" s="299"/>
      <c r="B15" s="516">
        <v>1</v>
      </c>
      <c r="C15" s="517"/>
      <c r="D15" s="518"/>
      <c r="E15" s="461">
        <v>2</v>
      </c>
      <c r="F15" s="461">
        <v>3</v>
      </c>
      <c r="G15" s="461">
        <v>7</v>
      </c>
      <c r="H15" s="461">
        <v>8</v>
      </c>
      <c r="I15" s="461" t="s">
        <v>18</v>
      </c>
      <c r="J15" s="461">
        <v>10</v>
      </c>
      <c r="K15" s="461">
        <v>11</v>
      </c>
      <c r="L15" s="461" t="s">
        <v>19</v>
      </c>
      <c r="M15" s="461" t="s">
        <v>155</v>
      </c>
      <c r="N15" s="461" t="s">
        <v>36</v>
      </c>
      <c r="O15" s="293"/>
      <c r="P15" s="294"/>
      <c r="Q15" s="293"/>
      <c r="R15" s="293"/>
    </row>
    <row r="16" spans="1:18" s="295" customFormat="1" ht="15" customHeight="1" x14ac:dyDescent="0.25">
      <c r="A16" s="301"/>
      <c r="B16" s="519"/>
      <c r="C16" s="520"/>
      <c r="D16" s="521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293"/>
      <c r="P16" s="294"/>
      <c r="Q16" s="293"/>
      <c r="R16" s="293"/>
    </row>
    <row r="17" spans="1:21" ht="17.100000000000001" customHeight="1" x14ac:dyDescent="0.25">
      <c r="A17" s="303"/>
      <c r="B17" s="534" t="s">
        <v>20</v>
      </c>
      <c r="C17" s="535"/>
      <c r="D17" s="536"/>
      <c r="E17" s="303"/>
      <c r="F17" s="304">
        <f>+F18+F47+F122+F138+F239+F247+F298+F350</f>
        <v>428263811167</v>
      </c>
      <c r="G17" s="304">
        <f>+G18+G47+G122+G138+G239+G247+G298+G350</f>
        <v>9805797967</v>
      </c>
      <c r="H17" s="304">
        <f>+H18+H47+H122+H138+H239+H247+H298+H350</f>
        <v>9782812369</v>
      </c>
      <c r="I17" s="304">
        <f>+G17+H17</f>
        <v>19588610336</v>
      </c>
      <c r="J17" s="304">
        <f>+J18+J47+J122+J138+J239+J247+J298+J350</f>
        <v>114284700</v>
      </c>
      <c r="K17" s="304">
        <f>+K18+K47+K122+K138+K239+K247+K298+K350</f>
        <v>345746731</v>
      </c>
      <c r="L17" s="304">
        <f>+J17+K17</f>
        <v>460031431</v>
      </c>
      <c r="M17" s="304">
        <f>+I17+L17</f>
        <v>20048641767</v>
      </c>
      <c r="N17" s="304">
        <f>+F17-M17</f>
        <v>408215169400</v>
      </c>
      <c r="R17" s="298"/>
      <c r="U17" s="294">
        <f>178000000+33460000+79728000+22342995000+29162378+3014333670+6242819000+179060000+4822000000+316799545+177216575</f>
        <v>37415574168</v>
      </c>
    </row>
    <row r="18" spans="1:21" s="309" customFormat="1" ht="18" customHeight="1" x14ac:dyDescent="0.25">
      <c r="A18" s="276"/>
      <c r="B18" s="305" t="s">
        <v>336</v>
      </c>
      <c r="C18" s="305"/>
      <c r="D18" s="305"/>
      <c r="E18" s="306" t="s">
        <v>335</v>
      </c>
      <c r="F18" s="307">
        <f>+F19+F32</f>
        <v>276269500</v>
      </c>
      <c r="G18" s="308">
        <f>+G19+G32</f>
        <v>0</v>
      </c>
      <c r="H18" s="308">
        <f>+H19+H32</f>
        <v>0</v>
      </c>
      <c r="I18" s="308">
        <f>+G18+H18</f>
        <v>0</v>
      </c>
      <c r="J18" s="308">
        <f>+J19+J32</f>
        <v>8490000</v>
      </c>
      <c r="K18" s="308">
        <f>+K19+K32</f>
        <v>40077500</v>
      </c>
      <c r="L18" s="308">
        <f>+J18+K18</f>
        <v>48567500</v>
      </c>
      <c r="M18" s="308">
        <f>+I18+L18</f>
        <v>48567500</v>
      </c>
      <c r="N18" s="307">
        <f>+F18-M18</f>
        <v>227702000</v>
      </c>
      <c r="P18" s="310">
        <f>+N19+N32+N48+N113+N123+N139+N165+N173+N184+N206+N240+N248+N256+N269+N278+N299+N312+N331+N337+N343+N351+N357+N369+N375</f>
        <v>408215169400</v>
      </c>
      <c r="Q18" s="309" t="s">
        <v>332</v>
      </c>
      <c r="R18" s="311"/>
      <c r="S18" s="312" t="s">
        <v>427</v>
      </c>
      <c r="T18" s="313"/>
    </row>
    <row r="19" spans="1:21" s="319" customFormat="1" ht="18" customHeight="1" x14ac:dyDescent="0.25">
      <c r="A19" s="275">
        <v>1</v>
      </c>
      <c r="B19" s="314"/>
      <c r="C19" s="314" t="s">
        <v>61</v>
      </c>
      <c r="D19" s="315"/>
      <c r="E19" s="316" t="s">
        <v>62</v>
      </c>
      <c r="F19" s="317">
        <f t="shared" ref="F19:H20" si="0">+F20</f>
        <v>117975500</v>
      </c>
      <c r="G19" s="318">
        <f t="shared" si="0"/>
        <v>0</v>
      </c>
      <c r="H19" s="318">
        <f t="shared" si="0"/>
        <v>0</v>
      </c>
      <c r="I19" s="318">
        <f>+G19+H19</f>
        <v>0</v>
      </c>
      <c r="J19" s="318">
        <f>+J20</f>
        <v>4190000</v>
      </c>
      <c r="K19" s="318">
        <f>+K20</f>
        <v>35777500</v>
      </c>
      <c r="L19" s="318">
        <f>+J19+K19</f>
        <v>39967500</v>
      </c>
      <c r="M19" s="318">
        <f>+I19+L19</f>
        <v>39967500</v>
      </c>
      <c r="N19" s="317">
        <f>+F19-M19</f>
        <v>78008000</v>
      </c>
      <c r="P19" s="320"/>
      <c r="R19" s="321"/>
      <c r="S19" s="322">
        <f>SUM(S24:S361)</f>
        <v>345746731</v>
      </c>
      <c r="T19" s="322">
        <f>SUM(T24:T434)</f>
        <v>9782812369</v>
      </c>
    </row>
    <row r="20" spans="1:21" s="329" customFormat="1" ht="18" customHeight="1" x14ac:dyDescent="0.25">
      <c r="A20" s="323"/>
      <c r="B20" s="324"/>
      <c r="C20" s="324"/>
      <c r="D20" s="325" t="s">
        <v>207</v>
      </c>
      <c r="E20" s="326" t="s">
        <v>262</v>
      </c>
      <c r="F20" s="327">
        <f t="shared" si="0"/>
        <v>117975500</v>
      </c>
      <c r="G20" s="328">
        <f t="shared" si="0"/>
        <v>0</v>
      </c>
      <c r="H20" s="328">
        <f t="shared" si="0"/>
        <v>0</v>
      </c>
      <c r="I20" s="328">
        <f>+G20+H20</f>
        <v>0</v>
      </c>
      <c r="J20" s="328">
        <f>+J21</f>
        <v>4190000</v>
      </c>
      <c r="K20" s="328">
        <f>+K21</f>
        <v>35777500</v>
      </c>
      <c r="L20" s="328">
        <f t="shared" ref="L20:L28" si="1">+J20+K20</f>
        <v>39967500</v>
      </c>
      <c r="M20" s="328">
        <f>+I20+L20</f>
        <v>39967500</v>
      </c>
      <c r="N20" s="327">
        <f>+F20-M20</f>
        <v>78008000</v>
      </c>
      <c r="P20" s="330"/>
      <c r="R20" s="331"/>
      <c r="S20" s="332"/>
      <c r="T20" s="332"/>
      <c r="U20" s="333"/>
    </row>
    <row r="21" spans="1:21" s="339" customFormat="1" ht="18" customHeight="1" x14ac:dyDescent="0.25">
      <c r="A21" s="334"/>
      <c r="B21" s="335"/>
      <c r="C21" s="335"/>
      <c r="D21" s="335" t="s">
        <v>63</v>
      </c>
      <c r="E21" s="336" t="s">
        <v>30</v>
      </c>
      <c r="F21" s="337">
        <f>+F22+F29</f>
        <v>117975500</v>
      </c>
      <c r="G21" s="338">
        <f>+G22+G29</f>
        <v>0</v>
      </c>
      <c r="H21" s="338">
        <f>+H22+H29</f>
        <v>0</v>
      </c>
      <c r="I21" s="338">
        <f>+G21+H21</f>
        <v>0</v>
      </c>
      <c r="J21" s="338">
        <f>+J22+J29</f>
        <v>4190000</v>
      </c>
      <c r="K21" s="338">
        <f>+K22+K29</f>
        <v>35777500</v>
      </c>
      <c r="L21" s="338">
        <f>+J21+K21</f>
        <v>39967500</v>
      </c>
      <c r="M21" s="338">
        <f>+I21+L21</f>
        <v>39967500</v>
      </c>
      <c r="N21" s="337">
        <f>+F21-M21</f>
        <v>78008000</v>
      </c>
      <c r="P21" s="340">
        <f>H386+H387+K386+K387</f>
        <v>10286209821</v>
      </c>
      <c r="Q21" s="339" t="s">
        <v>334</v>
      </c>
      <c r="S21" s="341"/>
      <c r="T21" s="341"/>
      <c r="U21" s="342"/>
    </row>
    <row r="22" spans="1:21" s="339" customFormat="1" ht="18" customHeight="1" x14ac:dyDescent="0.25">
      <c r="A22" s="334"/>
      <c r="B22" s="335"/>
      <c r="C22" s="335"/>
      <c r="D22" s="335" t="s">
        <v>263</v>
      </c>
      <c r="E22" s="336" t="s">
        <v>264</v>
      </c>
      <c r="F22" s="337">
        <f>+F23</f>
        <v>65295500</v>
      </c>
      <c r="G22" s="338">
        <f>+G23</f>
        <v>0</v>
      </c>
      <c r="H22" s="338">
        <f>+H23</f>
        <v>0</v>
      </c>
      <c r="I22" s="338">
        <f t="shared" ref="I22:I31" si="2">+G22+H22</f>
        <v>0</v>
      </c>
      <c r="J22" s="338">
        <f>+J23</f>
        <v>0</v>
      </c>
      <c r="K22" s="338">
        <f>+K23</f>
        <v>31587500</v>
      </c>
      <c r="L22" s="338">
        <f t="shared" si="1"/>
        <v>31587500</v>
      </c>
      <c r="M22" s="338">
        <f t="shared" ref="M22:M31" si="3">+I22+L22</f>
        <v>31587500</v>
      </c>
      <c r="N22" s="337">
        <f t="shared" ref="N22:N31" si="4">+F22-M22</f>
        <v>33708000</v>
      </c>
      <c r="P22" s="343">
        <f>+H17+K17</f>
        <v>10128559100</v>
      </c>
      <c r="Q22" s="339" t="s">
        <v>333</v>
      </c>
      <c r="S22" s="341"/>
      <c r="T22" s="341"/>
      <c r="U22" s="342"/>
    </row>
    <row r="23" spans="1:21" s="339" customFormat="1" ht="18" customHeight="1" x14ac:dyDescent="0.25">
      <c r="A23" s="334"/>
      <c r="B23" s="335"/>
      <c r="C23" s="335"/>
      <c r="D23" s="335" t="s">
        <v>64</v>
      </c>
      <c r="E23" s="335" t="s">
        <v>65</v>
      </c>
      <c r="F23" s="337">
        <f>SUM(F24:F28)</f>
        <v>65295500</v>
      </c>
      <c r="G23" s="344">
        <f>SUM(G24:G28)</f>
        <v>0</v>
      </c>
      <c r="H23" s="344">
        <f>SUM(H24:H28)</f>
        <v>0</v>
      </c>
      <c r="I23" s="338">
        <f>+G23+H23</f>
        <v>0</v>
      </c>
      <c r="J23" s="338">
        <f>+SUM(J24:J28)</f>
        <v>0</v>
      </c>
      <c r="K23" s="338">
        <f>+SUM(K24:K28)</f>
        <v>31587500</v>
      </c>
      <c r="L23" s="338">
        <f>+J23+K23</f>
        <v>31587500</v>
      </c>
      <c r="M23" s="338">
        <f>+I23+L23</f>
        <v>31587500</v>
      </c>
      <c r="N23" s="337">
        <f>+F23-M23</f>
        <v>33708000</v>
      </c>
      <c r="P23" s="340"/>
      <c r="S23" s="341"/>
      <c r="T23" s="341"/>
      <c r="U23" s="342"/>
    </row>
    <row r="24" spans="1:21" s="339" customFormat="1" ht="18" customHeight="1" x14ac:dyDescent="0.25">
      <c r="A24" s="334"/>
      <c r="B24" s="335"/>
      <c r="C24" s="335"/>
      <c r="D24" s="335" t="s">
        <v>66</v>
      </c>
      <c r="E24" s="335" t="s">
        <v>67</v>
      </c>
      <c r="F24" s="337">
        <v>7554500</v>
      </c>
      <c r="G24" s="338"/>
      <c r="H24" s="338"/>
      <c r="I24" s="338">
        <f t="shared" si="2"/>
        <v>0</v>
      </c>
      <c r="J24" s="338"/>
      <c r="K24" s="338">
        <v>7554500</v>
      </c>
      <c r="L24" s="338">
        <f t="shared" si="1"/>
        <v>7554500</v>
      </c>
      <c r="M24" s="338">
        <f>+I24+L24</f>
        <v>7554500</v>
      </c>
      <c r="N24" s="337">
        <f t="shared" si="4"/>
        <v>0</v>
      </c>
      <c r="P24" s="340"/>
      <c r="S24" s="455">
        <v>7554500</v>
      </c>
      <c r="T24" s="345"/>
      <c r="U24" s="342"/>
    </row>
    <row r="25" spans="1:21" s="339" customFormat="1" ht="18" customHeight="1" x14ac:dyDescent="0.25">
      <c r="A25" s="334"/>
      <c r="B25" s="335"/>
      <c r="C25" s="335"/>
      <c r="D25" s="335" t="s">
        <v>337</v>
      </c>
      <c r="E25" s="335" t="s">
        <v>338</v>
      </c>
      <c r="F25" s="337">
        <v>6408000</v>
      </c>
      <c r="G25" s="338"/>
      <c r="H25" s="338"/>
      <c r="I25" s="338">
        <f>+G25+H25</f>
        <v>0</v>
      </c>
      <c r="J25" s="338"/>
      <c r="K25" s="338">
        <v>6408000</v>
      </c>
      <c r="L25" s="338">
        <f t="shared" si="1"/>
        <v>6408000</v>
      </c>
      <c r="M25" s="338">
        <f t="shared" si="3"/>
        <v>6408000</v>
      </c>
      <c r="N25" s="337">
        <f t="shared" si="4"/>
        <v>0</v>
      </c>
      <c r="P25" s="340"/>
      <c r="S25" s="455">
        <v>6408000</v>
      </c>
      <c r="T25" s="345"/>
      <c r="U25" s="342"/>
    </row>
    <row r="26" spans="1:21" s="339" customFormat="1" ht="18" customHeight="1" x14ac:dyDescent="0.25">
      <c r="A26" s="334"/>
      <c r="B26" s="335"/>
      <c r="C26" s="335"/>
      <c r="D26" s="335" t="s">
        <v>68</v>
      </c>
      <c r="E26" s="335" t="s">
        <v>69</v>
      </c>
      <c r="F26" s="337">
        <v>44208000</v>
      </c>
      <c r="G26" s="338"/>
      <c r="H26" s="338"/>
      <c r="I26" s="338">
        <f t="shared" si="2"/>
        <v>0</v>
      </c>
      <c r="J26" s="338"/>
      <c r="K26" s="338">
        <f>16875000+750000</f>
        <v>17625000</v>
      </c>
      <c r="L26" s="338">
        <f t="shared" si="1"/>
        <v>17625000</v>
      </c>
      <c r="M26" s="338">
        <f t="shared" si="3"/>
        <v>17625000</v>
      </c>
      <c r="N26" s="337">
        <f t="shared" si="4"/>
        <v>26583000</v>
      </c>
      <c r="P26" s="340">
        <f>5440000000+63000000+730000000+7470000000+6242819000+3024665072+31328939+4570000000+12239500000+3046850000+197720000+310724118</f>
        <v>43366607129</v>
      </c>
      <c r="Q26" s="339" t="s">
        <v>428</v>
      </c>
      <c r="S26" s="455">
        <f>750000+16875000</f>
        <v>17625000</v>
      </c>
      <c r="T26" s="345"/>
      <c r="U26" s="342"/>
    </row>
    <row r="27" spans="1:21" s="339" customFormat="1" ht="18" customHeight="1" x14ac:dyDescent="0.25">
      <c r="A27" s="334"/>
      <c r="B27" s="335"/>
      <c r="C27" s="335"/>
      <c r="D27" s="335" t="s">
        <v>339</v>
      </c>
      <c r="E27" s="335" t="s">
        <v>340</v>
      </c>
      <c r="F27" s="337">
        <v>2125000</v>
      </c>
      <c r="G27" s="338"/>
      <c r="H27" s="338"/>
      <c r="I27" s="338"/>
      <c r="J27" s="338"/>
      <c r="K27" s="338"/>
      <c r="L27" s="338">
        <f t="shared" si="1"/>
        <v>0</v>
      </c>
      <c r="M27" s="338">
        <f t="shared" si="3"/>
        <v>0</v>
      </c>
      <c r="N27" s="337">
        <f t="shared" si="4"/>
        <v>2125000</v>
      </c>
      <c r="P27" s="340"/>
      <c r="S27" s="455"/>
      <c r="T27" s="345"/>
      <c r="U27" s="342"/>
    </row>
    <row r="28" spans="1:21" s="339" customFormat="1" ht="18" customHeight="1" x14ac:dyDescent="0.25">
      <c r="A28" s="334"/>
      <c r="B28" s="335"/>
      <c r="C28" s="335"/>
      <c r="D28" s="335" t="s">
        <v>70</v>
      </c>
      <c r="E28" s="335" t="s">
        <v>33</v>
      </c>
      <c r="F28" s="337">
        <v>5000000</v>
      </c>
      <c r="G28" s="338"/>
      <c r="H28" s="338"/>
      <c r="I28" s="338"/>
      <c r="J28" s="338"/>
      <c r="K28" s="338"/>
      <c r="L28" s="338">
        <f t="shared" si="1"/>
        <v>0</v>
      </c>
      <c r="M28" s="338">
        <f t="shared" si="3"/>
        <v>0</v>
      </c>
      <c r="N28" s="337">
        <f t="shared" si="4"/>
        <v>5000000</v>
      </c>
      <c r="P28" s="340"/>
      <c r="S28" s="455"/>
      <c r="T28" s="345"/>
      <c r="U28" s="342"/>
    </row>
    <row r="29" spans="1:21" s="339" customFormat="1" ht="18" customHeight="1" x14ac:dyDescent="0.25">
      <c r="A29" s="334"/>
      <c r="B29" s="335"/>
      <c r="C29" s="335"/>
      <c r="D29" s="335" t="s">
        <v>271</v>
      </c>
      <c r="E29" s="336" t="s">
        <v>272</v>
      </c>
      <c r="F29" s="337">
        <f>+F30</f>
        <v>52680000</v>
      </c>
      <c r="G29" s="338">
        <f>+G30</f>
        <v>0</v>
      </c>
      <c r="H29" s="338">
        <f>+H30</f>
        <v>0</v>
      </c>
      <c r="I29" s="338">
        <f>+G29+H29</f>
        <v>0</v>
      </c>
      <c r="J29" s="338">
        <f>+J30</f>
        <v>4190000</v>
      </c>
      <c r="K29" s="338">
        <f>+K30</f>
        <v>4190000</v>
      </c>
      <c r="L29" s="338">
        <f>+J29+K29</f>
        <v>8380000</v>
      </c>
      <c r="M29" s="338">
        <f>+I29+L29</f>
        <v>8380000</v>
      </c>
      <c r="N29" s="337">
        <f t="shared" si="4"/>
        <v>44300000</v>
      </c>
      <c r="P29" s="340"/>
      <c r="S29" s="456"/>
      <c r="T29" s="341"/>
      <c r="U29" s="342"/>
    </row>
    <row r="30" spans="1:21" s="339" customFormat="1" ht="18" customHeight="1" x14ac:dyDescent="0.25">
      <c r="A30" s="334"/>
      <c r="B30" s="335"/>
      <c r="C30" s="335"/>
      <c r="D30" s="335" t="s">
        <v>81</v>
      </c>
      <c r="E30" s="335" t="s">
        <v>31</v>
      </c>
      <c r="F30" s="337">
        <f>SUM(F31:F31)</f>
        <v>52680000</v>
      </c>
      <c r="G30" s="344">
        <f>+G31</f>
        <v>0</v>
      </c>
      <c r="H30" s="338">
        <f>+SUM(H31:H31)</f>
        <v>0</v>
      </c>
      <c r="I30" s="338">
        <f t="shared" si="2"/>
        <v>0</v>
      </c>
      <c r="J30" s="338">
        <f>+SUM(J31:J31)</f>
        <v>4190000</v>
      </c>
      <c r="K30" s="338">
        <f>+SUM(K31:K31)</f>
        <v>4190000</v>
      </c>
      <c r="L30" s="338">
        <f>+J30+K30</f>
        <v>8380000</v>
      </c>
      <c r="M30" s="338">
        <f t="shared" si="3"/>
        <v>8380000</v>
      </c>
      <c r="N30" s="337">
        <f t="shared" si="4"/>
        <v>44300000</v>
      </c>
      <c r="P30" s="340"/>
      <c r="S30" s="456"/>
      <c r="T30" s="341"/>
      <c r="U30" s="342"/>
    </row>
    <row r="31" spans="1:21" s="339" customFormat="1" ht="18" customHeight="1" x14ac:dyDescent="0.25">
      <c r="A31" s="334"/>
      <c r="B31" s="335"/>
      <c r="C31" s="335"/>
      <c r="D31" s="335" t="s">
        <v>82</v>
      </c>
      <c r="E31" s="335" t="s">
        <v>83</v>
      </c>
      <c r="F31" s="337">
        <v>52680000</v>
      </c>
      <c r="G31" s="338"/>
      <c r="H31" s="338"/>
      <c r="I31" s="338">
        <f t="shared" si="2"/>
        <v>0</v>
      </c>
      <c r="J31" s="338">
        <v>4190000</v>
      </c>
      <c r="K31" s="338">
        <v>4190000</v>
      </c>
      <c r="L31" s="338">
        <f t="shared" ref="L31" si="5">+J31+K31</f>
        <v>8380000</v>
      </c>
      <c r="M31" s="338">
        <f t="shared" si="3"/>
        <v>8380000</v>
      </c>
      <c r="N31" s="337">
        <f t="shared" si="4"/>
        <v>44300000</v>
      </c>
      <c r="P31" s="340"/>
      <c r="S31" s="455">
        <v>4190000</v>
      </c>
      <c r="T31" s="347"/>
      <c r="U31" s="342"/>
    </row>
    <row r="32" spans="1:21" s="319" customFormat="1" ht="32.25" customHeight="1" x14ac:dyDescent="0.25">
      <c r="A32" s="275">
        <v>2</v>
      </c>
      <c r="B32" s="314"/>
      <c r="C32" s="314" t="s">
        <v>79</v>
      </c>
      <c r="D32" s="315"/>
      <c r="E32" s="348" t="s">
        <v>80</v>
      </c>
      <c r="F32" s="317">
        <f t="shared" ref="F32:H33" si="6">+F33</f>
        <v>158294000</v>
      </c>
      <c r="G32" s="318">
        <f t="shared" si="6"/>
        <v>0</v>
      </c>
      <c r="H32" s="318">
        <f t="shared" si="6"/>
        <v>0</v>
      </c>
      <c r="I32" s="318">
        <f>+G32+H32</f>
        <v>0</v>
      </c>
      <c r="J32" s="318">
        <f>+J33</f>
        <v>4300000</v>
      </c>
      <c r="K32" s="318">
        <f>+K33</f>
        <v>4300000</v>
      </c>
      <c r="L32" s="318">
        <f>+J32+K32</f>
        <v>8600000</v>
      </c>
      <c r="M32" s="318">
        <f>+I32+L32</f>
        <v>8600000</v>
      </c>
      <c r="N32" s="317">
        <f>+F32-M32</f>
        <v>149694000</v>
      </c>
      <c r="P32" s="320"/>
      <c r="R32" s="321"/>
      <c r="S32" s="349"/>
      <c r="T32" s="349"/>
      <c r="U32" s="350"/>
    </row>
    <row r="33" spans="1:21" s="329" customFormat="1" ht="18" customHeight="1" x14ac:dyDescent="0.25">
      <c r="A33" s="323"/>
      <c r="B33" s="324"/>
      <c r="C33" s="324"/>
      <c r="D33" s="325" t="s">
        <v>207</v>
      </c>
      <c r="E33" s="326" t="s">
        <v>262</v>
      </c>
      <c r="F33" s="327">
        <f t="shared" si="6"/>
        <v>158294000</v>
      </c>
      <c r="G33" s="328">
        <f t="shared" si="6"/>
        <v>0</v>
      </c>
      <c r="H33" s="328">
        <f t="shared" si="6"/>
        <v>0</v>
      </c>
      <c r="I33" s="328">
        <f t="shared" ref="I33:I37" si="7">+G33+H33</f>
        <v>0</v>
      </c>
      <c r="J33" s="328">
        <f>+J34</f>
        <v>4300000</v>
      </c>
      <c r="K33" s="328">
        <f>+K34</f>
        <v>4300000</v>
      </c>
      <c r="L33" s="328">
        <f t="shared" ref="L33:L35" si="8">+J33+K33</f>
        <v>8600000</v>
      </c>
      <c r="M33" s="328">
        <f>+I33+L33</f>
        <v>8600000</v>
      </c>
      <c r="N33" s="327">
        <f t="shared" ref="N33:N36" si="9">+F33-M33</f>
        <v>149694000</v>
      </c>
      <c r="P33" s="330"/>
      <c r="R33" s="331"/>
      <c r="S33" s="351"/>
      <c r="T33" s="351"/>
      <c r="U33" s="333"/>
    </row>
    <row r="34" spans="1:21" s="339" customFormat="1" ht="18" customHeight="1" x14ac:dyDescent="0.25">
      <c r="A34" s="334"/>
      <c r="B34" s="335"/>
      <c r="C34" s="335"/>
      <c r="D34" s="335" t="s">
        <v>63</v>
      </c>
      <c r="E34" s="336" t="s">
        <v>30</v>
      </c>
      <c r="F34" s="337">
        <f>+F35+F42</f>
        <v>158294000</v>
      </c>
      <c r="G34" s="338">
        <f>+G35+G42</f>
        <v>0</v>
      </c>
      <c r="H34" s="338">
        <f>+H35+H42</f>
        <v>0</v>
      </c>
      <c r="I34" s="338">
        <f t="shared" si="7"/>
        <v>0</v>
      </c>
      <c r="J34" s="338">
        <f>+J35+J42</f>
        <v>4300000</v>
      </c>
      <c r="K34" s="338">
        <f>+K35+K42</f>
        <v>4300000</v>
      </c>
      <c r="L34" s="338">
        <f t="shared" si="8"/>
        <v>8600000</v>
      </c>
      <c r="M34" s="338">
        <f t="shared" ref="M34:M35" si="10">+I34+L34</f>
        <v>8600000</v>
      </c>
      <c r="N34" s="337">
        <f t="shared" si="9"/>
        <v>149694000</v>
      </c>
      <c r="P34" s="340"/>
      <c r="S34" s="347"/>
      <c r="T34" s="347"/>
      <c r="U34" s="342"/>
    </row>
    <row r="35" spans="1:21" s="339" customFormat="1" ht="18" customHeight="1" x14ac:dyDescent="0.25">
      <c r="A35" s="334"/>
      <c r="B35" s="335"/>
      <c r="C35" s="335"/>
      <c r="D35" s="335" t="s">
        <v>263</v>
      </c>
      <c r="E35" s="336" t="s">
        <v>264</v>
      </c>
      <c r="F35" s="337">
        <f t="shared" ref="F35" si="11">+F36</f>
        <v>76694000</v>
      </c>
      <c r="G35" s="338">
        <f>+G36</f>
        <v>0</v>
      </c>
      <c r="H35" s="338">
        <f>+H36</f>
        <v>0</v>
      </c>
      <c r="I35" s="338">
        <f t="shared" si="7"/>
        <v>0</v>
      </c>
      <c r="J35" s="338">
        <f>+J36</f>
        <v>0</v>
      </c>
      <c r="K35" s="338">
        <f>+K36</f>
        <v>0</v>
      </c>
      <c r="L35" s="338">
        <f t="shared" si="8"/>
        <v>0</v>
      </c>
      <c r="M35" s="338">
        <f t="shared" si="10"/>
        <v>0</v>
      </c>
      <c r="N35" s="337">
        <f t="shared" si="9"/>
        <v>76694000</v>
      </c>
      <c r="P35" s="340"/>
      <c r="S35" s="347"/>
      <c r="T35" s="347"/>
      <c r="U35" s="342"/>
    </row>
    <row r="36" spans="1:21" s="339" customFormat="1" ht="18" customHeight="1" x14ac:dyDescent="0.25">
      <c r="A36" s="334"/>
      <c r="B36" s="335"/>
      <c r="C36" s="335"/>
      <c r="D36" s="335" t="s">
        <v>64</v>
      </c>
      <c r="E36" s="335" t="s">
        <v>65</v>
      </c>
      <c r="F36" s="337">
        <f>SUM(F37:F41)</f>
        <v>76694000</v>
      </c>
      <c r="G36" s="344">
        <f>SUM(G37:G41)</f>
        <v>0</v>
      </c>
      <c r="H36" s="344">
        <f>SUM(H37:H41)</f>
        <v>0</v>
      </c>
      <c r="I36" s="338">
        <f t="shared" si="7"/>
        <v>0</v>
      </c>
      <c r="J36" s="338">
        <f>SUM(J37:J41)</f>
        <v>0</v>
      </c>
      <c r="K36" s="338">
        <f>SUM(K37:K41)</f>
        <v>0</v>
      </c>
      <c r="L36" s="338">
        <f>+J36+K36</f>
        <v>0</v>
      </c>
      <c r="M36" s="338">
        <f>+I36+L36</f>
        <v>0</v>
      </c>
      <c r="N36" s="337">
        <f t="shared" si="9"/>
        <v>76694000</v>
      </c>
      <c r="P36" s="340"/>
      <c r="S36" s="347"/>
      <c r="T36" s="347"/>
      <c r="U36" s="342"/>
    </row>
    <row r="37" spans="1:21" s="339" customFormat="1" ht="18" customHeight="1" x14ac:dyDescent="0.25">
      <c r="A37" s="334"/>
      <c r="B37" s="352"/>
      <c r="C37" s="335"/>
      <c r="D37" s="335" t="s">
        <v>66</v>
      </c>
      <c r="E37" s="335" t="s">
        <v>67</v>
      </c>
      <c r="F37" s="337">
        <v>8160000</v>
      </c>
      <c r="G37" s="338"/>
      <c r="H37" s="338"/>
      <c r="I37" s="338">
        <f t="shared" si="7"/>
        <v>0</v>
      </c>
      <c r="J37" s="338"/>
      <c r="K37" s="338"/>
      <c r="L37" s="338">
        <f t="shared" ref="L37" si="12">+J37+K37</f>
        <v>0</v>
      </c>
      <c r="M37" s="338">
        <f t="shared" ref="M37" si="13">+I37+L37</f>
        <v>0</v>
      </c>
      <c r="N37" s="337">
        <f>+F37-M37</f>
        <v>8160000</v>
      </c>
      <c r="P37" s="340"/>
      <c r="S37" s="346"/>
      <c r="T37" s="347"/>
      <c r="U37" s="342"/>
    </row>
    <row r="38" spans="1:21" s="339" customFormat="1" ht="18" customHeight="1" x14ac:dyDescent="0.25">
      <c r="A38" s="334"/>
      <c r="B38" s="352"/>
      <c r="C38" s="335"/>
      <c r="D38" s="335" t="s">
        <v>337</v>
      </c>
      <c r="E38" s="335" t="s">
        <v>338</v>
      </c>
      <c r="F38" s="337">
        <v>5112000</v>
      </c>
      <c r="G38" s="338"/>
      <c r="H38" s="338"/>
      <c r="I38" s="338"/>
      <c r="J38" s="338"/>
      <c r="K38" s="338"/>
      <c r="L38" s="338">
        <f>+J38+K38</f>
        <v>0</v>
      </c>
      <c r="M38" s="338">
        <f>+I38+L38</f>
        <v>0</v>
      </c>
      <c r="N38" s="337">
        <f>+F38-M38</f>
        <v>5112000</v>
      </c>
      <c r="P38" s="340"/>
      <c r="S38" s="346"/>
      <c r="T38" s="347"/>
      <c r="U38" s="342"/>
    </row>
    <row r="39" spans="1:21" s="339" customFormat="1" ht="18" customHeight="1" x14ac:dyDescent="0.25">
      <c r="A39" s="334"/>
      <c r="B39" s="352"/>
      <c r="C39" s="335"/>
      <c r="D39" s="335" t="s">
        <v>68</v>
      </c>
      <c r="E39" s="335" t="s">
        <v>69</v>
      </c>
      <c r="F39" s="337">
        <v>36414000</v>
      </c>
      <c r="G39" s="338"/>
      <c r="H39" s="338"/>
      <c r="I39" s="338"/>
      <c r="J39" s="338"/>
      <c r="K39" s="338"/>
      <c r="L39" s="338">
        <f t="shared" ref="L39:L41" si="14">+J39+K39</f>
        <v>0</v>
      </c>
      <c r="M39" s="338">
        <f t="shared" ref="M39:M41" si="15">+I39+L39</f>
        <v>0</v>
      </c>
      <c r="N39" s="337">
        <f t="shared" ref="N39:N45" si="16">+F39-M39</f>
        <v>36414000</v>
      </c>
      <c r="P39" s="340"/>
      <c r="S39" s="346"/>
      <c r="T39" s="347"/>
      <c r="U39" s="342"/>
    </row>
    <row r="40" spans="1:21" s="339" customFormat="1" ht="18" customHeight="1" x14ac:dyDescent="0.25">
      <c r="A40" s="334"/>
      <c r="B40" s="352"/>
      <c r="C40" s="335"/>
      <c r="D40" s="335" t="s">
        <v>339</v>
      </c>
      <c r="E40" s="335" t="s">
        <v>340</v>
      </c>
      <c r="F40" s="337">
        <v>12008000</v>
      </c>
      <c r="G40" s="338"/>
      <c r="H40" s="338"/>
      <c r="I40" s="338"/>
      <c r="J40" s="338"/>
      <c r="K40" s="338"/>
      <c r="L40" s="338">
        <f t="shared" si="14"/>
        <v>0</v>
      </c>
      <c r="M40" s="338">
        <f t="shared" si="15"/>
        <v>0</v>
      </c>
      <c r="N40" s="337">
        <f t="shared" si="16"/>
        <v>12008000</v>
      </c>
      <c r="P40" s="340"/>
      <c r="S40" s="346"/>
      <c r="T40" s="347"/>
      <c r="U40" s="342"/>
    </row>
    <row r="41" spans="1:21" s="339" customFormat="1" ht="18" customHeight="1" x14ac:dyDescent="0.25">
      <c r="A41" s="334"/>
      <c r="B41" s="352"/>
      <c r="C41" s="335"/>
      <c r="D41" s="335" t="s">
        <v>70</v>
      </c>
      <c r="E41" s="335" t="s">
        <v>33</v>
      </c>
      <c r="F41" s="337">
        <v>15000000</v>
      </c>
      <c r="G41" s="338"/>
      <c r="H41" s="338"/>
      <c r="I41" s="338">
        <f>+G41+H41</f>
        <v>0</v>
      </c>
      <c r="J41" s="338"/>
      <c r="K41" s="338"/>
      <c r="L41" s="338">
        <f t="shared" si="14"/>
        <v>0</v>
      </c>
      <c r="M41" s="338">
        <f t="shared" si="15"/>
        <v>0</v>
      </c>
      <c r="N41" s="337">
        <f t="shared" si="16"/>
        <v>15000000</v>
      </c>
      <c r="P41" s="340"/>
      <c r="S41" s="346"/>
      <c r="T41" s="347"/>
      <c r="U41" s="342"/>
    </row>
    <row r="42" spans="1:21" s="339" customFormat="1" ht="18" customHeight="1" x14ac:dyDescent="0.25">
      <c r="A42" s="334"/>
      <c r="B42" s="335"/>
      <c r="C42" s="335"/>
      <c r="D42" s="335" t="s">
        <v>271</v>
      </c>
      <c r="E42" s="336" t="s">
        <v>272</v>
      </c>
      <c r="F42" s="337">
        <f>+F43</f>
        <v>81600000</v>
      </c>
      <c r="G42" s="338">
        <f>+G43</f>
        <v>0</v>
      </c>
      <c r="H42" s="338">
        <f>+H43</f>
        <v>0</v>
      </c>
      <c r="I42" s="338">
        <f t="shared" ref="I42:I45" si="17">+G42+H42</f>
        <v>0</v>
      </c>
      <c r="J42" s="338">
        <f>+J43</f>
        <v>4300000</v>
      </c>
      <c r="K42" s="338">
        <f>+K43</f>
        <v>4300000</v>
      </c>
      <c r="L42" s="338">
        <f>+J42+K42</f>
        <v>8600000</v>
      </c>
      <c r="M42" s="338">
        <f>+I42+L42</f>
        <v>8600000</v>
      </c>
      <c r="N42" s="337">
        <f t="shared" si="16"/>
        <v>73000000</v>
      </c>
      <c r="P42" s="340"/>
      <c r="S42" s="346"/>
      <c r="T42" s="347"/>
      <c r="U42" s="342"/>
    </row>
    <row r="43" spans="1:21" s="339" customFormat="1" ht="18" customHeight="1" x14ac:dyDescent="0.25">
      <c r="A43" s="334"/>
      <c r="B43" s="335"/>
      <c r="C43" s="335"/>
      <c r="D43" s="335" t="s">
        <v>81</v>
      </c>
      <c r="E43" s="335" t="s">
        <v>31</v>
      </c>
      <c r="F43" s="337">
        <f>SUM(F44:F45)</f>
        <v>81600000</v>
      </c>
      <c r="G43" s="344">
        <f>+G45</f>
        <v>0</v>
      </c>
      <c r="H43" s="338">
        <f>+SUM(H45:H45)</f>
        <v>0</v>
      </c>
      <c r="I43" s="338">
        <f t="shared" si="17"/>
        <v>0</v>
      </c>
      <c r="J43" s="338">
        <f>+SUM(J45:J45)</f>
        <v>4300000</v>
      </c>
      <c r="K43" s="338">
        <f>+SUM(K45:K45)</f>
        <v>4300000</v>
      </c>
      <c r="L43" s="338">
        <f t="shared" ref="L43:L45" si="18">+J43+K43</f>
        <v>8600000</v>
      </c>
      <c r="M43" s="338">
        <f t="shared" ref="M43:M45" si="19">+I43+L43</f>
        <v>8600000</v>
      </c>
      <c r="N43" s="337">
        <f t="shared" si="16"/>
        <v>73000000</v>
      </c>
      <c r="P43" s="340"/>
      <c r="S43" s="346"/>
      <c r="T43" s="347"/>
      <c r="U43" s="342"/>
    </row>
    <row r="44" spans="1:21" s="339" customFormat="1" ht="18" customHeight="1" x14ac:dyDescent="0.25">
      <c r="A44" s="334"/>
      <c r="B44" s="335"/>
      <c r="C44" s="335"/>
      <c r="D44" s="335" t="s">
        <v>451</v>
      </c>
      <c r="E44" s="335" t="s">
        <v>452</v>
      </c>
      <c r="F44" s="337">
        <v>30000000</v>
      </c>
      <c r="G44" s="338"/>
      <c r="H44" s="338"/>
      <c r="I44" s="338">
        <f t="shared" si="17"/>
        <v>0</v>
      </c>
      <c r="J44" s="338"/>
      <c r="K44" s="338"/>
      <c r="L44" s="338">
        <f t="shared" si="18"/>
        <v>0</v>
      </c>
      <c r="M44" s="338">
        <f t="shared" si="19"/>
        <v>0</v>
      </c>
      <c r="N44" s="337">
        <f t="shared" si="16"/>
        <v>30000000</v>
      </c>
      <c r="P44" s="340"/>
      <c r="S44" s="346"/>
      <c r="T44" s="347"/>
      <c r="U44" s="342"/>
    </row>
    <row r="45" spans="1:21" s="339" customFormat="1" ht="18" customHeight="1" x14ac:dyDescent="0.25">
      <c r="A45" s="334"/>
      <c r="B45" s="335"/>
      <c r="C45" s="335"/>
      <c r="D45" s="335" t="s">
        <v>82</v>
      </c>
      <c r="E45" s="335" t="s">
        <v>83</v>
      </c>
      <c r="F45" s="337">
        <v>51600000</v>
      </c>
      <c r="G45" s="338"/>
      <c r="H45" s="338"/>
      <c r="I45" s="338">
        <f t="shared" si="17"/>
        <v>0</v>
      </c>
      <c r="J45" s="338">
        <v>4300000</v>
      </c>
      <c r="K45" s="338">
        <v>4300000</v>
      </c>
      <c r="L45" s="338">
        <f t="shared" si="18"/>
        <v>8600000</v>
      </c>
      <c r="M45" s="338">
        <f t="shared" si="19"/>
        <v>8600000</v>
      </c>
      <c r="N45" s="337">
        <f t="shared" si="16"/>
        <v>43000000</v>
      </c>
      <c r="P45" s="340"/>
      <c r="S45" s="455">
        <v>4300000</v>
      </c>
      <c r="T45" s="347"/>
      <c r="U45" s="342"/>
    </row>
    <row r="46" spans="1:21" s="153" customFormat="1" ht="18" customHeight="1" x14ac:dyDescent="0.25">
      <c r="A46" s="353"/>
      <c r="B46" s="354"/>
      <c r="C46" s="354"/>
      <c r="D46" s="355"/>
      <c r="E46" s="355"/>
      <c r="F46" s="356"/>
      <c r="G46" s="357"/>
      <c r="H46" s="357"/>
      <c r="I46" s="357"/>
      <c r="J46" s="357"/>
      <c r="K46" s="357"/>
      <c r="L46" s="357"/>
      <c r="M46" s="357"/>
      <c r="N46" s="356"/>
      <c r="P46" s="200"/>
      <c r="S46" s="358"/>
      <c r="T46" s="221"/>
      <c r="U46" s="254"/>
    </row>
    <row r="47" spans="1:21" s="319" customFormat="1" ht="18" customHeight="1" x14ac:dyDescent="0.25">
      <c r="A47" s="276"/>
      <c r="B47" s="305" t="s">
        <v>407</v>
      </c>
      <c r="C47" s="305"/>
      <c r="D47" s="305"/>
      <c r="E47" s="305" t="s">
        <v>408</v>
      </c>
      <c r="F47" s="359">
        <f>+F48+F113</f>
        <v>27970445142</v>
      </c>
      <c r="G47" s="360">
        <f>+G48</f>
        <v>592026147</v>
      </c>
      <c r="H47" s="360">
        <f>+H48+H113</f>
        <v>322803781</v>
      </c>
      <c r="I47" s="360">
        <f>+G47+H47</f>
        <v>914829928</v>
      </c>
      <c r="J47" s="360">
        <f>+J114</f>
        <v>0</v>
      </c>
      <c r="K47" s="360">
        <f>+K114</f>
        <v>2990625</v>
      </c>
      <c r="L47" s="360">
        <f>+J47+K47</f>
        <v>2990625</v>
      </c>
      <c r="M47" s="360">
        <f>+I47+L47</f>
        <v>917820553</v>
      </c>
      <c r="N47" s="359">
        <f>+F47-M47</f>
        <v>27052624589</v>
      </c>
      <c r="P47" s="361"/>
      <c r="R47" s="321"/>
      <c r="S47" s="362"/>
      <c r="T47" s="362"/>
      <c r="U47" s="350"/>
    </row>
    <row r="48" spans="1:21" s="319" customFormat="1" ht="18" customHeight="1" x14ac:dyDescent="0.25">
      <c r="A48" s="276">
        <v>3</v>
      </c>
      <c r="B48" s="305"/>
      <c r="C48" s="305" t="s">
        <v>156</v>
      </c>
      <c r="D48" s="363"/>
      <c r="E48" s="364" t="s">
        <v>157</v>
      </c>
      <c r="F48" s="307">
        <f>+F49</f>
        <v>27939292142</v>
      </c>
      <c r="G48" s="308">
        <f>+G49</f>
        <v>592026147</v>
      </c>
      <c r="H48" s="308">
        <f>+H49</f>
        <v>322803781</v>
      </c>
      <c r="I48" s="308">
        <f>+G48+H48</f>
        <v>914829928</v>
      </c>
      <c r="J48" s="308">
        <f>+J49</f>
        <v>0</v>
      </c>
      <c r="K48" s="308">
        <f>+K49</f>
        <v>0</v>
      </c>
      <c r="L48" s="308">
        <f>+J48+K48</f>
        <v>0</v>
      </c>
      <c r="M48" s="308">
        <f>+I48+L48</f>
        <v>914829928</v>
      </c>
      <c r="N48" s="307">
        <f>+F48-M48</f>
        <v>27024462214</v>
      </c>
      <c r="P48" s="320"/>
      <c r="R48" s="321"/>
      <c r="S48" s="349"/>
      <c r="T48" s="349"/>
      <c r="U48" s="350"/>
    </row>
    <row r="49" spans="1:21" s="329" customFormat="1" ht="18" customHeight="1" x14ac:dyDescent="0.25">
      <c r="A49" s="323"/>
      <c r="B49" s="324"/>
      <c r="C49" s="324"/>
      <c r="D49" s="325" t="s">
        <v>207</v>
      </c>
      <c r="E49" s="326" t="s">
        <v>262</v>
      </c>
      <c r="F49" s="327">
        <f t="shared" ref="F49" si="20">+F50</f>
        <v>27939292142</v>
      </c>
      <c r="G49" s="328">
        <f>+G50</f>
        <v>592026147</v>
      </c>
      <c r="H49" s="328">
        <f>+H50</f>
        <v>322803781</v>
      </c>
      <c r="I49" s="328">
        <f t="shared" ref="I49:I50" si="21">+G49+H49</f>
        <v>914829928</v>
      </c>
      <c r="J49" s="328"/>
      <c r="K49" s="328">
        <f>+K50</f>
        <v>0</v>
      </c>
      <c r="L49" s="328">
        <f t="shared" ref="L49:L112" si="22">+J49+K49</f>
        <v>0</v>
      </c>
      <c r="M49" s="328">
        <f t="shared" ref="M49:M72" si="23">+I49+L49</f>
        <v>914829928</v>
      </c>
      <c r="N49" s="327">
        <f t="shared" ref="N49:N54" si="24">+F49-M49</f>
        <v>27024462214</v>
      </c>
      <c r="P49" s="330"/>
      <c r="R49" s="331"/>
      <c r="S49" s="351"/>
      <c r="T49" s="351"/>
      <c r="U49" s="333"/>
    </row>
    <row r="50" spans="1:21" s="339" customFormat="1" ht="18" customHeight="1" x14ac:dyDescent="0.25">
      <c r="A50" s="334"/>
      <c r="B50" s="335"/>
      <c r="C50" s="335"/>
      <c r="D50" s="365" t="s">
        <v>158</v>
      </c>
      <c r="E50" s="335" t="s">
        <v>159</v>
      </c>
      <c r="F50" s="337">
        <f>F51+F76+F83+F101</f>
        <v>27939292142</v>
      </c>
      <c r="G50" s="344">
        <f>+G51+G83+G101+G76</f>
        <v>592026147</v>
      </c>
      <c r="H50" s="344">
        <f>+H51+H83+H101+H76</f>
        <v>322803781</v>
      </c>
      <c r="I50" s="344">
        <f t="shared" si="21"/>
        <v>914829928</v>
      </c>
      <c r="J50" s="344"/>
      <c r="K50" s="344">
        <f>+K51+K76+K83+K101</f>
        <v>0</v>
      </c>
      <c r="L50" s="344">
        <f t="shared" si="22"/>
        <v>0</v>
      </c>
      <c r="M50" s="344">
        <f t="shared" si="23"/>
        <v>914829928</v>
      </c>
      <c r="N50" s="337">
        <f t="shared" si="24"/>
        <v>27024462214</v>
      </c>
      <c r="P50" s="340"/>
      <c r="S50" s="347"/>
      <c r="T50" s="347"/>
      <c r="U50" s="342"/>
    </row>
    <row r="51" spans="1:21" s="339" customFormat="1" ht="18" customHeight="1" x14ac:dyDescent="0.25">
      <c r="A51" s="334"/>
      <c r="B51" s="335"/>
      <c r="C51" s="335"/>
      <c r="D51" s="365" t="s">
        <v>208</v>
      </c>
      <c r="E51" s="335" t="s">
        <v>209</v>
      </c>
      <c r="F51" s="337">
        <f>F52+F54+F56+F58+F60+F62+F64+F66+F68+F70+F72+F74</f>
        <v>15098272502</v>
      </c>
      <c r="G51" s="344">
        <f>+G52+G54+G56+G58+G60+G62+G64+G66+G68+G70+G72+G74</f>
        <v>321607359</v>
      </c>
      <c r="H51" s="344">
        <f>+H52+H54+H56+H58+H60+H62+H64+H66+H68+H70+H72+H74</f>
        <v>322803781</v>
      </c>
      <c r="I51" s="344">
        <f>+G51+H51</f>
        <v>644411140</v>
      </c>
      <c r="J51" s="344"/>
      <c r="K51" s="344">
        <f>+K52+K54+K56+K58+K60+K62+K64+K66+K68+K70+K72+K74</f>
        <v>0</v>
      </c>
      <c r="L51" s="344">
        <f t="shared" si="22"/>
        <v>0</v>
      </c>
      <c r="M51" s="344">
        <f t="shared" si="23"/>
        <v>644411140</v>
      </c>
      <c r="N51" s="337">
        <f t="shared" si="24"/>
        <v>14453861362</v>
      </c>
      <c r="P51" s="340"/>
      <c r="S51" s="347"/>
      <c r="T51" s="347"/>
      <c r="U51" s="342"/>
    </row>
    <row r="52" spans="1:21" s="339" customFormat="1" ht="18" customHeight="1" x14ac:dyDescent="0.25">
      <c r="A52" s="334"/>
      <c r="B52" s="335"/>
      <c r="C52" s="335"/>
      <c r="D52" s="365" t="s">
        <v>160</v>
      </c>
      <c r="E52" s="335" t="s">
        <v>162</v>
      </c>
      <c r="F52" s="337">
        <f>+F53</f>
        <v>13525507924</v>
      </c>
      <c r="G52" s="344">
        <f>+G53</f>
        <v>241934700</v>
      </c>
      <c r="H52" s="344">
        <f>+H53</f>
        <v>242954900</v>
      </c>
      <c r="I52" s="344">
        <f t="shared" ref="I52" si="25">+G52+H52</f>
        <v>484889600</v>
      </c>
      <c r="J52" s="344"/>
      <c r="K52" s="344">
        <f>+K53</f>
        <v>0</v>
      </c>
      <c r="L52" s="344">
        <f>+J52+K52</f>
        <v>0</v>
      </c>
      <c r="M52" s="344">
        <f t="shared" si="23"/>
        <v>484889600</v>
      </c>
      <c r="N52" s="337">
        <f t="shared" si="24"/>
        <v>13040618324</v>
      </c>
      <c r="P52" s="340"/>
      <c r="S52" s="347"/>
      <c r="T52" s="347"/>
      <c r="U52" s="342"/>
    </row>
    <row r="53" spans="1:21" s="339" customFormat="1" ht="18" customHeight="1" x14ac:dyDescent="0.25">
      <c r="A53" s="334"/>
      <c r="B53" s="335"/>
      <c r="C53" s="335"/>
      <c r="D53" s="365" t="s">
        <v>161</v>
      </c>
      <c r="E53" s="335" t="s">
        <v>163</v>
      </c>
      <c r="F53" s="337">
        <v>13525507924</v>
      </c>
      <c r="G53" s="344">
        <v>241934700</v>
      </c>
      <c r="H53" s="344">
        <v>242954900</v>
      </c>
      <c r="I53" s="344">
        <f>+G53+H53</f>
        <v>484889600</v>
      </c>
      <c r="J53" s="344"/>
      <c r="K53" s="344"/>
      <c r="L53" s="344">
        <f t="shared" si="22"/>
        <v>0</v>
      </c>
      <c r="M53" s="344">
        <f t="shared" si="23"/>
        <v>484889600</v>
      </c>
      <c r="N53" s="337">
        <f t="shared" si="24"/>
        <v>13040618324</v>
      </c>
      <c r="P53" s="340"/>
      <c r="S53" s="347"/>
      <c r="T53" s="346">
        <v>242954900</v>
      </c>
      <c r="U53" s="342"/>
    </row>
    <row r="54" spans="1:21" s="339" customFormat="1" ht="18" customHeight="1" x14ac:dyDescent="0.25">
      <c r="A54" s="334"/>
      <c r="B54" s="335"/>
      <c r="C54" s="335"/>
      <c r="D54" s="365" t="s">
        <v>164</v>
      </c>
      <c r="E54" s="335" t="s">
        <v>166</v>
      </c>
      <c r="F54" s="337">
        <f>+F55</f>
        <v>401878814</v>
      </c>
      <c r="G54" s="344">
        <f>+G55</f>
        <v>24447544</v>
      </c>
      <c r="H54" s="344">
        <f>+H55</f>
        <v>24563352</v>
      </c>
      <c r="I54" s="344">
        <f t="shared" ref="I54:I73" si="26">+G54+H54</f>
        <v>49010896</v>
      </c>
      <c r="J54" s="344"/>
      <c r="K54" s="344">
        <f>+K55</f>
        <v>0</v>
      </c>
      <c r="L54" s="344">
        <f>+J54+K54</f>
        <v>0</v>
      </c>
      <c r="M54" s="344">
        <f t="shared" si="23"/>
        <v>49010896</v>
      </c>
      <c r="N54" s="337">
        <f t="shared" si="24"/>
        <v>352867918</v>
      </c>
      <c r="P54" s="340"/>
      <c r="S54" s="347"/>
      <c r="T54" s="346"/>
      <c r="U54" s="342"/>
    </row>
    <row r="55" spans="1:21" s="339" customFormat="1" ht="18" customHeight="1" x14ac:dyDescent="0.25">
      <c r="A55" s="334"/>
      <c r="B55" s="335"/>
      <c r="C55" s="335"/>
      <c r="D55" s="365" t="s">
        <v>165</v>
      </c>
      <c r="E55" s="335" t="s">
        <v>167</v>
      </c>
      <c r="F55" s="337">
        <v>401878814</v>
      </c>
      <c r="G55" s="344">
        <v>24447544</v>
      </c>
      <c r="H55" s="344">
        <v>24563352</v>
      </c>
      <c r="I55" s="344">
        <f t="shared" si="26"/>
        <v>49010896</v>
      </c>
      <c r="J55" s="344"/>
      <c r="K55" s="344"/>
      <c r="L55" s="344">
        <f t="shared" si="22"/>
        <v>0</v>
      </c>
      <c r="M55" s="344">
        <f t="shared" si="23"/>
        <v>49010896</v>
      </c>
      <c r="N55" s="337">
        <f>+F55-M55</f>
        <v>352867918</v>
      </c>
      <c r="P55" s="340"/>
      <c r="S55" s="347"/>
      <c r="T55" s="346">
        <v>24563352</v>
      </c>
      <c r="U55" s="342"/>
    </row>
    <row r="56" spans="1:21" s="339" customFormat="1" ht="18" customHeight="1" x14ac:dyDescent="0.25">
      <c r="A56" s="334"/>
      <c r="B56" s="335"/>
      <c r="C56" s="335"/>
      <c r="D56" s="365" t="s">
        <v>168</v>
      </c>
      <c r="E56" s="335" t="s">
        <v>170</v>
      </c>
      <c r="F56" s="337">
        <f>+F57</f>
        <v>290052000</v>
      </c>
      <c r="G56" s="344">
        <f>+G57</f>
        <v>17805000</v>
      </c>
      <c r="H56" s="344">
        <f>+H57</f>
        <v>17805000</v>
      </c>
      <c r="I56" s="344">
        <f t="shared" si="26"/>
        <v>35610000</v>
      </c>
      <c r="J56" s="344"/>
      <c r="K56" s="344">
        <f>+K57</f>
        <v>0</v>
      </c>
      <c r="L56" s="344">
        <f t="shared" si="22"/>
        <v>0</v>
      </c>
      <c r="M56" s="344">
        <f t="shared" si="23"/>
        <v>35610000</v>
      </c>
      <c r="N56" s="337">
        <f t="shared" ref="N56:N58" si="27">+F56-M56</f>
        <v>254442000</v>
      </c>
      <c r="P56" s="340"/>
      <c r="S56" s="347"/>
      <c r="T56" s="346"/>
      <c r="U56" s="342"/>
    </row>
    <row r="57" spans="1:21" s="339" customFormat="1" ht="18" customHeight="1" x14ac:dyDescent="0.25">
      <c r="A57" s="334"/>
      <c r="B57" s="335"/>
      <c r="C57" s="335"/>
      <c r="D57" s="365" t="s">
        <v>169</v>
      </c>
      <c r="E57" s="335" t="s">
        <v>171</v>
      </c>
      <c r="F57" s="337">
        <v>290052000</v>
      </c>
      <c r="G57" s="344">
        <v>17805000</v>
      </c>
      <c r="H57" s="344">
        <v>17805000</v>
      </c>
      <c r="I57" s="344">
        <f t="shared" si="26"/>
        <v>35610000</v>
      </c>
      <c r="J57" s="344"/>
      <c r="K57" s="344"/>
      <c r="L57" s="344">
        <f t="shared" si="22"/>
        <v>0</v>
      </c>
      <c r="M57" s="344">
        <f t="shared" si="23"/>
        <v>35610000</v>
      </c>
      <c r="N57" s="337">
        <f t="shared" si="27"/>
        <v>254442000</v>
      </c>
      <c r="P57" s="340"/>
      <c r="S57" s="347"/>
      <c r="T57" s="346">
        <v>17805000</v>
      </c>
      <c r="U57" s="342"/>
    </row>
    <row r="58" spans="1:21" s="339" customFormat="1" ht="18" customHeight="1" x14ac:dyDescent="0.25">
      <c r="A58" s="334"/>
      <c r="B58" s="335"/>
      <c r="C58" s="335"/>
      <c r="D58" s="365" t="s">
        <v>172</v>
      </c>
      <c r="E58" s="335" t="s">
        <v>174</v>
      </c>
      <c r="F58" s="337">
        <f>+F59</f>
        <v>62496000</v>
      </c>
      <c r="G58" s="344">
        <f>+G59</f>
        <v>960000</v>
      </c>
      <c r="H58" s="344">
        <f>+H59</f>
        <v>960000</v>
      </c>
      <c r="I58" s="344">
        <f t="shared" si="26"/>
        <v>1920000</v>
      </c>
      <c r="J58" s="344"/>
      <c r="K58" s="344">
        <f>+K59</f>
        <v>0</v>
      </c>
      <c r="L58" s="344">
        <f t="shared" si="22"/>
        <v>0</v>
      </c>
      <c r="M58" s="344">
        <f t="shared" si="23"/>
        <v>1920000</v>
      </c>
      <c r="N58" s="337">
        <f t="shared" si="27"/>
        <v>60576000</v>
      </c>
      <c r="P58" s="340"/>
      <c r="S58" s="347"/>
      <c r="T58" s="346"/>
      <c r="U58" s="342"/>
    </row>
    <row r="59" spans="1:21" s="339" customFormat="1" ht="18" customHeight="1" x14ac:dyDescent="0.25">
      <c r="A59" s="334"/>
      <c r="B59" s="335"/>
      <c r="C59" s="335"/>
      <c r="D59" s="365" t="s">
        <v>173</v>
      </c>
      <c r="E59" s="335" t="s">
        <v>175</v>
      </c>
      <c r="F59" s="337">
        <v>62496000</v>
      </c>
      <c r="G59" s="344">
        <v>960000</v>
      </c>
      <c r="H59" s="344">
        <v>960000</v>
      </c>
      <c r="I59" s="344">
        <f t="shared" si="26"/>
        <v>1920000</v>
      </c>
      <c r="J59" s="344"/>
      <c r="K59" s="344"/>
      <c r="L59" s="344">
        <f t="shared" si="22"/>
        <v>0</v>
      </c>
      <c r="M59" s="344">
        <f t="shared" si="23"/>
        <v>1920000</v>
      </c>
      <c r="N59" s="337">
        <f>+F59-M59</f>
        <v>60576000</v>
      </c>
      <c r="P59" s="340"/>
      <c r="S59" s="347"/>
      <c r="T59" s="346">
        <v>960000</v>
      </c>
      <c r="U59" s="342"/>
    </row>
    <row r="60" spans="1:21" s="339" customFormat="1" ht="18" customHeight="1" x14ac:dyDescent="0.25">
      <c r="A60" s="334"/>
      <c r="B60" s="335"/>
      <c r="C60" s="335"/>
      <c r="D60" s="365" t="s">
        <v>176</v>
      </c>
      <c r="E60" s="335" t="s">
        <v>178</v>
      </c>
      <c r="F60" s="337">
        <f>+F61</f>
        <v>126672000</v>
      </c>
      <c r="G60" s="344">
        <f>+G61</f>
        <v>7730000</v>
      </c>
      <c r="H60" s="344">
        <f>+H61</f>
        <v>7735000</v>
      </c>
      <c r="I60" s="344">
        <f t="shared" si="26"/>
        <v>15465000</v>
      </c>
      <c r="J60" s="344"/>
      <c r="K60" s="344">
        <f>+K61</f>
        <v>0</v>
      </c>
      <c r="L60" s="344">
        <f t="shared" si="22"/>
        <v>0</v>
      </c>
      <c r="M60" s="344">
        <f t="shared" si="23"/>
        <v>15465000</v>
      </c>
      <c r="N60" s="337">
        <f t="shared" ref="N60:N72" si="28">+F60-M60</f>
        <v>111207000</v>
      </c>
      <c r="P60" s="340"/>
      <c r="S60" s="347"/>
      <c r="T60" s="346"/>
      <c r="U60" s="342"/>
    </row>
    <row r="61" spans="1:21" s="339" customFormat="1" ht="18" customHeight="1" x14ac:dyDescent="0.25">
      <c r="A61" s="334"/>
      <c r="B61" s="335"/>
      <c r="C61" s="335"/>
      <c r="D61" s="365" t="s">
        <v>177</v>
      </c>
      <c r="E61" s="335" t="s">
        <v>179</v>
      </c>
      <c r="F61" s="337">
        <v>126672000</v>
      </c>
      <c r="G61" s="344">
        <v>7730000</v>
      </c>
      <c r="H61" s="344">
        <v>7735000</v>
      </c>
      <c r="I61" s="344">
        <f t="shared" si="26"/>
        <v>15465000</v>
      </c>
      <c r="J61" s="344"/>
      <c r="K61" s="344"/>
      <c r="L61" s="344">
        <f t="shared" si="22"/>
        <v>0</v>
      </c>
      <c r="M61" s="344">
        <f t="shared" si="23"/>
        <v>15465000</v>
      </c>
      <c r="N61" s="337">
        <f t="shared" si="28"/>
        <v>111207000</v>
      </c>
      <c r="P61" s="340"/>
      <c r="S61" s="347"/>
      <c r="T61" s="346">
        <v>7735000</v>
      </c>
      <c r="U61" s="342"/>
    </row>
    <row r="62" spans="1:21" s="339" customFormat="1" ht="18" customHeight="1" x14ac:dyDescent="0.25">
      <c r="A62" s="334"/>
      <c r="B62" s="335"/>
      <c r="C62" s="335"/>
      <c r="D62" s="365" t="s">
        <v>180</v>
      </c>
      <c r="E62" s="335" t="s">
        <v>182</v>
      </c>
      <c r="F62" s="337">
        <f>+F63</f>
        <v>237247920</v>
      </c>
      <c r="G62" s="344">
        <f>+G63</f>
        <v>14411580</v>
      </c>
      <c r="H62" s="344">
        <f>+H63</f>
        <v>14411580</v>
      </c>
      <c r="I62" s="344">
        <f t="shared" si="26"/>
        <v>28823160</v>
      </c>
      <c r="J62" s="344"/>
      <c r="K62" s="344">
        <f>+K63</f>
        <v>0</v>
      </c>
      <c r="L62" s="344">
        <f t="shared" si="22"/>
        <v>0</v>
      </c>
      <c r="M62" s="344">
        <f t="shared" si="23"/>
        <v>28823160</v>
      </c>
      <c r="N62" s="337">
        <f t="shared" si="28"/>
        <v>208424760</v>
      </c>
      <c r="P62" s="340"/>
      <c r="S62" s="347"/>
      <c r="T62" s="347"/>
      <c r="U62" s="342"/>
    </row>
    <row r="63" spans="1:21" s="339" customFormat="1" ht="18" customHeight="1" x14ac:dyDescent="0.25">
      <c r="A63" s="334"/>
      <c r="B63" s="335"/>
      <c r="C63" s="335"/>
      <c r="D63" s="365" t="s">
        <v>181</v>
      </c>
      <c r="E63" s="335" t="s">
        <v>183</v>
      </c>
      <c r="F63" s="337">
        <v>237247920</v>
      </c>
      <c r="G63" s="344">
        <v>14411580</v>
      </c>
      <c r="H63" s="344">
        <v>14411580</v>
      </c>
      <c r="I63" s="344">
        <f t="shared" si="26"/>
        <v>28823160</v>
      </c>
      <c r="J63" s="344"/>
      <c r="K63" s="344"/>
      <c r="L63" s="344">
        <f t="shared" si="22"/>
        <v>0</v>
      </c>
      <c r="M63" s="344">
        <f t="shared" si="23"/>
        <v>28823160</v>
      </c>
      <c r="N63" s="337">
        <f t="shared" si="28"/>
        <v>208424760</v>
      </c>
      <c r="P63" s="340"/>
      <c r="S63" s="347"/>
      <c r="T63" s="346">
        <v>14411580</v>
      </c>
      <c r="U63" s="342"/>
    </row>
    <row r="64" spans="1:21" s="339" customFormat="1" ht="18" customHeight="1" x14ac:dyDescent="0.25">
      <c r="A64" s="334"/>
      <c r="B64" s="335"/>
      <c r="C64" s="335"/>
      <c r="D64" s="365" t="s">
        <v>184</v>
      </c>
      <c r="E64" s="335" t="s">
        <v>186</v>
      </c>
      <c r="F64" s="337">
        <f>+F65</f>
        <v>202631050</v>
      </c>
      <c r="G64" s="344">
        <f>+G65</f>
        <v>277647</v>
      </c>
      <c r="H64" s="344">
        <f>+H65</f>
        <v>277647</v>
      </c>
      <c r="I64" s="344">
        <f t="shared" si="26"/>
        <v>555294</v>
      </c>
      <c r="J64" s="344"/>
      <c r="K64" s="344">
        <f>+K65</f>
        <v>0</v>
      </c>
      <c r="L64" s="344">
        <f t="shared" si="22"/>
        <v>0</v>
      </c>
      <c r="M64" s="344">
        <f t="shared" si="23"/>
        <v>555294</v>
      </c>
      <c r="N64" s="337">
        <f t="shared" si="28"/>
        <v>202075756</v>
      </c>
      <c r="P64" s="340"/>
      <c r="S64" s="347"/>
      <c r="T64" s="346"/>
      <c r="U64" s="342"/>
    </row>
    <row r="65" spans="1:21" s="339" customFormat="1" ht="18" customHeight="1" x14ac:dyDescent="0.25">
      <c r="A65" s="334"/>
      <c r="B65" s="335"/>
      <c r="C65" s="335"/>
      <c r="D65" s="365" t="s">
        <v>185</v>
      </c>
      <c r="E65" s="335" t="s">
        <v>187</v>
      </c>
      <c r="F65" s="337">
        <v>202631050</v>
      </c>
      <c r="G65" s="344">
        <v>277647</v>
      </c>
      <c r="H65" s="344">
        <v>277647</v>
      </c>
      <c r="I65" s="344">
        <f t="shared" si="26"/>
        <v>555294</v>
      </c>
      <c r="J65" s="344"/>
      <c r="K65" s="344"/>
      <c r="L65" s="344">
        <f t="shared" si="22"/>
        <v>0</v>
      </c>
      <c r="M65" s="344">
        <f t="shared" si="23"/>
        <v>555294</v>
      </c>
      <c r="N65" s="337">
        <f t="shared" si="28"/>
        <v>202075756</v>
      </c>
      <c r="P65" s="340"/>
      <c r="S65" s="347"/>
      <c r="T65" s="346">
        <v>277647</v>
      </c>
      <c r="U65" s="342"/>
    </row>
    <row r="66" spans="1:21" s="339" customFormat="1" ht="18" customHeight="1" x14ac:dyDescent="0.25">
      <c r="A66" s="334"/>
      <c r="B66" s="335"/>
      <c r="C66" s="335"/>
      <c r="D66" s="365" t="s">
        <v>188</v>
      </c>
      <c r="E66" s="335" t="s">
        <v>190</v>
      </c>
      <c r="F66" s="337">
        <f t="shared" ref="F66" si="29">+F67</f>
        <v>51845</v>
      </c>
      <c r="G66" s="344">
        <f>+G67</f>
        <v>3223</v>
      </c>
      <c r="H66" s="344">
        <f>+H67</f>
        <v>3205</v>
      </c>
      <c r="I66" s="344">
        <f t="shared" si="26"/>
        <v>6428</v>
      </c>
      <c r="J66" s="344"/>
      <c r="K66" s="344">
        <f>+K67</f>
        <v>0</v>
      </c>
      <c r="L66" s="344">
        <f t="shared" si="22"/>
        <v>0</v>
      </c>
      <c r="M66" s="344">
        <f t="shared" si="23"/>
        <v>6428</v>
      </c>
      <c r="N66" s="337">
        <f t="shared" si="28"/>
        <v>45417</v>
      </c>
      <c r="P66" s="340"/>
      <c r="S66" s="347"/>
      <c r="T66" s="346"/>
      <c r="U66" s="342"/>
    </row>
    <row r="67" spans="1:21" s="339" customFormat="1" ht="18" customHeight="1" x14ac:dyDescent="0.25">
      <c r="A67" s="334"/>
      <c r="B67" s="335"/>
      <c r="C67" s="335"/>
      <c r="D67" s="365" t="s">
        <v>189</v>
      </c>
      <c r="E67" s="335" t="s">
        <v>329</v>
      </c>
      <c r="F67" s="337">
        <v>51845</v>
      </c>
      <c r="G67" s="344">
        <v>3223</v>
      </c>
      <c r="H67" s="344">
        <v>3205</v>
      </c>
      <c r="I67" s="344">
        <f t="shared" si="26"/>
        <v>6428</v>
      </c>
      <c r="J67" s="344"/>
      <c r="K67" s="344"/>
      <c r="L67" s="344">
        <f t="shared" si="22"/>
        <v>0</v>
      </c>
      <c r="M67" s="344">
        <f t="shared" si="23"/>
        <v>6428</v>
      </c>
      <c r="N67" s="337">
        <f t="shared" si="28"/>
        <v>45417</v>
      </c>
      <c r="P67" s="340"/>
      <c r="S67" s="347"/>
      <c r="T67" s="346">
        <v>3205</v>
      </c>
      <c r="U67" s="342"/>
    </row>
    <row r="68" spans="1:21" s="339" customFormat="1" ht="18" customHeight="1" x14ac:dyDescent="0.25">
      <c r="A68" s="334"/>
      <c r="B68" s="335"/>
      <c r="C68" s="335"/>
      <c r="D68" s="365" t="s">
        <v>191</v>
      </c>
      <c r="E68" s="335" t="s">
        <v>193</v>
      </c>
      <c r="F68" s="337">
        <f t="shared" ref="F68" si="30">+F69</f>
        <v>190139023</v>
      </c>
      <c r="G68" s="344">
        <f>+G69</f>
        <v>11715091</v>
      </c>
      <c r="H68" s="344">
        <f>+H69</f>
        <v>11760731</v>
      </c>
      <c r="I68" s="344">
        <f t="shared" si="26"/>
        <v>23475822</v>
      </c>
      <c r="J68" s="344"/>
      <c r="K68" s="344">
        <f>+K69</f>
        <v>0</v>
      </c>
      <c r="L68" s="344">
        <f t="shared" si="22"/>
        <v>0</v>
      </c>
      <c r="M68" s="344">
        <f t="shared" si="23"/>
        <v>23475822</v>
      </c>
      <c r="N68" s="337">
        <f t="shared" si="28"/>
        <v>166663201</v>
      </c>
      <c r="P68" s="340"/>
      <c r="S68" s="347"/>
      <c r="T68" s="346"/>
      <c r="U68" s="342"/>
    </row>
    <row r="69" spans="1:21" s="339" customFormat="1" ht="18" customHeight="1" x14ac:dyDescent="0.25">
      <c r="A69" s="334"/>
      <c r="B69" s="335"/>
      <c r="C69" s="335"/>
      <c r="D69" s="365" t="s">
        <v>192</v>
      </c>
      <c r="E69" s="335" t="s">
        <v>194</v>
      </c>
      <c r="F69" s="337">
        <v>190139023</v>
      </c>
      <c r="G69" s="344">
        <v>11715091</v>
      </c>
      <c r="H69" s="344">
        <v>11760731</v>
      </c>
      <c r="I69" s="344">
        <f t="shared" si="26"/>
        <v>23475822</v>
      </c>
      <c r="J69" s="344"/>
      <c r="K69" s="344"/>
      <c r="L69" s="344">
        <f t="shared" si="22"/>
        <v>0</v>
      </c>
      <c r="M69" s="344">
        <f t="shared" si="23"/>
        <v>23475822</v>
      </c>
      <c r="N69" s="337">
        <f t="shared" si="28"/>
        <v>166663201</v>
      </c>
      <c r="P69" s="340"/>
      <c r="S69" s="347"/>
      <c r="T69" s="346">
        <v>11760731</v>
      </c>
      <c r="U69" s="342"/>
    </row>
    <row r="70" spans="1:21" s="339" customFormat="1" ht="18" customHeight="1" x14ac:dyDescent="0.25">
      <c r="A70" s="334"/>
      <c r="B70" s="335"/>
      <c r="C70" s="335"/>
      <c r="D70" s="365" t="s">
        <v>195</v>
      </c>
      <c r="E70" s="335" t="s">
        <v>197</v>
      </c>
      <c r="F70" s="337">
        <f t="shared" ref="F70" si="31">+F71</f>
        <v>9404942</v>
      </c>
      <c r="G70" s="344">
        <f>+G71</f>
        <v>580644</v>
      </c>
      <c r="H70" s="344">
        <f>+H71</f>
        <v>583091</v>
      </c>
      <c r="I70" s="344">
        <f t="shared" si="26"/>
        <v>1163735</v>
      </c>
      <c r="J70" s="344"/>
      <c r="K70" s="344">
        <f>+K71</f>
        <v>0</v>
      </c>
      <c r="L70" s="344">
        <f t="shared" si="22"/>
        <v>0</v>
      </c>
      <c r="M70" s="344">
        <f t="shared" si="23"/>
        <v>1163735</v>
      </c>
      <c r="N70" s="337">
        <f t="shared" si="28"/>
        <v>8241207</v>
      </c>
      <c r="P70" s="340"/>
      <c r="S70" s="347"/>
      <c r="T70" s="346"/>
      <c r="U70" s="342"/>
    </row>
    <row r="71" spans="1:21" s="339" customFormat="1" ht="18" customHeight="1" x14ac:dyDescent="0.25">
      <c r="A71" s="334"/>
      <c r="B71" s="335"/>
      <c r="C71" s="335"/>
      <c r="D71" s="365" t="s">
        <v>196</v>
      </c>
      <c r="E71" s="335" t="s">
        <v>198</v>
      </c>
      <c r="F71" s="337">
        <v>9404942</v>
      </c>
      <c r="G71" s="344">
        <v>580644</v>
      </c>
      <c r="H71" s="344">
        <v>583091</v>
      </c>
      <c r="I71" s="344">
        <f t="shared" si="26"/>
        <v>1163735</v>
      </c>
      <c r="J71" s="344"/>
      <c r="K71" s="344"/>
      <c r="L71" s="344">
        <f t="shared" si="22"/>
        <v>0</v>
      </c>
      <c r="M71" s="344">
        <f t="shared" si="23"/>
        <v>1163735</v>
      </c>
      <c r="N71" s="337">
        <f t="shared" si="28"/>
        <v>8241207</v>
      </c>
      <c r="P71" s="340"/>
      <c r="S71" s="347"/>
      <c r="T71" s="346">
        <v>583091</v>
      </c>
      <c r="U71" s="342"/>
    </row>
    <row r="72" spans="1:21" s="339" customFormat="1" ht="18" customHeight="1" x14ac:dyDescent="0.25">
      <c r="A72" s="334"/>
      <c r="B72" s="335"/>
      <c r="C72" s="335"/>
      <c r="D72" s="365" t="s">
        <v>199</v>
      </c>
      <c r="E72" s="335" t="s">
        <v>201</v>
      </c>
      <c r="F72" s="337">
        <f>+F73</f>
        <v>28215046</v>
      </c>
      <c r="G72" s="344">
        <f>+G73</f>
        <v>1741930</v>
      </c>
      <c r="H72" s="344">
        <f>+H73</f>
        <v>1749275</v>
      </c>
      <c r="I72" s="344">
        <f t="shared" si="26"/>
        <v>3491205</v>
      </c>
      <c r="J72" s="344"/>
      <c r="K72" s="344">
        <f>+K73</f>
        <v>0</v>
      </c>
      <c r="L72" s="344">
        <f t="shared" si="22"/>
        <v>0</v>
      </c>
      <c r="M72" s="344">
        <f t="shared" si="23"/>
        <v>3491205</v>
      </c>
      <c r="N72" s="337">
        <f t="shared" si="28"/>
        <v>24723841</v>
      </c>
      <c r="P72" s="340"/>
      <c r="S72" s="347"/>
      <c r="T72" s="347"/>
      <c r="U72" s="342"/>
    </row>
    <row r="73" spans="1:21" s="339" customFormat="1" ht="18" customHeight="1" x14ac:dyDescent="0.25">
      <c r="A73" s="334"/>
      <c r="B73" s="335"/>
      <c r="C73" s="335"/>
      <c r="D73" s="365" t="s">
        <v>200</v>
      </c>
      <c r="E73" s="335" t="s">
        <v>202</v>
      </c>
      <c r="F73" s="337">
        <v>28215046</v>
      </c>
      <c r="G73" s="344">
        <v>1741930</v>
      </c>
      <c r="H73" s="344">
        <v>1749275</v>
      </c>
      <c r="I73" s="344">
        <f t="shared" si="26"/>
        <v>3491205</v>
      </c>
      <c r="J73" s="344"/>
      <c r="K73" s="344"/>
      <c r="L73" s="344">
        <f t="shared" si="22"/>
        <v>0</v>
      </c>
      <c r="M73" s="344">
        <f>+I73+L73</f>
        <v>3491205</v>
      </c>
      <c r="N73" s="337">
        <f>+F73-M73</f>
        <v>24723841</v>
      </c>
      <c r="P73" s="340"/>
      <c r="S73" s="347"/>
      <c r="T73" s="346">
        <v>1749275</v>
      </c>
      <c r="U73" s="342"/>
    </row>
    <row r="74" spans="1:21" s="339" customFormat="1" ht="18" customHeight="1" x14ac:dyDescent="0.25">
      <c r="A74" s="334"/>
      <c r="B74" s="335"/>
      <c r="C74" s="335"/>
      <c r="D74" s="365" t="s">
        <v>203</v>
      </c>
      <c r="E74" s="335" t="s">
        <v>205</v>
      </c>
      <c r="F74" s="337">
        <f>+F75</f>
        <v>23975938</v>
      </c>
      <c r="G74" s="344">
        <f>G75</f>
        <v>0</v>
      </c>
      <c r="H74" s="344">
        <f>+H75</f>
        <v>0</v>
      </c>
      <c r="I74" s="344">
        <f>+I75</f>
        <v>0</v>
      </c>
      <c r="J74" s="344"/>
      <c r="K74" s="344">
        <f>+K75</f>
        <v>0</v>
      </c>
      <c r="L74" s="344">
        <f t="shared" si="22"/>
        <v>0</v>
      </c>
      <c r="M74" s="344">
        <f t="shared" ref="M74:M101" si="32">+I74+L74</f>
        <v>0</v>
      </c>
      <c r="N74" s="337">
        <f t="shared" ref="N74:N84" si="33">+F74-M74</f>
        <v>23975938</v>
      </c>
      <c r="P74" s="340"/>
      <c r="S74" s="347"/>
      <c r="T74" s="347"/>
      <c r="U74" s="342"/>
    </row>
    <row r="75" spans="1:21" s="339" customFormat="1" ht="18" customHeight="1" x14ac:dyDescent="0.25">
      <c r="A75" s="334"/>
      <c r="B75" s="335"/>
      <c r="C75" s="335"/>
      <c r="D75" s="365" t="s">
        <v>204</v>
      </c>
      <c r="E75" s="335" t="s">
        <v>206</v>
      </c>
      <c r="F75" s="337">
        <v>23975938</v>
      </c>
      <c r="G75" s="344"/>
      <c r="H75" s="344"/>
      <c r="I75" s="344">
        <f t="shared" ref="I75:I100" si="34">+G75+H75</f>
        <v>0</v>
      </c>
      <c r="J75" s="344"/>
      <c r="K75" s="344"/>
      <c r="L75" s="344">
        <f t="shared" si="22"/>
        <v>0</v>
      </c>
      <c r="M75" s="344">
        <f t="shared" si="32"/>
        <v>0</v>
      </c>
      <c r="N75" s="337">
        <f t="shared" si="33"/>
        <v>23975938</v>
      </c>
      <c r="P75" s="340"/>
      <c r="S75" s="347"/>
      <c r="T75" s="347"/>
      <c r="U75" s="342"/>
    </row>
    <row r="76" spans="1:21" s="339" customFormat="1" ht="18" customHeight="1" x14ac:dyDescent="0.25">
      <c r="A76" s="334"/>
      <c r="B76" s="335"/>
      <c r="C76" s="335"/>
      <c r="D76" s="365" t="s">
        <v>210</v>
      </c>
      <c r="E76" s="335" t="s">
        <v>211</v>
      </c>
      <c r="F76" s="337">
        <f>+F77+F79+F81</f>
        <v>2044369640</v>
      </c>
      <c r="G76" s="344">
        <f>+G77+G79+G81</f>
        <v>194118788</v>
      </c>
      <c r="H76" s="344">
        <f>+H77+H79+H81</f>
        <v>0</v>
      </c>
      <c r="I76" s="344">
        <f>+G76+H76</f>
        <v>194118788</v>
      </c>
      <c r="J76" s="344"/>
      <c r="K76" s="344">
        <f>+K77</f>
        <v>0</v>
      </c>
      <c r="L76" s="344">
        <f t="shared" si="22"/>
        <v>0</v>
      </c>
      <c r="M76" s="344">
        <f t="shared" si="32"/>
        <v>194118788</v>
      </c>
      <c r="N76" s="337">
        <f t="shared" si="33"/>
        <v>1850250852</v>
      </c>
      <c r="P76" s="340"/>
      <c r="S76" s="347"/>
      <c r="T76" s="347"/>
      <c r="U76" s="342"/>
    </row>
    <row r="77" spans="1:21" s="339" customFormat="1" ht="18" customHeight="1" x14ac:dyDescent="0.25">
      <c r="A77" s="334"/>
      <c r="B77" s="335"/>
      <c r="C77" s="335"/>
      <c r="D77" s="365" t="s">
        <v>212</v>
      </c>
      <c r="E77" s="335" t="s">
        <v>214</v>
      </c>
      <c r="F77" s="337">
        <f>+F78</f>
        <v>180000000</v>
      </c>
      <c r="G77" s="344">
        <f>+G78</f>
        <v>179148911</v>
      </c>
      <c r="H77" s="344">
        <f t="shared" ref="G77:H81" si="35">+H78</f>
        <v>0</v>
      </c>
      <c r="I77" s="344">
        <f t="shared" si="34"/>
        <v>179148911</v>
      </c>
      <c r="J77" s="344"/>
      <c r="K77" s="344">
        <f>+K78</f>
        <v>0</v>
      </c>
      <c r="L77" s="344">
        <f t="shared" si="22"/>
        <v>0</v>
      </c>
      <c r="M77" s="344">
        <f t="shared" si="32"/>
        <v>179148911</v>
      </c>
      <c r="N77" s="337">
        <f t="shared" si="33"/>
        <v>851089</v>
      </c>
      <c r="P77" s="340"/>
      <c r="S77" s="347"/>
      <c r="T77" s="347"/>
      <c r="U77" s="342"/>
    </row>
    <row r="78" spans="1:21" s="339" customFormat="1" ht="18" customHeight="1" x14ac:dyDescent="0.25">
      <c r="A78" s="334"/>
      <c r="B78" s="335"/>
      <c r="C78" s="335"/>
      <c r="D78" s="365" t="s">
        <v>213</v>
      </c>
      <c r="E78" s="335" t="s">
        <v>215</v>
      </c>
      <c r="F78" s="337">
        <v>180000000</v>
      </c>
      <c r="G78" s="344">
        <v>179148911</v>
      </c>
      <c r="H78" s="344"/>
      <c r="I78" s="344">
        <f t="shared" si="34"/>
        <v>179148911</v>
      </c>
      <c r="J78" s="344"/>
      <c r="K78" s="344"/>
      <c r="L78" s="344">
        <f t="shared" si="22"/>
        <v>0</v>
      </c>
      <c r="M78" s="344">
        <f t="shared" si="32"/>
        <v>179148911</v>
      </c>
      <c r="N78" s="337">
        <f t="shared" si="33"/>
        <v>851089</v>
      </c>
      <c r="P78" s="340"/>
      <c r="S78" s="347"/>
      <c r="T78" s="347"/>
      <c r="U78" s="342"/>
    </row>
    <row r="79" spans="1:21" s="339" customFormat="1" ht="18" customHeight="1" x14ac:dyDescent="0.25">
      <c r="A79" s="334"/>
      <c r="B79" s="335"/>
      <c r="C79" s="335"/>
      <c r="D79" s="365" t="s">
        <v>431</v>
      </c>
      <c r="E79" s="335" t="s">
        <v>432</v>
      </c>
      <c r="F79" s="337">
        <f>+F80</f>
        <v>123544200</v>
      </c>
      <c r="G79" s="344">
        <f t="shared" si="35"/>
        <v>9969877</v>
      </c>
      <c r="H79" s="344">
        <f t="shared" si="35"/>
        <v>0</v>
      </c>
      <c r="I79" s="344">
        <f>+G79+H79</f>
        <v>9969877</v>
      </c>
      <c r="J79" s="344"/>
      <c r="K79" s="344">
        <f>+K80</f>
        <v>0</v>
      </c>
      <c r="L79" s="344">
        <f t="shared" si="22"/>
        <v>0</v>
      </c>
      <c r="M79" s="344">
        <f t="shared" si="32"/>
        <v>9969877</v>
      </c>
      <c r="N79" s="337">
        <f t="shared" si="33"/>
        <v>113574323</v>
      </c>
      <c r="P79" s="340"/>
      <c r="S79" s="347"/>
      <c r="T79" s="347"/>
      <c r="U79" s="342"/>
    </row>
    <row r="80" spans="1:21" s="339" customFormat="1" ht="18" customHeight="1" x14ac:dyDescent="0.25">
      <c r="A80" s="334"/>
      <c r="B80" s="335"/>
      <c r="C80" s="335"/>
      <c r="D80" s="365" t="s">
        <v>429</v>
      </c>
      <c r="E80" s="335" t="s">
        <v>430</v>
      </c>
      <c r="F80" s="337">
        <v>123544200</v>
      </c>
      <c r="G80" s="344">
        <v>9969877</v>
      </c>
      <c r="H80" s="344"/>
      <c r="I80" s="344">
        <f>+G80+H80</f>
        <v>9969877</v>
      </c>
      <c r="J80" s="344"/>
      <c r="K80" s="344"/>
      <c r="L80" s="344"/>
      <c r="M80" s="344">
        <f t="shared" si="32"/>
        <v>9969877</v>
      </c>
      <c r="N80" s="337">
        <f>+F80-M80</f>
        <v>113574323</v>
      </c>
      <c r="P80" s="340"/>
      <c r="S80" s="347"/>
      <c r="T80" s="347"/>
      <c r="U80" s="342"/>
    </row>
    <row r="81" spans="1:21" s="339" customFormat="1" ht="18" customHeight="1" x14ac:dyDescent="0.25">
      <c r="A81" s="334"/>
      <c r="B81" s="335"/>
      <c r="C81" s="335"/>
      <c r="D81" s="365" t="s">
        <v>453</v>
      </c>
      <c r="E81" s="335" t="s">
        <v>456</v>
      </c>
      <c r="F81" s="337">
        <f>+F82</f>
        <v>1740825440</v>
      </c>
      <c r="G81" s="344">
        <f t="shared" si="35"/>
        <v>5000000</v>
      </c>
      <c r="H81" s="344">
        <f t="shared" si="35"/>
        <v>0</v>
      </c>
      <c r="I81" s="344">
        <f>+G81+H81</f>
        <v>5000000</v>
      </c>
      <c r="J81" s="344"/>
      <c r="K81" s="344">
        <f>+K82</f>
        <v>0</v>
      </c>
      <c r="L81" s="344">
        <f t="shared" ref="L81" si="36">+J81+K81</f>
        <v>0</v>
      </c>
      <c r="M81" s="344">
        <f t="shared" si="32"/>
        <v>5000000</v>
      </c>
      <c r="N81" s="337">
        <f t="shared" ref="N81" si="37">+F81-M81</f>
        <v>1735825440</v>
      </c>
      <c r="P81" s="340"/>
      <c r="S81" s="347"/>
      <c r="T81" s="347"/>
      <c r="U81" s="342"/>
    </row>
    <row r="82" spans="1:21" s="339" customFormat="1" ht="18" customHeight="1" x14ac:dyDescent="0.25">
      <c r="A82" s="334"/>
      <c r="B82" s="335"/>
      <c r="C82" s="335"/>
      <c r="D82" s="365" t="s">
        <v>454</v>
      </c>
      <c r="E82" s="335" t="s">
        <v>455</v>
      </c>
      <c r="F82" s="337">
        <v>1740825440</v>
      </c>
      <c r="G82" s="344">
        <v>5000000</v>
      </c>
      <c r="H82" s="344"/>
      <c r="I82" s="344">
        <f>+G82+H82</f>
        <v>5000000</v>
      </c>
      <c r="J82" s="344"/>
      <c r="K82" s="344"/>
      <c r="L82" s="344"/>
      <c r="M82" s="344">
        <f t="shared" si="32"/>
        <v>5000000</v>
      </c>
      <c r="N82" s="337">
        <f>+F82-M82</f>
        <v>1735825440</v>
      </c>
      <c r="P82" s="340"/>
      <c r="S82" s="347"/>
      <c r="T82" s="347"/>
      <c r="U82" s="342"/>
    </row>
    <row r="83" spans="1:21" s="339" customFormat="1" ht="18" customHeight="1" x14ac:dyDescent="0.25">
      <c r="A83" s="334"/>
      <c r="B83" s="335"/>
      <c r="C83" s="335"/>
      <c r="D83" s="365" t="s">
        <v>216</v>
      </c>
      <c r="E83" s="335" t="s">
        <v>219</v>
      </c>
      <c r="F83" s="337">
        <f>+F84+F95+F99</f>
        <v>10039198750</v>
      </c>
      <c r="G83" s="344">
        <f>+G84+G95+G99</f>
        <v>76300000</v>
      </c>
      <c r="H83" s="344">
        <f>+H84+H95+H99</f>
        <v>0</v>
      </c>
      <c r="I83" s="344">
        <f>+G83+H83</f>
        <v>76300000</v>
      </c>
      <c r="J83" s="344"/>
      <c r="K83" s="344">
        <f>+K84</f>
        <v>0</v>
      </c>
      <c r="L83" s="344">
        <f t="shared" si="22"/>
        <v>0</v>
      </c>
      <c r="M83" s="344">
        <f t="shared" si="32"/>
        <v>76300000</v>
      </c>
      <c r="N83" s="337">
        <f t="shared" si="33"/>
        <v>9962898750</v>
      </c>
      <c r="P83" s="340"/>
      <c r="S83" s="347"/>
      <c r="T83" s="347"/>
      <c r="U83" s="342"/>
    </row>
    <row r="84" spans="1:21" s="339" customFormat="1" ht="18" customHeight="1" x14ac:dyDescent="0.25">
      <c r="A84" s="334"/>
      <c r="B84" s="335"/>
      <c r="C84" s="335"/>
      <c r="D84" s="365" t="s">
        <v>217</v>
      </c>
      <c r="E84" s="335" t="s">
        <v>220</v>
      </c>
      <c r="F84" s="337">
        <f>SUM(F85:F94)</f>
        <v>8593798750</v>
      </c>
      <c r="G84" s="344">
        <f>SUM(G85:G94)</f>
        <v>0</v>
      </c>
      <c r="H84" s="344">
        <f>SUM(H85:H94)</f>
        <v>0</v>
      </c>
      <c r="I84" s="344">
        <f t="shared" si="34"/>
        <v>0</v>
      </c>
      <c r="J84" s="344"/>
      <c r="K84" s="344">
        <f>+SUM(K85:K94)</f>
        <v>0</v>
      </c>
      <c r="L84" s="344">
        <f t="shared" si="22"/>
        <v>0</v>
      </c>
      <c r="M84" s="344">
        <f t="shared" si="32"/>
        <v>0</v>
      </c>
      <c r="N84" s="337">
        <f t="shared" si="33"/>
        <v>8593798750</v>
      </c>
      <c r="P84" s="340"/>
      <c r="S84" s="347"/>
      <c r="T84" s="347"/>
      <c r="U84" s="342"/>
    </row>
    <row r="85" spans="1:21" s="339" customFormat="1" ht="18" customHeight="1" x14ac:dyDescent="0.25">
      <c r="A85" s="334"/>
      <c r="B85" s="335"/>
      <c r="C85" s="335"/>
      <c r="D85" s="365" t="s">
        <v>218</v>
      </c>
      <c r="E85" s="335" t="s">
        <v>221</v>
      </c>
      <c r="F85" s="337">
        <v>356112500</v>
      </c>
      <c r="G85" s="344"/>
      <c r="H85" s="344"/>
      <c r="I85" s="344">
        <f t="shared" si="34"/>
        <v>0</v>
      </c>
      <c r="J85" s="344"/>
      <c r="K85" s="344"/>
      <c r="L85" s="344">
        <f t="shared" si="22"/>
        <v>0</v>
      </c>
      <c r="M85" s="344">
        <f t="shared" si="32"/>
        <v>0</v>
      </c>
      <c r="N85" s="337">
        <f>+F85-M85</f>
        <v>356112500</v>
      </c>
      <c r="P85" s="340"/>
      <c r="S85" s="347"/>
      <c r="T85" s="347"/>
      <c r="U85" s="342"/>
    </row>
    <row r="86" spans="1:21" s="339" customFormat="1" ht="18" customHeight="1" x14ac:dyDescent="0.25">
      <c r="A86" s="334"/>
      <c r="B86" s="335"/>
      <c r="C86" s="335"/>
      <c r="D86" s="365" t="s">
        <v>222</v>
      </c>
      <c r="E86" s="335" t="s">
        <v>223</v>
      </c>
      <c r="F86" s="337">
        <v>413550000</v>
      </c>
      <c r="G86" s="344"/>
      <c r="H86" s="344"/>
      <c r="I86" s="344">
        <f t="shared" si="34"/>
        <v>0</v>
      </c>
      <c r="J86" s="344"/>
      <c r="K86" s="344"/>
      <c r="L86" s="344">
        <f t="shared" si="22"/>
        <v>0</v>
      </c>
      <c r="M86" s="344">
        <f t="shared" si="32"/>
        <v>0</v>
      </c>
      <c r="N86" s="337">
        <f t="shared" ref="N86:N100" si="38">+F86-M86</f>
        <v>413550000</v>
      </c>
      <c r="P86" s="340"/>
      <c r="S86" s="347"/>
      <c r="T86" s="347"/>
      <c r="U86" s="342"/>
    </row>
    <row r="87" spans="1:21" s="339" customFormat="1" ht="18" customHeight="1" x14ac:dyDescent="0.25">
      <c r="A87" s="334"/>
      <c r="B87" s="335"/>
      <c r="C87" s="335"/>
      <c r="D87" s="365" t="s">
        <v>224</v>
      </c>
      <c r="E87" s="335" t="s">
        <v>225</v>
      </c>
      <c r="F87" s="337">
        <v>45950000</v>
      </c>
      <c r="G87" s="344"/>
      <c r="H87" s="344"/>
      <c r="I87" s="344">
        <f t="shared" si="34"/>
        <v>0</v>
      </c>
      <c r="J87" s="344"/>
      <c r="K87" s="344"/>
      <c r="L87" s="344">
        <f t="shared" si="22"/>
        <v>0</v>
      </c>
      <c r="M87" s="344">
        <f t="shared" si="32"/>
        <v>0</v>
      </c>
      <c r="N87" s="337">
        <f t="shared" si="38"/>
        <v>45950000</v>
      </c>
      <c r="P87" s="340"/>
      <c r="S87" s="347"/>
      <c r="T87" s="347"/>
      <c r="U87" s="342"/>
    </row>
    <row r="88" spans="1:21" s="339" customFormat="1" ht="18" customHeight="1" x14ac:dyDescent="0.25">
      <c r="A88" s="334"/>
      <c r="B88" s="335"/>
      <c r="C88" s="335"/>
      <c r="D88" s="365" t="s">
        <v>226</v>
      </c>
      <c r="E88" s="335" t="s">
        <v>227</v>
      </c>
      <c r="F88" s="337">
        <v>252725000</v>
      </c>
      <c r="G88" s="344"/>
      <c r="H88" s="344"/>
      <c r="I88" s="344">
        <f t="shared" si="34"/>
        <v>0</v>
      </c>
      <c r="J88" s="344"/>
      <c r="K88" s="344"/>
      <c r="L88" s="344">
        <f t="shared" si="22"/>
        <v>0</v>
      </c>
      <c r="M88" s="344">
        <f t="shared" si="32"/>
        <v>0</v>
      </c>
      <c r="N88" s="337">
        <f t="shared" si="38"/>
        <v>252725000</v>
      </c>
      <c r="P88" s="340"/>
      <c r="S88" s="347"/>
      <c r="T88" s="347"/>
      <c r="U88" s="342"/>
    </row>
    <row r="89" spans="1:21" s="339" customFormat="1" ht="18" customHeight="1" x14ac:dyDescent="0.25">
      <c r="A89" s="334"/>
      <c r="B89" s="335"/>
      <c r="C89" s="335"/>
      <c r="D89" s="365" t="s">
        <v>228</v>
      </c>
      <c r="E89" s="335" t="s">
        <v>229</v>
      </c>
      <c r="F89" s="337">
        <v>3101625000</v>
      </c>
      <c r="G89" s="344"/>
      <c r="H89" s="344"/>
      <c r="I89" s="344">
        <f t="shared" si="34"/>
        <v>0</v>
      </c>
      <c r="J89" s="344"/>
      <c r="K89" s="344"/>
      <c r="L89" s="344">
        <f t="shared" si="22"/>
        <v>0</v>
      </c>
      <c r="M89" s="344">
        <f t="shared" si="32"/>
        <v>0</v>
      </c>
      <c r="N89" s="337">
        <f t="shared" si="38"/>
        <v>3101625000</v>
      </c>
      <c r="P89" s="340"/>
      <c r="S89" s="347"/>
      <c r="T89" s="347"/>
      <c r="U89" s="342"/>
    </row>
    <row r="90" spans="1:21" s="339" customFormat="1" ht="18" customHeight="1" x14ac:dyDescent="0.25">
      <c r="A90" s="334"/>
      <c r="B90" s="335"/>
      <c r="C90" s="335"/>
      <c r="D90" s="365" t="s">
        <v>230</v>
      </c>
      <c r="E90" s="335" t="s">
        <v>231</v>
      </c>
      <c r="F90" s="337">
        <v>13785000</v>
      </c>
      <c r="G90" s="344"/>
      <c r="H90" s="344"/>
      <c r="I90" s="344">
        <f t="shared" si="34"/>
        <v>0</v>
      </c>
      <c r="J90" s="344"/>
      <c r="K90" s="344"/>
      <c r="L90" s="344">
        <f t="shared" si="22"/>
        <v>0</v>
      </c>
      <c r="M90" s="344">
        <f t="shared" si="32"/>
        <v>0</v>
      </c>
      <c r="N90" s="337">
        <f t="shared" si="38"/>
        <v>13785000</v>
      </c>
      <c r="P90" s="340"/>
      <c r="S90" s="347"/>
      <c r="T90" s="347"/>
      <c r="U90" s="342"/>
    </row>
    <row r="91" spans="1:21" s="339" customFormat="1" ht="18" customHeight="1" x14ac:dyDescent="0.25">
      <c r="A91" s="334"/>
      <c r="B91" s="335"/>
      <c r="C91" s="335"/>
      <c r="D91" s="365" t="s">
        <v>232</v>
      </c>
      <c r="E91" s="335" t="s">
        <v>233</v>
      </c>
      <c r="F91" s="337">
        <v>126362500</v>
      </c>
      <c r="G91" s="344"/>
      <c r="H91" s="344"/>
      <c r="I91" s="344">
        <f t="shared" si="34"/>
        <v>0</v>
      </c>
      <c r="J91" s="344"/>
      <c r="K91" s="344"/>
      <c r="L91" s="344">
        <f t="shared" si="22"/>
        <v>0</v>
      </c>
      <c r="M91" s="344">
        <f t="shared" si="32"/>
        <v>0</v>
      </c>
      <c r="N91" s="337">
        <f t="shared" si="38"/>
        <v>126362500</v>
      </c>
      <c r="P91" s="340"/>
      <c r="S91" s="347"/>
      <c r="T91" s="347"/>
      <c r="U91" s="342"/>
    </row>
    <row r="92" spans="1:21" s="339" customFormat="1" ht="19.5" customHeight="1" x14ac:dyDescent="0.25">
      <c r="A92" s="366"/>
      <c r="B92" s="367"/>
      <c r="C92" s="367"/>
      <c r="D92" s="368" t="s">
        <v>234</v>
      </c>
      <c r="E92" s="369" t="s">
        <v>235</v>
      </c>
      <c r="F92" s="370">
        <v>2297500</v>
      </c>
      <c r="G92" s="371"/>
      <c r="H92" s="371"/>
      <c r="I92" s="371">
        <f t="shared" si="34"/>
        <v>0</v>
      </c>
      <c r="J92" s="371"/>
      <c r="K92" s="371"/>
      <c r="L92" s="371">
        <f t="shared" si="22"/>
        <v>0</v>
      </c>
      <c r="M92" s="371">
        <f t="shared" si="32"/>
        <v>0</v>
      </c>
      <c r="N92" s="370">
        <f t="shared" si="38"/>
        <v>2297500</v>
      </c>
      <c r="P92" s="340"/>
      <c r="S92" s="347"/>
      <c r="T92" s="347"/>
      <c r="U92" s="342"/>
    </row>
    <row r="93" spans="1:21" s="339" customFormat="1" ht="30.75" customHeight="1" x14ac:dyDescent="0.25">
      <c r="A93" s="366"/>
      <c r="B93" s="367"/>
      <c r="C93" s="367"/>
      <c r="D93" s="368" t="s">
        <v>236</v>
      </c>
      <c r="E93" s="369" t="s">
        <v>237</v>
      </c>
      <c r="F93" s="370">
        <v>1156791250</v>
      </c>
      <c r="G93" s="371"/>
      <c r="H93" s="371"/>
      <c r="I93" s="371">
        <f t="shared" si="34"/>
        <v>0</v>
      </c>
      <c r="J93" s="371"/>
      <c r="K93" s="371"/>
      <c r="L93" s="371">
        <f t="shared" si="22"/>
        <v>0</v>
      </c>
      <c r="M93" s="371">
        <f t="shared" si="32"/>
        <v>0</v>
      </c>
      <c r="N93" s="370">
        <f t="shared" si="38"/>
        <v>1156791250</v>
      </c>
      <c r="P93" s="340"/>
      <c r="S93" s="347"/>
      <c r="T93" s="347"/>
      <c r="U93" s="342"/>
    </row>
    <row r="94" spans="1:21" s="339" customFormat="1" ht="31.5" x14ac:dyDescent="0.25">
      <c r="A94" s="366"/>
      <c r="B94" s="367"/>
      <c r="C94" s="367"/>
      <c r="D94" s="368" t="s">
        <v>238</v>
      </c>
      <c r="E94" s="369" t="s">
        <v>239</v>
      </c>
      <c r="F94" s="370">
        <v>3124600000</v>
      </c>
      <c r="G94" s="371"/>
      <c r="H94" s="371"/>
      <c r="I94" s="371">
        <f t="shared" si="34"/>
        <v>0</v>
      </c>
      <c r="J94" s="371"/>
      <c r="K94" s="371"/>
      <c r="L94" s="371">
        <f t="shared" si="22"/>
        <v>0</v>
      </c>
      <c r="M94" s="371">
        <f t="shared" si="32"/>
        <v>0</v>
      </c>
      <c r="N94" s="370">
        <f t="shared" si="38"/>
        <v>3124600000</v>
      </c>
      <c r="P94" s="340"/>
      <c r="S94" s="347"/>
      <c r="T94" s="347"/>
      <c r="U94" s="342"/>
    </row>
    <row r="95" spans="1:21" s="339" customFormat="1" ht="18" customHeight="1" x14ac:dyDescent="0.25">
      <c r="A95" s="334"/>
      <c r="B95" s="335"/>
      <c r="C95" s="335"/>
      <c r="D95" s="365" t="s">
        <v>433</v>
      </c>
      <c r="E95" s="335" t="s">
        <v>434</v>
      </c>
      <c r="F95" s="337">
        <f>+F96+F97+F98</f>
        <v>984100000</v>
      </c>
      <c r="G95" s="344">
        <f>+G96+G97</f>
        <v>42050000</v>
      </c>
      <c r="H95" s="344">
        <f>+H96+H97</f>
        <v>0</v>
      </c>
      <c r="I95" s="344">
        <f>+G95+H95</f>
        <v>42050000</v>
      </c>
      <c r="J95" s="344">
        <f>+J96+J97</f>
        <v>0</v>
      </c>
      <c r="K95" s="344">
        <f>+SUM(K101:K110)</f>
        <v>0</v>
      </c>
      <c r="L95" s="344">
        <f>+J95+K95</f>
        <v>0</v>
      </c>
      <c r="M95" s="344">
        <f t="shared" si="32"/>
        <v>42050000</v>
      </c>
      <c r="N95" s="337">
        <f t="shared" si="38"/>
        <v>942050000</v>
      </c>
      <c r="P95" s="340"/>
      <c r="S95" s="347"/>
      <c r="T95" s="347"/>
      <c r="U95" s="342"/>
    </row>
    <row r="96" spans="1:21" s="339" customFormat="1" ht="18" customHeight="1" x14ac:dyDescent="0.25">
      <c r="A96" s="334"/>
      <c r="B96" s="335"/>
      <c r="C96" s="335"/>
      <c r="D96" s="365" t="s">
        <v>435</v>
      </c>
      <c r="E96" s="335" t="s">
        <v>437</v>
      </c>
      <c r="F96" s="337">
        <v>516750000</v>
      </c>
      <c r="G96" s="344">
        <v>40950000</v>
      </c>
      <c r="H96" s="344"/>
      <c r="I96" s="344">
        <f t="shared" si="34"/>
        <v>40950000</v>
      </c>
      <c r="J96" s="344"/>
      <c r="K96" s="344"/>
      <c r="L96" s="344">
        <f t="shared" si="22"/>
        <v>0</v>
      </c>
      <c r="M96" s="344">
        <f t="shared" si="32"/>
        <v>40950000</v>
      </c>
      <c r="N96" s="337">
        <f t="shared" si="38"/>
        <v>475800000</v>
      </c>
      <c r="P96" s="340"/>
      <c r="S96" s="347"/>
      <c r="T96" s="347"/>
      <c r="U96" s="342"/>
    </row>
    <row r="97" spans="1:21" s="339" customFormat="1" ht="18" customHeight="1" x14ac:dyDescent="0.25">
      <c r="A97" s="334"/>
      <c r="B97" s="335"/>
      <c r="C97" s="335"/>
      <c r="D97" s="365" t="s">
        <v>436</v>
      </c>
      <c r="E97" s="335" t="s">
        <v>438</v>
      </c>
      <c r="F97" s="337">
        <v>19500000</v>
      </c>
      <c r="G97" s="344">
        <v>1100000</v>
      </c>
      <c r="H97" s="344"/>
      <c r="I97" s="344">
        <f t="shared" si="34"/>
        <v>1100000</v>
      </c>
      <c r="J97" s="344"/>
      <c r="K97" s="344"/>
      <c r="L97" s="344">
        <f t="shared" si="22"/>
        <v>0</v>
      </c>
      <c r="M97" s="344">
        <f t="shared" si="32"/>
        <v>1100000</v>
      </c>
      <c r="N97" s="337">
        <f t="shared" si="38"/>
        <v>18400000</v>
      </c>
      <c r="P97" s="340"/>
      <c r="S97" s="347"/>
      <c r="T97" s="347"/>
      <c r="U97" s="342"/>
    </row>
    <row r="98" spans="1:21" s="339" customFormat="1" ht="18" customHeight="1" x14ac:dyDescent="0.25">
      <c r="A98" s="334"/>
      <c r="B98" s="335"/>
      <c r="C98" s="335"/>
      <c r="D98" s="365" t="s">
        <v>457</v>
      </c>
      <c r="E98" s="335" t="s">
        <v>458</v>
      </c>
      <c r="F98" s="337">
        <v>447850000</v>
      </c>
      <c r="G98" s="344"/>
      <c r="H98" s="344"/>
      <c r="I98" s="344">
        <f t="shared" si="34"/>
        <v>0</v>
      </c>
      <c r="J98" s="344"/>
      <c r="K98" s="344"/>
      <c r="L98" s="344">
        <f t="shared" si="22"/>
        <v>0</v>
      </c>
      <c r="M98" s="344">
        <f t="shared" si="32"/>
        <v>0</v>
      </c>
      <c r="N98" s="337">
        <f t="shared" si="38"/>
        <v>447850000</v>
      </c>
      <c r="P98" s="340"/>
      <c r="S98" s="347"/>
      <c r="T98" s="347"/>
      <c r="U98" s="342"/>
    </row>
    <row r="99" spans="1:21" s="339" customFormat="1" ht="18" customHeight="1" x14ac:dyDescent="0.25">
      <c r="A99" s="334"/>
      <c r="B99" s="335"/>
      <c r="C99" s="335"/>
      <c r="D99" s="365" t="s">
        <v>439</v>
      </c>
      <c r="E99" s="335" t="s">
        <v>442</v>
      </c>
      <c r="F99" s="337">
        <f>+F100</f>
        <v>461300000</v>
      </c>
      <c r="G99" s="344">
        <f>+G100</f>
        <v>34250000</v>
      </c>
      <c r="H99" s="344">
        <f>+H100</f>
        <v>0</v>
      </c>
      <c r="I99" s="344">
        <f t="shared" si="34"/>
        <v>34250000</v>
      </c>
      <c r="J99" s="344"/>
      <c r="K99" s="344">
        <f>+SUM(K104:K113)</f>
        <v>2990625</v>
      </c>
      <c r="L99" s="344">
        <f t="shared" si="22"/>
        <v>2990625</v>
      </c>
      <c r="M99" s="344">
        <f t="shared" si="32"/>
        <v>37240625</v>
      </c>
      <c r="N99" s="337">
        <f t="shared" si="38"/>
        <v>424059375</v>
      </c>
      <c r="P99" s="340"/>
      <c r="S99" s="347"/>
      <c r="T99" s="347"/>
      <c r="U99" s="342"/>
    </row>
    <row r="100" spans="1:21" s="339" customFormat="1" ht="18" customHeight="1" x14ac:dyDescent="0.25">
      <c r="A100" s="334"/>
      <c r="B100" s="335"/>
      <c r="C100" s="335"/>
      <c r="D100" s="365" t="s">
        <v>440</v>
      </c>
      <c r="E100" s="335" t="s">
        <v>441</v>
      </c>
      <c r="F100" s="337">
        <v>461300000</v>
      </c>
      <c r="G100" s="344">
        <v>34250000</v>
      </c>
      <c r="H100" s="344"/>
      <c r="I100" s="344">
        <f t="shared" si="34"/>
        <v>34250000</v>
      </c>
      <c r="J100" s="344"/>
      <c r="K100" s="344"/>
      <c r="L100" s="344">
        <f t="shared" si="22"/>
        <v>0</v>
      </c>
      <c r="M100" s="344">
        <f t="shared" si="32"/>
        <v>34250000</v>
      </c>
      <c r="N100" s="337">
        <f t="shared" si="38"/>
        <v>427050000</v>
      </c>
      <c r="P100" s="340"/>
      <c r="S100" s="347"/>
      <c r="T100" s="347"/>
      <c r="U100" s="342"/>
    </row>
    <row r="101" spans="1:21" s="339" customFormat="1" ht="18" customHeight="1" x14ac:dyDescent="0.25">
      <c r="A101" s="334"/>
      <c r="B101" s="335"/>
      <c r="C101" s="335"/>
      <c r="D101" s="365" t="s">
        <v>240</v>
      </c>
      <c r="E101" s="335" t="s">
        <v>241</v>
      </c>
      <c r="F101" s="337">
        <f>+F102</f>
        <v>757451250</v>
      </c>
      <c r="G101" s="344">
        <f>+G102</f>
        <v>0</v>
      </c>
      <c r="H101" s="344">
        <f>+H102</f>
        <v>0</v>
      </c>
      <c r="I101" s="344">
        <f>+G101+H101</f>
        <v>0</v>
      </c>
      <c r="J101" s="344">
        <f>+J102</f>
        <v>0</v>
      </c>
      <c r="K101" s="344">
        <f>+K102</f>
        <v>0</v>
      </c>
      <c r="L101" s="344">
        <f>+J101+K101</f>
        <v>0</v>
      </c>
      <c r="M101" s="344">
        <f t="shared" si="32"/>
        <v>0</v>
      </c>
      <c r="N101" s="337">
        <f>+F101-M101</f>
        <v>757451250</v>
      </c>
      <c r="P101" s="340"/>
      <c r="S101" s="347"/>
      <c r="T101" s="347"/>
      <c r="U101" s="342"/>
    </row>
    <row r="102" spans="1:21" s="339" customFormat="1" ht="18" customHeight="1" x14ac:dyDescent="0.25">
      <c r="A102" s="334"/>
      <c r="B102" s="335"/>
      <c r="C102" s="335"/>
      <c r="D102" s="365" t="s">
        <v>242</v>
      </c>
      <c r="E102" s="335" t="s">
        <v>409</v>
      </c>
      <c r="F102" s="337">
        <f>SUM(F103:F112)</f>
        <v>757451250</v>
      </c>
      <c r="G102" s="344">
        <f>SUM(G103:G112)</f>
        <v>0</v>
      </c>
      <c r="H102" s="344">
        <f>SUM(H103:H112)</f>
        <v>0</v>
      </c>
      <c r="I102" s="344">
        <f>+G102+H102</f>
        <v>0</v>
      </c>
      <c r="J102" s="344">
        <f>SUM(J103:J112)</f>
        <v>0</v>
      </c>
      <c r="K102" s="344">
        <f>SUM(K103:K112)</f>
        <v>0</v>
      </c>
      <c r="L102" s="344">
        <f>+J102+K102</f>
        <v>0</v>
      </c>
      <c r="M102" s="344">
        <f>+I102+L102</f>
        <v>0</v>
      </c>
      <c r="N102" s="337">
        <f>+F102-M102</f>
        <v>757451250</v>
      </c>
      <c r="P102" s="340"/>
      <c r="S102" s="347"/>
      <c r="T102" s="347"/>
      <c r="U102" s="342"/>
    </row>
    <row r="103" spans="1:21" s="339" customFormat="1" ht="18" customHeight="1" x14ac:dyDescent="0.25">
      <c r="A103" s="334"/>
      <c r="B103" s="335"/>
      <c r="C103" s="335"/>
      <c r="D103" s="365" t="s">
        <v>243</v>
      </c>
      <c r="E103" s="335" t="s">
        <v>331</v>
      </c>
      <c r="F103" s="337">
        <v>31387500</v>
      </c>
      <c r="G103" s="344"/>
      <c r="H103" s="344"/>
      <c r="I103" s="344">
        <f t="shared" ref="I103:I110" si="39">+G103+H103</f>
        <v>0</v>
      </c>
      <c r="J103" s="344"/>
      <c r="K103" s="344"/>
      <c r="L103" s="344">
        <f t="shared" si="22"/>
        <v>0</v>
      </c>
      <c r="M103" s="344">
        <f t="shared" ref="M103:M112" si="40">+I103+L103</f>
        <v>0</v>
      </c>
      <c r="N103" s="337">
        <f t="shared" ref="N103:N108" si="41">+F103-M103</f>
        <v>31387500</v>
      </c>
      <c r="P103" s="340"/>
      <c r="S103" s="347"/>
      <c r="T103" s="347"/>
      <c r="U103" s="342"/>
    </row>
    <row r="104" spans="1:21" s="339" customFormat="1" ht="18" customHeight="1" x14ac:dyDescent="0.25">
      <c r="A104" s="334"/>
      <c r="B104" s="335"/>
      <c r="C104" s="335"/>
      <c r="D104" s="365" t="s">
        <v>244</v>
      </c>
      <c r="E104" s="335" t="s">
        <v>245</v>
      </c>
      <c r="F104" s="337">
        <v>36450000</v>
      </c>
      <c r="G104" s="344"/>
      <c r="H104" s="344"/>
      <c r="I104" s="344">
        <f t="shared" si="39"/>
        <v>0</v>
      </c>
      <c r="J104" s="344"/>
      <c r="K104" s="344"/>
      <c r="L104" s="344">
        <f t="shared" si="22"/>
        <v>0</v>
      </c>
      <c r="M104" s="344">
        <f t="shared" si="40"/>
        <v>0</v>
      </c>
      <c r="N104" s="337">
        <f t="shared" si="41"/>
        <v>36450000</v>
      </c>
      <c r="P104" s="340"/>
      <c r="S104" s="347"/>
      <c r="T104" s="347"/>
      <c r="U104" s="342"/>
    </row>
    <row r="105" spans="1:21" s="339" customFormat="1" ht="18" customHeight="1" x14ac:dyDescent="0.25">
      <c r="A105" s="334"/>
      <c r="B105" s="335"/>
      <c r="C105" s="335"/>
      <c r="D105" s="365" t="s">
        <v>246</v>
      </c>
      <c r="E105" s="335" t="s">
        <v>247</v>
      </c>
      <c r="F105" s="337">
        <v>4050000</v>
      </c>
      <c r="G105" s="344"/>
      <c r="H105" s="344"/>
      <c r="I105" s="344">
        <f t="shared" si="39"/>
        <v>0</v>
      </c>
      <c r="J105" s="344"/>
      <c r="K105" s="344"/>
      <c r="L105" s="344">
        <f t="shared" si="22"/>
        <v>0</v>
      </c>
      <c r="M105" s="344">
        <f t="shared" si="40"/>
        <v>0</v>
      </c>
      <c r="N105" s="337">
        <f t="shared" si="41"/>
        <v>4050000</v>
      </c>
      <c r="P105" s="340"/>
      <c r="S105" s="347"/>
      <c r="T105" s="347"/>
      <c r="U105" s="342"/>
    </row>
    <row r="106" spans="1:21" s="339" customFormat="1" ht="18" customHeight="1" x14ac:dyDescent="0.25">
      <c r="A106" s="334"/>
      <c r="B106" s="335"/>
      <c r="C106" s="335"/>
      <c r="D106" s="365" t="s">
        <v>248</v>
      </c>
      <c r="E106" s="335" t="s">
        <v>249</v>
      </c>
      <c r="F106" s="337">
        <v>22275000</v>
      </c>
      <c r="G106" s="344"/>
      <c r="H106" s="344"/>
      <c r="I106" s="344">
        <f t="shared" si="39"/>
        <v>0</v>
      </c>
      <c r="J106" s="344"/>
      <c r="K106" s="344"/>
      <c r="L106" s="344">
        <f t="shared" si="22"/>
        <v>0</v>
      </c>
      <c r="M106" s="344">
        <f t="shared" si="40"/>
        <v>0</v>
      </c>
      <c r="N106" s="337">
        <f t="shared" si="41"/>
        <v>22275000</v>
      </c>
      <c r="P106" s="340"/>
      <c r="S106" s="347"/>
      <c r="T106" s="347"/>
      <c r="U106" s="342"/>
    </row>
    <row r="107" spans="1:21" s="339" customFormat="1" ht="18" customHeight="1" x14ac:dyDescent="0.25">
      <c r="A107" s="334"/>
      <c r="B107" s="335"/>
      <c r="C107" s="335"/>
      <c r="D107" s="365" t="s">
        <v>250</v>
      </c>
      <c r="E107" s="335" t="s">
        <v>251</v>
      </c>
      <c r="F107" s="337">
        <v>273375000</v>
      </c>
      <c r="G107" s="344"/>
      <c r="H107" s="344"/>
      <c r="I107" s="344">
        <f t="shared" si="39"/>
        <v>0</v>
      </c>
      <c r="J107" s="344"/>
      <c r="K107" s="344"/>
      <c r="L107" s="344">
        <f t="shared" si="22"/>
        <v>0</v>
      </c>
      <c r="M107" s="344">
        <f t="shared" si="40"/>
        <v>0</v>
      </c>
      <c r="N107" s="337">
        <f t="shared" si="41"/>
        <v>273375000</v>
      </c>
      <c r="P107" s="340"/>
      <c r="S107" s="347"/>
      <c r="T107" s="347"/>
      <c r="U107" s="342"/>
    </row>
    <row r="108" spans="1:21" s="339" customFormat="1" ht="18" customHeight="1" x14ac:dyDescent="0.25">
      <c r="A108" s="334"/>
      <c r="B108" s="335"/>
      <c r="C108" s="335"/>
      <c r="D108" s="365" t="s">
        <v>252</v>
      </c>
      <c r="E108" s="335" t="s">
        <v>253</v>
      </c>
      <c r="F108" s="337">
        <v>1215000</v>
      </c>
      <c r="G108" s="344"/>
      <c r="H108" s="344"/>
      <c r="I108" s="344">
        <f t="shared" si="39"/>
        <v>0</v>
      </c>
      <c r="J108" s="344"/>
      <c r="K108" s="344"/>
      <c r="L108" s="344">
        <f t="shared" si="22"/>
        <v>0</v>
      </c>
      <c r="M108" s="344">
        <f t="shared" si="40"/>
        <v>0</v>
      </c>
      <c r="N108" s="337">
        <f t="shared" si="41"/>
        <v>1215000</v>
      </c>
      <c r="P108" s="340"/>
      <c r="S108" s="347"/>
      <c r="T108" s="347"/>
      <c r="U108" s="342"/>
    </row>
    <row r="109" spans="1:21" s="339" customFormat="1" ht="18" customHeight="1" x14ac:dyDescent="0.25">
      <c r="A109" s="334"/>
      <c r="B109" s="335"/>
      <c r="C109" s="335"/>
      <c r="D109" s="365" t="s">
        <v>254</v>
      </c>
      <c r="E109" s="335" t="s">
        <v>255</v>
      </c>
      <c r="F109" s="337">
        <v>11137500</v>
      </c>
      <c r="G109" s="344"/>
      <c r="H109" s="344"/>
      <c r="I109" s="344">
        <f t="shared" si="39"/>
        <v>0</v>
      </c>
      <c r="J109" s="344"/>
      <c r="K109" s="344"/>
      <c r="L109" s="344">
        <f t="shared" si="22"/>
        <v>0</v>
      </c>
      <c r="M109" s="344">
        <f t="shared" si="40"/>
        <v>0</v>
      </c>
      <c r="N109" s="337">
        <f>+F109-M109</f>
        <v>11137500</v>
      </c>
      <c r="P109" s="340"/>
      <c r="S109" s="347"/>
      <c r="T109" s="347"/>
      <c r="U109" s="342"/>
    </row>
    <row r="110" spans="1:21" s="339" customFormat="1" ht="32.25" customHeight="1" x14ac:dyDescent="0.25">
      <c r="A110" s="366"/>
      <c r="B110" s="367"/>
      <c r="C110" s="367"/>
      <c r="D110" s="368" t="s">
        <v>256</v>
      </c>
      <c r="E110" s="369" t="s">
        <v>257</v>
      </c>
      <c r="F110" s="370">
        <v>202500</v>
      </c>
      <c r="G110" s="371"/>
      <c r="H110" s="371"/>
      <c r="I110" s="371">
        <f t="shared" si="39"/>
        <v>0</v>
      </c>
      <c r="J110" s="371"/>
      <c r="K110" s="371"/>
      <c r="L110" s="371">
        <f t="shared" si="22"/>
        <v>0</v>
      </c>
      <c r="M110" s="371">
        <f t="shared" si="40"/>
        <v>0</v>
      </c>
      <c r="N110" s="370">
        <f>+F110-M110</f>
        <v>202500</v>
      </c>
      <c r="P110" s="340"/>
      <c r="S110" s="347"/>
      <c r="T110" s="347"/>
      <c r="U110" s="342"/>
    </row>
    <row r="111" spans="1:21" s="339" customFormat="1" ht="31.5" x14ac:dyDescent="0.25">
      <c r="A111" s="366"/>
      <c r="B111" s="367"/>
      <c r="C111" s="367"/>
      <c r="D111" s="368" t="s">
        <v>258</v>
      </c>
      <c r="E111" s="369" t="s">
        <v>259</v>
      </c>
      <c r="F111" s="370">
        <v>101958750</v>
      </c>
      <c r="G111" s="371"/>
      <c r="H111" s="371"/>
      <c r="I111" s="371">
        <f>+G111+H111</f>
        <v>0</v>
      </c>
      <c r="J111" s="371"/>
      <c r="K111" s="371"/>
      <c r="L111" s="371">
        <f t="shared" si="22"/>
        <v>0</v>
      </c>
      <c r="M111" s="371">
        <f t="shared" si="40"/>
        <v>0</v>
      </c>
      <c r="N111" s="370">
        <f>+F111-M111</f>
        <v>101958750</v>
      </c>
      <c r="P111" s="340"/>
      <c r="S111" s="347"/>
      <c r="T111" s="347"/>
      <c r="U111" s="342"/>
    </row>
    <row r="112" spans="1:21" s="153" customFormat="1" ht="31.5" x14ac:dyDescent="0.25">
      <c r="A112" s="372"/>
      <c r="B112" s="373"/>
      <c r="C112" s="373"/>
      <c r="D112" s="374" t="s">
        <v>260</v>
      </c>
      <c r="E112" s="375" t="s">
        <v>261</v>
      </c>
      <c r="F112" s="376">
        <v>275400000</v>
      </c>
      <c r="G112" s="377"/>
      <c r="H112" s="377"/>
      <c r="I112" s="377">
        <f t="shared" ref="I112" si="42">+G112+H112</f>
        <v>0</v>
      </c>
      <c r="J112" s="377"/>
      <c r="K112" s="377"/>
      <c r="L112" s="377">
        <f t="shared" si="22"/>
        <v>0</v>
      </c>
      <c r="M112" s="377">
        <f t="shared" si="40"/>
        <v>0</v>
      </c>
      <c r="N112" s="376">
        <f>+F112-M112</f>
        <v>275400000</v>
      </c>
      <c r="P112" s="200"/>
      <c r="S112" s="221"/>
      <c r="T112" s="221"/>
      <c r="U112" s="254"/>
    </row>
    <row r="113" spans="1:21" s="319" customFormat="1" ht="18" customHeight="1" x14ac:dyDescent="0.25">
      <c r="A113" s="276">
        <v>4</v>
      </c>
      <c r="B113" s="305"/>
      <c r="C113" s="305" t="s">
        <v>84</v>
      </c>
      <c r="D113" s="363"/>
      <c r="E113" s="364" t="s">
        <v>85</v>
      </c>
      <c r="F113" s="307">
        <f>+F114</f>
        <v>31153000</v>
      </c>
      <c r="G113" s="308">
        <f t="shared" ref="F113:H114" si="43">+G114</f>
        <v>0</v>
      </c>
      <c r="H113" s="308">
        <f t="shared" si="43"/>
        <v>0</v>
      </c>
      <c r="I113" s="308">
        <f>+G113+H113</f>
        <v>0</v>
      </c>
      <c r="J113" s="308">
        <f>+J114</f>
        <v>0</v>
      </c>
      <c r="K113" s="308">
        <f>+K114</f>
        <v>2990625</v>
      </c>
      <c r="L113" s="308">
        <f>+J113+K113</f>
        <v>2990625</v>
      </c>
      <c r="M113" s="308">
        <f>+I113+L113</f>
        <v>2990625</v>
      </c>
      <c r="N113" s="307">
        <f>+F113-M113</f>
        <v>28162375</v>
      </c>
      <c r="P113" s="320"/>
      <c r="R113" s="321"/>
      <c r="S113" s="349"/>
      <c r="T113" s="349"/>
      <c r="U113" s="350"/>
    </row>
    <row r="114" spans="1:21" s="329" customFormat="1" ht="18" customHeight="1" x14ac:dyDescent="0.25">
      <c r="A114" s="323"/>
      <c r="B114" s="324"/>
      <c r="C114" s="324"/>
      <c r="D114" s="325" t="s">
        <v>207</v>
      </c>
      <c r="E114" s="326" t="s">
        <v>262</v>
      </c>
      <c r="F114" s="327">
        <f t="shared" si="43"/>
        <v>31153000</v>
      </c>
      <c r="G114" s="328">
        <f t="shared" si="43"/>
        <v>0</v>
      </c>
      <c r="H114" s="328">
        <f t="shared" si="43"/>
        <v>0</v>
      </c>
      <c r="I114" s="328">
        <f>+G114+H114</f>
        <v>0</v>
      </c>
      <c r="J114" s="328">
        <f t="shared" ref="J114:K116" si="44">+J115</f>
        <v>0</v>
      </c>
      <c r="K114" s="328">
        <f t="shared" si="44"/>
        <v>2990625</v>
      </c>
      <c r="L114" s="328">
        <f>+J114+K114</f>
        <v>2990625</v>
      </c>
      <c r="M114" s="328">
        <f t="shared" ref="M114:M120" si="45">+I114+L114</f>
        <v>2990625</v>
      </c>
      <c r="N114" s="327">
        <f t="shared" ref="N114:N117" si="46">+F114-M114</f>
        <v>28162375</v>
      </c>
      <c r="P114" s="330"/>
      <c r="R114" s="331"/>
      <c r="S114" s="351"/>
      <c r="T114" s="351"/>
      <c r="U114" s="333"/>
    </row>
    <row r="115" spans="1:21" s="339" customFormat="1" ht="18" customHeight="1" x14ac:dyDescent="0.25">
      <c r="A115" s="334"/>
      <c r="B115" s="378"/>
      <c r="C115" s="378"/>
      <c r="D115" s="335" t="s">
        <v>63</v>
      </c>
      <c r="E115" s="335" t="s">
        <v>30</v>
      </c>
      <c r="F115" s="337">
        <f>F116</f>
        <v>31153000</v>
      </c>
      <c r="G115" s="344">
        <f>+G116</f>
        <v>0</v>
      </c>
      <c r="H115" s="344">
        <f>+H116</f>
        <v>0</v>
      </c>
      <c r="I115" s="344">
        <f>+G115+H115</f>
        <v>0</v>
      </c>
      <c r="J115" s="344">
        <f>+J116</f>
        <v>0</v>
      </c>
      <c r="K115" s="344">
        <f t="shared" si="44"/>
        <v>2990625</v>
      </c>
      <c r="L115" s="344">
        <f>+J115+K115</f>
        <v>2990625</v>
      </c>
      <c r="M115" s="344">
        <f t="shared" si="45"/>
        <v>2990625</v>
      </c>
      <c r="N115" s="337">
        <f t="shared" si="46"/>
        <v>28162375</v>
      </c>
      <c r="P115" s="340"/>
      <c r="S115" s="347"/>
      <c r="T115" s="347"/>
      <c r="U115" s="342"/>
    </row>
    <row r="116" spans="1:21" s="339" customFormat="1" ht="18" customHeight="1" x14ac:dyDescent="0.25">
      <c r="A116" s="334"/>
      <c r="B116" s="335"/>
      <c r="C116" s="335"/>
      <c r="D116" s="335" t="s">
        <v>263</v>
      </c>
      <c r="E116" s="336" t="s">
        <v>264</v>
      </c>
      <c r="F116" s="337">
        <f>+F117</f>
        <v>31153000</v>
      </c>
      <c r="G116" s="338">
        <f>+G117</f>
        <v>0</v>
      </c>
      <c r="H116" s="338">
        <f>+H117</f>
        <v>0</v>
      </c>
      <c r="I116" s="338">
        <f>+G116+H116</f>
        <v>0</v>
      </c>
      <c r="J116" s="338">
        <f t="shared" si="44"/>
        <v>0</v>
      </c>
      <c r="K116" s="338">
        <f t="shared" si="44"/>
        <v>2990625</v>
      </c>
      <c r="L116" s="338">
        <f>+J116+K116</f>
        <v>2990625</v>
      </c>
      <c r="M116" s="338">
        <f t="shared" si="45"/>
        <v>2990625</v>
      </c>
      <c r="N116" s="337">
        <f t="shared" si="46"/>
        <v>28162375</v>
      </c>
      <c r="P116" s="340"/>
      <c r="S116" s="347"/>
      <c r="T116" s="347"/>
      <c r="U116" s="342"/>
    </row>
    <row r="117" spans="1:21" s="339" customFormat="1" ht="18" customHeight="1" x14ac:dyDescent="0.25">
      <c r="A117" s="334"/>
      <c r="B117" s="378"/>
      <c r="C117" s="378"/>
      <c r="D117" s="335" t="s">
        <v>64</v>
      </c>
      <c r="E117" s="335" t="s">
        <v>65</v>
      </c>
      <c r="F117" s="337">
        <f>F118+F119+F120</f>
        <v>31153000</v>
      </c>
      <c r="G117" s="344">
        <f>SUM(G118:G120)</f>
        <v>0</v>
      </c>
      <c r="H117" s="344">
        <f>SUM(H118:H120)</f>
        <v>0</v>
      </c>
      <c r="I117" s="344">
        <f>+G117+H117</f>
        <v>0</v>
      </c>
      <c r="J117" s="344">
        <f>SUM(J118:J120)</f>
        <v>0</v>
      </c>
      <c r="K117" s="344">
        <f>SUM(K118:K120)</f>
        <v>2990625</v>
      </c>
      <c r="L117" s="344">
        <f>+J117+K117</f>
        <v>2990625</v>
      </c>
      <c r="M117" s="344">
        <f t="shared" si="45"/>
        <v>2990625</v>
      </c>
      <c r="N117" s="337">
        <f t="shared" si="46"/>
        <v>28162375</v>
      </c>
      <c r="P117" s="340"/>
      <c r="S117" s="347"/>
      <c r="T117" s="347"/>
      <c r="U117" s="342"/>
    </row>
    <row r="118" spans="1:21" s="339" customFormat="1" ht="18" customHeight="1" x14ac:dyDescent="0.25">
      <c r="A118" s="334"/>
      <c r="B118" s="378"/>
      <c r="C118" s="378"/>
      <c r="D118" s="335" t="s">
        <v>66</v>
      </c>
      <c r="E118" s="335" t="s">
        <v>67</v>
      </c>
      <c r="F118" s="337">
        <v>1447000</v>
      </c>
      <c r="G118" s="344"/>
      <c r="H118" s="344"/>
      <c r="I118" s="344">
        <f t="shared" ref="I118:I120" si="47">+G118+H118</f>
        <v>0</v>
      </c>
      <c r="J118" s="344"/>
      <c r="K118" s="344"/>
      <c r="L118" s="344">
        <f t="shared" ref="L118:L120" si="48">+J118+K118</f>
        <v>0</v>
      </c>
      <c r="M118" s="344">
        <f t="shared" si="45"/>
        <v>0</v>
      </c>
      <c r="N118" s="337">
        <f>+F118-M118</f>
        <v>1447000</v>
      </c>
      <c r="P118" s="340"/>
      <c r="S118" s="346">
        <f>999375+995625+995625</f>
        <v>2990625</v>
      </c>
      <c r="T118" s="347"/>
      <c r="U118" s="342"/>
    </row>
    <row r="119" spans="1:21" s="339" customFormat="1" ht="18" customHeight="1" x14ac:dyDescent="0.25">
      <c r="A119" s="334"/>
      <c r="B119" s="378"/>
      <c r="C119" s="378"/>
      <c r="D119" s="335" t="s">
        <v>337</v>
      </c>
      <c r="E119" s="335" t="s">
        <v>338</v>
      </c>
      <c r="F119" s="337">
        <v>3792000</v>
      </c>
      <c r="G119" s="344"/>
      <c r="H119" s="344"/>
      <c r="I119" s="344">
        <f t="shared" si="47"/>
        <v>0</v>
      </c>
      <c r="J119" s="344"/>
      <c r="K119" s="344"/>
      <c r="L119" s="344">
        <f t="shared" si="48"/>
        <v>0</v>
      </c>
      <c r="M119" s="344">
        <f t="shared" si="45"/>
        <v>0</v>
      </c>
      <c r="N119" s="337">
        <f t="shared" ref="N119:N120" si="49">+F119-M119</f>
        <v>3792000</v>
      </c>
      <c r="P119" s="340"/>
      <c r="S119" s="347"/>
      <c r="T119" s="347"/>
      <c r="U119" s="342"/>
    </row>
    <row r="120" spans="1:21" s="339" customFormat="1" ht="18" customHeight="1" x14ac:dyDescent="0.25">
      <c r="A120" s="334"/>
      <c r="B120" s="378"/>
      <c r="C120" s="378"/>
      <c r="D120" s="335" t="s">
        <v>68</v>
      </c>
      <c r="E120" s="335" t="s">
        <v>69</v>
      </c>
      <c r="F120" s="337">
        <v>25914000</v>
      </c>
      <c r="G120" s="344"/>
      <c r="H120" s="344"/>
      <c r="I120" s="344">
        <f t="shared" si="47"/>
        <v>0</v>
      </c>
      <c r="J120" s="344"/>
      <c r="K120" s="344">
        <v>2990625</v>
      </c>
      <c r="L120" s="344">
        <f t="shared" si="48"/>
        <v>2990625</v>
      </c>
      <c r="M120" s="344">
        <f t="shared" si="45"/>
        <v>2990625</v>
      </c>
      <c r="N120" s="337">
        <f t="shared" si="49"/>
        <v>22923375</v>
      </c>
      <c r="P120" s="340"/>
      <c r="S120" s="347"/>
      <c r="T120" s="347"/>
      <c r="U120" s="342"/>
    </row>
    <row r="121" spans="1:21" s="153" customFormat="1" ht="18" customHeight="1" x14ac:dyDescent="0.25">
      <c r="A121" s="353"/>
      <c r="B121" s="354"/>
      <c r="C121" s="354"/>
      <c r="D121" s="355"/>
      <c r="E121" s="355"/>
      <c r="F121" s="356"/>
      <c r="G121" s="357"/>
      <c r="H121" s="357"/>
      <c r="I121" s="357"/>
      <c r="J121" s="357"/>
      <c r="K121" s="357"/>
      <c r="L121" s="357"/>
      <c r="M121" s="357"/>
      <c r="N121" s="356"/>
      <c r="P121" s="200"/>
      <c r="S121" s="221"/>
      <c r="T121" s="221"/>
      <c r="U121" s="254"/>
    </row>
    <row r="122" spans="1:21" s="319" customFormat="1" ht="18" customHeight="1" x14ac:dyDescent="0.25">
      <c r="A122" s="276"/>
      <c r="B122" s="305" t="s">
        <v>405</v>
      </c>
      <c r="C122" s="305"/>
      <c r="D122" s="305"/>
      <c r="E122" s="305" t="s">
        <v>406</v>
      </c>
      <c r="F122" s="359">
        <f t="shared" ref="F122:G124" si="50">+F123</f>
        <v>654671250</v>
      </c>
      <c r="G122" s="360">
        <f t="shared" si="50"/>
        <v>0</v>
      </c>
      <c r="H122" s="360">
        <f>+H123</f>
        <v>0</v>
      </c>
      <c r="I122" s="360">
        <f t="shared" ref="I122:I136" si="51">+G122+H122</f>
        <v>0</v>
      </c>
      <c r="J122" s="360">
        <f>+J124</f>
        <v>0</v>
      </c>
      <c r="K122" s="360">
        <f>+K123</f>
        <v>150000</v>
      </c>
      <c r="L122" s="360">
        <f>+J122+K122</f>
        <v>150000</v>
      </c>
      <c r="M122" s="360">
        <f t="shared" ref="M122" si="52">+I122+L122</f>
        <v>150000</v>
      </c>
      <c r="N122" s="359">
        <f t="shared" ref="N122:N130" si="53">+F122-M122</f>
        <v>654521250</v>
      </c>
      <c r="P122" s="361"/>
      <c r="R122" s="321"/>
      <c r="S122" s="362"/>
      <c r="T122" s="362"/>
      <c r="U122" s="350"/>
    </row>
    <row r="123" spans="1:21" s="319" customFormat="1" ht="18" customHeight="1" x14ac:dyDescent="0.25">
      <c r="A123" s="277">
        <v>5</v>
      </c>
      <c r="B123" s="305"/>
      <c r="C123" s="305" t="s">
        <v>86</v>
      </c>
      <c r="D123" s="363"/>
      <c r="E123" s="364" t="s">
        <v>87</v>
      </c>
      <c r="F123" s="307">
        <f t="shared" si="50"/>
        <v>654671250</v>
      </c>
      <c r="G123" s="308">
        <f t="shared" si="50"/>
        <v>0</v>
      </c>
      <c r="H123" s="308">
        <f>+H124</f>
        <v>0</v>
      </c>
      <c r="I123" s="308">
        <f t="shared" si="51"/>
        <v>0</v>
      </c>
      <c r="J123" s="308">
        <f>+J124</f>
        <v>0</v>
      </c>
      <c r="K123" s="308">
        <f>+K124</f>
        <v>150000</v>
      </c>
      <c r="L123" s="308">
        <f>+J123+K123</f>
        <v>150000</v>
      </c>
      <c r="M123" s="308">
        <f>+I123+L123</f>
        <v>150000</v>
      </c>
      <c r="N123" s="307">
        <f t="shared" si="53"/>
        <v>654521250</v>
      </c>
      <c r="P123" s="320"/>
      <c r="R123" s="321"/>
      <c r="S123" s="349"/>
      <c r="T123" s="349"/>
      <c r="U123" s="350"/>
    </row>
    <row r="124" spans="1:21" s="329" customFormat="1" ht="18" customHeight="1" x14ac:dyDescent="0.25">
      <c r="A124" s="323"/>
      <c r="B124" s="324"/>
      <c r="C124" s="324"/>
      <c r="D124" s="325" t="s">
        <v>207</v>
      </c>
      <c r="E124" s="326" t="s">
        <v>262</v>
      </c>
      <c r="F124" s="327">
        <f t="shared" si="50"/>
        <v>654671250</v>
      </c>
      <c r="G124" s="328">
        <f t="shared" si="50"/>
        <v>0</v>
      </c>
      <c r="H124" s="328">
        <f>+H125</f>
        <v>0</v>
      </c>
      <c r="I124" s="328">
        <f t="shared" si="51"/>
        <v>0</v>
      </c>
      <c r="J124" s="328">
        <f>+J125</f>
        <v>0</v>
      </c>
      <c r="K124" s="328">
        <f>+K125</f>
        <v>150000</v>
      </c>
      <c r="L124" s="328">
        <f t="shared" ref="L124:L136" si="54">+J124+K124</f>
        <v>150000</v>
      </c>
      <c r="M124" s="328">
        <f t="shared" ref="M124:M127" si="55">+I124+L124</f>
        <v>150000</v>
      </c>
      <c r="N124" s="327">
        <f t="shared" si="53"/>
        <v>654521250</v>
      </c>
      <c r="P124" s="330"/>
      <c r="R124" s="331"/>
      <c r="S124" s="351"/>
      <c r="T124" s="351"/>
      <c r="U124" s="333"/>
    </row>
    <row r="125" spans="1:21" s="339" customFormat="1" ht="18" customHeight="1" x14ac:dyDescent="0.25">
      <c r="A125" s="334"/>
      <c r="B125" s="335"/>
      <c r="C125" s="335"/>
      <c r="D125" s="365" t="s">
        <v>63</v>
      </c>
      <c r="E125" s="335" t="s">
        <v>30</v>
      </c>
      <c r="F125" s="337">
        <f>F131+F126</f>
        <v>654671250</v>
      </c>
      <c r="G125" s="344">
        <f>+G126+G131</f>
        <v>0</v>
      </c>
      <c r="H125" s="344">
        <f>+H126+H131</f>
        <v>0</v>
      </c>
      <c r="I125" s="344">
        <f t="shared" si="51"/>
        <v>0</v>
      </c>
      <c r="J125" s="344">
        <f>+J126+J131</f>
        <v>0</v>
      </c>
      <c r="K125" s="344">
        <f>+K131+K126</f>
        <v>150000</v>
      </c>
      <c r="L125" s="344">
        <f t="shared" si="54"/>
        <v>150000</v>
      </c>
      <c r="M125" s="344">
        <f t="shared" si="55"/>
        <v>150000</v>
      </c>
      <c r="N125" s="337">
        <f t="shared" si="53"/>
        <v>654521250</v>
      </c>
      <c r="P125" s="340"/>
      <c r="S125" s="347"/>
      <c r="T125" s="347"/>
      <c r="U125" s="342"/>
    </row>
    <row r="126" spans="1:21" s="339" customFormat="1" ht="18" customHeight="1" x14ac:dyDescent="0.25">
      <c r="A126" s="334"/>
      <c r="B126" s="335"/>
      <c r="C126" s="335"/>
      <c r="D126" s="365" t="s">
        <v>263</v>
      </c>
      <c r="E126" s="336" t="s">
        <v>264</v>
      </c>
      <c r="F126" s="337">
        <f>+F127</f>
        <v>137486250</v>
      </c>
      <c r="G126" s="344">
        <f>+G127</f>
        <v>0</v>
      </c>
      <c r="H126" s="344">
        <f>+H127</f>
        <v>0</v>
      </c>
      <c r="I126" s="344">
        <f t="shared" si="51"/>
        <v>0</v>
      </c>
      <c r="J126" s="344">
        <f>+J127</f>
        <v>0</v>
      </c>
      <c r="K126" s="344">
        <f>+K127</f>
        <v>150000</v>
      </c>
      <c r="L126" s="344">
        <f t="shared" si="54"/>
        <v>150000</v>
      </c>
      <c r="M126" s="344">
        <f t="shared" si="55"/>
        <v>150000</v>
      </c>
      <c r="N126" s="337">
        <f t="shared" si="53"/>
        <v>137336250</v>
      </c>
      <c r="P126" s="340"/>
      <c r="S126" s="347"/>
      <c r="T126" s="347"/>
      <c r="U126" s="342"/>
    </row>
    <row r="127" spans="1:21" s="339" customFormat="1" ht="18" customHeight="1" x14ac:dyDescent="0.25">
      <c r="A127" s="334"/>
      <c r="B127" s="335"/>
      <c r="C127" s="335"/>
      <c r="D127" s="365" t="s">
        <v>64</v>
      </c>
      <c r="E127" s="335" t="s">
        <v>65</v>
      </c>
      <c r="F127" s="337">
        <f>+F128+F129+F130</f>
        <v>137486250</v>
      </c>
      <c r="G127" s="344">
        <f>SUM(G128:G129)</f>
        <v>0</v>
      </c>
      <c r="H127" s="344">
        <f>SUM(H128:H129)</f>
        <v>0</v>
      </c>
      <c r="I127" s="344">
        <f t="shared" si="51"/>
        <v>0</v>
      </c>
      <c r="J127" s="344">
        <f>SUM(J128:J130)</f>
        <v>0</v>
      </c>
      <c r="K127" s="344">
        <f>SUM(K128:K130)</f>
        <v>150000</v>
      </c>
      <c r="L127" s="344">
        <f t="shared" si="54"/>
        <v>150000</v>
      </c>
      <c r="M127" s="344">
        <f t="shared" si="55"/>
        <v>150000</v>
      </c>
      <c r="N127" s="337">
        <f t="shared" si="53"/>
        <v>137336250</v>
      </c>
      <c r="P127" s="340"/>
      <c r="S127" s="347"/>
      <c r="T127" s="347"/>
      <c r="U127" s="342"/>
    </row>
    <row r="128" spans="1:21" s="339" customFormat="1" ht="18" customHeight="1" x14ac:dyDescent="0.25">
      <c r="A128" s="334"/>
      <c r="B128" s="335"/>
      <c r="C128" s="335"/>
      <c r="D128" s="365" t="s">
        <v>66</v>
      </c>
      <c r="E128" s="335" t="s">
        <v>67</v>
      </c>
      <c r="F128" s="337">
        <v>2756250</v>
      </c>
      <c r="G128" s="344"/>
      <c r="H128" s="344"/>
      <c r="I128" s="344">
        <f t="shared" si="51"/>
        <v>0</v>
      </c>
      <c r="J128" s="344"/>
      <c r="K128" s="344">
        <v>150000</v>
      </c>
      <c r="L128" s="344">
        <f t="shared" si="54"/>
        <v>150000</v>
      </c>
      <c r="M128" s="344">
        <f>+I128+L128</f>
        <v>150000</v>
      </c>
      <c r="N128" s="337">
        <f t="shared" si="53"/>
        <v>2606250</v>
      </c>
      <c r="P128" s="340"/>
      <c r="S128" s="346">
        <v>150000</v>
      </c>
      <c r="T128" s="347"/>
      <c r="U128" s="342"/>
    </row>
    <row r="129" spans="1:21" s="339" customFormat="1" ht="18" customHeight="1" x14ac:dyDescent="0.25">
      <c r="A129" s="334"/>
      <c r="B129" s="335"/>
      <c r="C129" s="335"/>
      <c r="D129" s="365" t="s">
        <v>369</v>
      </c>
      <c r="E129" s="335" t="s">
        <v>370</v>
      </c>
      <c r="F129" s="337">
        <v>7230000</v>
      </c>
      <c r="G129" s="344"/>
      <c r="H129" s="344"/>
      <c r="I129" s="344">
        <f t="shared" si="51"/>
        <v>0</v>
      </c>
      <c r="J129" s="344"/>
      <c r="K129" s="344"/>
      <c r="L129" s="344">
        <f t="shared" si="54"/>
        <v>0</v>
      </c>
      <c r="M129" s="344">
        <f>+I129+L129</f>
        <v>0</v>
      </c>
      <c r="N129" s="337">
        <f t="shared" si="53"/>
        <v>7230000</v>
      </c>
      <c r="P129" s="340"/>
      <c r="S129" s="347"/>
      <c r="T129" s="347"/>
      <c r="U129" s="342"/>
    </row>
    <row r="130" spans="1:21" s="339" customFormat="1" ht="18" customHeight="1" x14ac:dyDescent="0.25">
      <c r="A130" s="334"/>
      <c r="B130" s="335"/>
      <c r="C130" s="335"/>
      <c r="D130" s="365" t="s">
        <v>447</v>
      </c>
      <c r="E130" s="335" t="s">
        <v>448</v>
      </c>
      <c r="F130" s="337">
        <v>127500000</v>
      </c>
      <c r="G130" s="344"/>
      <c r="H130" s="344"/>
      <c r="I130" s="344">
        <f t="shared" si="51"/>
        <v>0</v>
      </c>
      <c r="J130" s="344"/>
      <c r="K130" s="344"/>
      <c r="L130" s="344">
        <f t="shared" si="54"/>
        <v>0</v>
      </c>
      <c r="M130" s="344">
        <f>+I130+L130</f>
        <v>0</v>
      </c>
      <c r="N130" s="337">
        <f t="shared" si="53"/>
        <v>127500000</v>
      </c>
      <c r="P130" s="340"/>
      <c r="S130" s="347"/>
      <c r="T130" s="347"/>
      <c r="U130" s="342"/>
    </row>
    <row r="131" spans="1:21" s="339" customFormat="1" ht="18" customHeight="1" x14ac:dyDescent="0.25">
      <c r="A131" s="334"/>
      <c r="B131" s="335"/>
      <c r="C131" s="335"/>
      <c r="D131" s="365" t="s">
        <v>265</v>
      </c>
      <c r="E131" s="335" t="s">
        <v>266</v>
      </c>
      <c r="F131" s="337">
        <f>+F132</f>
        <v>517185000</v>
      </c>
      <c r="G131" s="344">
        <f>+G132</f>
        <v>0</v>
      </c>
      <c r="H131" s="344">
        <f>+H132</f>
        <v>0</v>
      </c>
      <c r="I131" s="344">
        <f t="shared" si="51"/>
        <v>0</v>
      </c>
      <c r="J131" s="344">
        <f>+J132</f>
        <v>0</v>
      </c>
      <c r="K131" s="344">
        <f>+K132</f>
        <v>0</v>
      </c>
      <c r="L131" s="344">
        <f t="shared" si="54"/>
        <v>0</v>
      </c>
      <c r="M131" s="344">
        <f t="shared" ref="M131:M132" si="56">+I131+L131</f>
        <v>0</v>
      </c>
      <c r="N131" s="337">
        <f>+F131-M131</f>
        <v>517185000</v>
      </c>
      <c r="P131" s="340"/>
      <c r="S131" s="347"/>
      <c r="T131" s="347"/>
      <c r="U131" s="342"/>
    </row>
    <row r="132" spans="1:21" s="339" customFormat="1" ht="18" customHeight="1" x14ac:dyDescent="0.25">
      <c r="A132" s="334"/>
      <c r="B132" s="335"/>
      <c r="C132" s="335"/>
      <c r="D132" s="365" t="s">
        <v>71</v>
      </c>
      <c r="E132" s="335" t="s">
        <v>72</v>
      </c>
      <c r="F132" s="337">
        <f>SUM(F133:F136)</f>
        <v>517185000</v>
      </c>
      <c r="G132" s="344">
        <f>SUM(G133:G134)</f>
        <v>0</v>
      </c>
      <c r="H132" s="344">
        <f>SUM(H133:H134)</f>
        <v>0</v>
      </c>
      <c r="I132" s="344">
        <f t="shared" si="51"/>
        <v>0</v>
      </c>
      <c r="J132" s="344">
        <f>SUM(J133:J136)</f>
        <v>0</v>
      </c>
      <c r="K132" s="344">
        <f>SUM(K133:K136)</f>
        <v>0</v>
      </c>
      <c r="L132" s="344">
        <f>+J132+K132</f>
        <v>0</v>
      </c>
      <c r="M132" s="344">
        <f t="shared" si="56"/>
        <v>0</v>
      </c>
      <c r="N132" s="337">
        <f>+F132-M132</f>
        <v>517185000</v>
      </c>
      <c r="P132" s="340"/>
      <c r="S132" s="347"/>
      <c r="T132" s="347"/>
      <c r="U132" s="342"/>
    </row>
    <row r="133" spans="1:21" s="339" customFormat="1" ht="18" customHeight="1" x14ac:dyDescent="0.25">
      <c r="A133" s="334"/>
      <c r="B133" s="335"/>
      <c r="C133" s="335"/>
      <c r="D133" s="365" t="s">
        <v>73</v>
      </c>
      <c r="E133" s="335" t="s">
        <v>74</v>
      </c>
      <c r="F133" s="337">
        <v>128100000</v>
      </c>
      <c r="G133" s="344"/>
      <c r="H133" s="344"/>
      <c r="I133" s="344">
        <f t="shared" si="51"/>
        <v>0</v>
      </c>
      <c r="J133" s="344"/>
      <c r="K133" s="344"/>
      <c r="L133" s="344">
        <f t="shared" si="54"/>
        <v>0</v>
      </c>
      <c r="M133" s="344">
        <f>+I133+L133</f>
        <v>0</v>
      </c>
      <c r="N133" s="337">
        <f t="shared" ref="N133:N136" si="57">+F133-M133</f>
        <v>128100000</v>
      </c>
      <c r="P133" s="340"/>
      <c r="S133" s="346"/>
      <c r="T133" s="347"/>
      <c r="U133" s="342"/>
    </row>
    <row r="134" spans="1:21" s="339" customFormat="1" ht="18" customHeight="1" x14ac:dyDescent="0.25">
      <c r="A134" s="334"/>
      <c r="B134" s="335"/>
      <c r="C134" s="335"/>
      <c r="D134" s="365" t="s">
        <v>88</v>
      </c>
      <c r="E134" s="335" t="s">
        <v>89</v>
      </c>
      <c r="F134" s="337">
        <v>79635000</v>
      </c>
      <c r="G134" s="344"/>
      <c r="H134" s="344"/>
      <c r="I134" s="344">
        <f t="shared" si="51"/>
        <v>0</v>
      </c>
      <c r="J134" s="344"/>
      <c r="K134" s="344"/>
      <c r="L134" s="344">
        <f t="shared" si="54"/>
        <v>0</v>
      </c>
      <c r="M134" s="344">
        <f t="shared" ref="M134" si="58">+I134+L134</f>
        <v>0</v>
      </c>
      <c r="N134" s="337">
        <f t="shared" si="57"/>
        <v>79635000</v>
      </c>
      <c r="P134" s="340"/>
      <c r="S134" s="346"/>
      <c r="T134" s="347"/>
      <c r="U134" s="342"/>
    </row>
    <row r="135" spans="1:21" s="339" customFormat="1" ht="18" customHeight="1" x14ac:dyDescent="0.25">
      <c r="A135" s="334"/>
      <c r="B135" s="335"/>
      <c r="C135" s="335"/>
      <c r="D135" s="365" t="s">
        <v>445</v>
      </c>
      <c r="E135" s="335" t="s">
        <v>446</v>
      </c>
      <c r="F135" s="337">
        <v>241950000</v>
      </c>
      <c r="G135" s="344"/>
      <c r="H135" s="344"/>
      <c r="I135" s="344">
        <f t="shared" si="51"/>
        <v>0</v>
      </c>
      <c r="J135" s="344"/>
      <c r="K135" s="344"/>
      <c r="L135" s="344">
        <f t="shared" si="54"/>
        <v>0</v>
      </c>
      <c r="M135" s="344">
        <f>+I135+L135</f>
        <v>0</v>
      </c>
      <c r="N135" s="337">
        <f t="shared" si="57"/>
        <v>241950000</v>
      </c>
      <c r="P135" s="340"/>
      <c r="S135" s="347"/>
      <c r="T135" s="347"/>
      <c r="U135" s="342"/>
    </row>
    <row r="136" spans="1:21" s="339" customFormat="1" ht="18" customHeight="1" x14ac:dyDescent="0.25">
      <c r="A136" s="334"/>
      <c r="B136" s="335"/>
      <c r="C136" s="335"/>
      <c r="D136" s="365" t="s">
        <v>107</v>
      </c>
      <c r="E136" s="335" t="s">
        <v>108</v>
      </c>
      <c r="F136" s="337">
        <v>67500000</v>
      </c>
      <c r="G136" s="344"/>
      <c r="H136" s="344"/>
      <c r="I136" s="344">
        <f t="shared" si="51"/>
        <v>0</v>
      </c>
      <c r="J136" s="344"/>
      <c r="K136" s="344"/>
      <c r="L136" s="344">
        <f t="shared" si="54"/>
        <v>0</v>
      </c>
      <c r="M136" s="344">
        <f>+I136+L136</f>
        <v>0</v>
      </c>
      <c r="N136" s="337">
        <f t="shared" si="57"/>
        <v>67500000</v>
      </c>
      <c r="P136" s="340"/>
      <c r="S136" s="347"/>
      <c r="T136" s="347"/>
      <c r="U136" s="342"/>
    </row>
    <row r="137" spans="1:21" s="153" customFormat="1" ht="18" customHeight="1" x14ac:dyDescent="0.25">
      <c r="A137" s="353"/>
      <c r="B137" s="355"/>
      <c r="C137" s="355"/>
      <c r="D137" s="355"/>
      <c r="E137" s="355"/>
      <c r="F137" s="356"/>
      <c r="G137" s="357"/>
      <c r="H137" s="357"/>
      <c r="I137" s="357"/>
      <c r="J137" s="357"/>
      <c r="K137" s="357"/>
      <c r="L137" s="357"/>
      <c r="M137" s="357"/>
      <c r="N137" s="356"/>
      <c r="P137" s="200"/>
      <c r="S137" s="221"/>
      <c r="T137" s="221"/>
      <c r="U137" s="254"/>
    </row>
    <row r="138" spans="1:21" s="319" customFormat="1" ht="18" customHeight="1" x14ac:dyDescent="0.25">
      <c r="A138" s="276"/>
      <c r="B138" s="305" t="s">
        <v>380</v>
      </c>
      <c r="C138" s="305"/>
      <c r="D138" s="305"/>
      <c r="E138" s="305" t="s">
        <v>381</v>
      </c>
      <c r="F138" s="359">
        <f>+F139+F165+F173+F184+F206</f>
        <v>4317651500</v>
      </c>
      <c r="G138" s="360">
        <f>+G139+G165+G173+G184+G206</f>
        <v>0</v>
      </c>
      <c r="H138" s="360">
        <f>+H139+H165+H173+H184+H206</f>
        <v>142125000</v>
      </c>
      <c r="I138" s="360">
        <f t="shared" ref="I138:I164" si="59">+G138+H138</f>
        <v>142125000</v>
      </c>
      <c r="J138" s="360">
        <f>+J139+J165+J173+J184+J206</f>
        <v>7840000</v>
      </c>
      <c r="K138" s="360">
        <f>+K139+K165+K173+K184+K206</f>
        <v>109890600</v>
      </c>
      <c r="L138" s="360">
        <f t="shared" ref="L138:L146" si="60">+J138+K138</f>
        <v>117730600</v>
      </c>
      <c r="M138" s="360">
        <f t="shared" ref="M138" si="61">+I138+L138</f>
        <v>259855600</v>
      </c>
      <c r="N138" s="359">
        <f t="shared" ref="N138:N146" si="62">+F138-M138</f>
        <v>4057795900</v>
      </c>
      <c r="P138" s="361"/>
      <c r="R138" s="321"/>
      <c r="S138" s="362"/>
      <c r="T138" s="362"/>
      <c r="U138" s="350"/>
    </row>
    <row r="139" spans="1:21" s="319" customFormat="1" ht="18" customHeight="1" x14ac:dyDescent="0.25">
      <c r="A139" s="276">
        <v>6</v>
      </c>
      <c r="B139" s="305"/>
      <c r="C139" s="305" t="s">
        <v>90</v>
      </c>
      <c r="D139" s="363"/>
      <c r="E139" s="364" t="s">
        <v>91</v>
      </c>
      <c r="F139" s="307">
        <f>+F140+F147</f>
        <v>1165936000</v>
      </c>
      <c r="G139" s="308">
        <f>+G140+G147</f>
        <v>0</v>
      </c>
      <c r="H139" s="308">
        <f>+H140+H147</f>
        <v>0</v>
      </c>
      <c r="I139" s="308">
        <f t="shared" si="59"/>
        <v>0</v>
      </c>
      <c r="J139" s="308">
        <f>+J140+J147</f>
        <v>0</v>
      </c>
      <c r="K139" s="308">
        <f>+K140+K147</f>
        <v>0</v>
      </c>
      <c r="L139" s="308">
        <f t="shared" si="60"/>
        <v>0</v>
      </c>
      <c r="M139" s="308">
        <f>+I139+L139</f>
        <v>0</v>
      </c>
      <c r="N139" s="307">
        <f t="shared" si="62"/>
        <v>1165936000</v>
      </c>
      <c r="P139" s="320"/>
      <c r="R139" s="321"/>
      <c r="S139" s="349"/>
      <c r="T139" s="349"/>
      <c r="U139" s="350"/>
    </row>
    <row r="140" spans="1:21" s="329" customFormat="1" ht="18" customHeight="1" x14ac:dyDescent="0.25">
      <c r="A140" s="323"/>
      <c r="B140" s="324"/>
      <c r="C140" s="379"/>
      <c r="D140" s="325" t="s">
        <v>207</v>
      </c>
      <c r="E140" s="326" t="s">
        <v>262</v>
      </c>
      <c r="F140" s="327">
        <f>+F141</f>
        <v>39736000</v>
      </c>
      <c r="G140" s="328">
        <f>+G141</f>
        <v>0</v>
      </c>
      <c r="H140" s="328">
        <f>+H141</f>
        <v>0</v>
      </c>
      <c r="I140" s="328">
        <f t="shared" si="59"/>
        <v>0</v>
      </c>
      <c r="J140" s="328">
        <f t="shared" ref="J140:K142" si="63">+J141</f>
        <v>0</v>
      </c>
      <c r="K140" s="328">
        <f t="shared" si="63"/>
        <v>0</v>
      </c>
      <c r="L140" s="328">
        <f t="shared" si="60"/>
        <v>0</v>
      </c>
      <c r="M140" s="328">
        <f t="shared" ref="M140:M164" si="64">+I140+L140</f>
        <v>0</v>
      </c>
      <c r="N140" s="327">
        <f t="shared" si="62"/>
        <v>39736000</v>
      </c>
      <c r="P140" s="330"/>
      <c r="R140" s="331"/>
      <c r="S140" s="351"/>
      <c r="T140" s="351"/>
      <c r="U140" s="333"/>
    </row>
    <row r="141" spans="1:21" s="381" customFormat="1" ht="18" customHeight="1" x14ac:dyDescent="0.25">
      <c r="A141" s="380"/>
      <c r="B141" s="352"/>
      <c r="C141" s="334"/>
      <c r="D141" s="335" t="s">
        <v>63</v>
      </c>
      <c r="E141" s="335" t="s">
        <v>30</v>
      </c>
      <c r="F141" s="337">
        <f>+F142</f>
        <v>39736000</v>
      </c>
      <c r="G141" s="344">
        <f t="shared" ref="G141:H142" si="65">+G142</f>
        <v>0</v>
      </c>
      <c r="H141" s="344">
        <f t="shared" si="65"/>
        <v>0</v>
      </c>
      <c r="I141" s="344">
        <f t="shared" si="59"/>
        <v>0</v>
      </c>
      <c r="J141" s="344">
        <f t="shared" si="63"/>
        <v>0</v>
      </c>
      <c r="K141" s="344">
        <f t="shared" si="63"/>
        <v>0</v>
      </c>
      <c r="L141" s="344">
        <f t="shared" si="60"/>
        <v>0</v>
      </c>
      <c r="M141" s="344">
        <f t="shared" si="64"/>
        <v>0</v>
      </c>
      <c r="N141" s="337">
        <f t="shared" si="62"/>
        <v>39736000</v>
      </c>
      <c r="P141" s="340"/>
      <c r="S141" s="347"/>
      <c r="T141" s="347"/>
      <c r="U141" s="382"/>
    </row>
    <row r="142" spans="1:21" s="339" customFormat="1" ht="18" customHeight="1" x14ac:dyDescent="0.25">
      <c r="A142" s="334"/>
      <c r="B142" s="335"/>
      <c r="C142" s="334"/>
      <c r="D142" s="365" t="s">
        <v>263</v>
      </c>
      <c r="E142" s="335" t="s">
        <v>264</v>
      </c>
      <c r="F142" s="337">
        <f>+F143</f>
        <v>39736000</v>
      </c>
      <c r="G142" s="344">
        <f t="shared" si="65"/>
        <v>0</v>
      </c>
      <c r="H142" s="344">
        <f t="shared" si="65"/>
        <v>0</v>
      </c>
      <c r="I142" s="344">
        <f t="shared" si="59"/>
        <v>0</v>
      </c>
      <c r="J142" s="344">
        <f t="shared" si="63"/>
        <v>0</v>
      </c>
      <c r="K142" s="344">
        <f t="shared" si="63"/>
        <v>0</v>
      </c>
      <c r="L142" s="344">
        <f t="shared" si="60"/>
        <v>0</v>
      </c>
      <c r="M142" s="344">
        <f t="shared" si="64"/>
        <v>0</v>
      </c>
      <c r="N142" s="337">
        <f t="shared" si="62"/>
        <v>39736000</v>
      </c>
      <c r="P142" s="340"/>
      <c r="S142" s="347"/>
      <c r="T142" s="347"/>
      <c r="U142" s="342"/>
    </row>
    <row r="143" spans="1:21" s="381" customFormat="1" ht="18" customHeight="1" x14ac:dyDescent="0.25">
      <c r="A143" s="380"/>
      <c r="B143" s="352"/>
      <c r="C143" s="334"/>
      <c r="D143" s="335" t="s">
        <v>64</v>
      </c>
      <c r="E143" s="335" t="s">
        <v>65</v>
      </c>
      <c r="F143" s="337">
        <f>F145+F144+F146</f>
        <v>39736000</v>
      </c>
      <c r="G143" s="344">
        <f>+G145</f>
        <v>0</v>
      </c>
      <c r="H143" s="344">
        <f>+H145</f>
        <v>0</v>
      </c>
      <c r="I143" s="344">
        <f t="shared" si="59"/>
        <v>0</v>
      </c>
      <c r="J143" s="344">
        <f>+J145</f>
        <v>0</v>
      </c>
      <c r="K143" s="344">
        <f>+K145</f>
        <v>0</v>
      </c>
      <c r="L143" s="344">
        <f t="shared" si="60"/>
        <v>0</v>
      </c>
      <c r="M143" s="344">
        <f t="shared" si="64"/>
        <v>0</v>
      </c>
      <c r="N143" s="337">
        <f t="shared" si="62"/>
        <v>39736000</v>
      </c>
      <c r="P143" s="340"/>
      <c r="S143" s="347"/>
      <c r="T143" s="347"/>
      <c r="U143" s="382"/>
    </row>
    <row r="144" spans="1:21" s="381" customFormat="1" ht="18" customHeight="1" x14ac:dyDescent="0.25">
      <c r="A144" s="380"/>
      <c r="B144" s="352"/>
      <c r="C144" s="334"/>
      <c r="D144" s="335" t="s">
        <v>66</v>
      </c>
      <c r="E144" s="335" t="s">
        <v>67</v>
      </c>
      <c r="F144" s="337">
        <v>13500</v>
      </c>
      <c r="G144" s="344"/>
      <c r="H144" s="344"/>
      <c r="I144" s="344">
        <f t="shared" si="59"/>
        <v>0</v>
      </c>
      <c r="J144" s="344"/>
      <c r="K144" s="344"/>
      <c r="L144" s="344">
        <f t="shared" si="60"/>
        <v>0</v>
      </c>
      <c r="M144" s="344">
        <f t="shared" si="64"/>
        <v>0</v>
      </c>
      <c r="N144" s="337">
        <f t="shared" si="62"/>
        <v>13500</v>
      </c>
      <c r="P144" s="340"/>
      <c r="S144" s="347"/>
      <c r="T144" s="347"/>
      <c r="U144" s="382"/>
    </row>
    <row r="145" spans="1:21" s="381" customFormat="1" ht="18" customHeight="1" x14ac:dyDescent="0.25">
      <c r="A145" s="380"/>
      <c r="B145" s="352"/>
      <c r="C145" s="334"/>
      <c r="D145" s="335" t="s">
        <v>339</v>
      </c>
      <c r="E145" s="335" t="s">
        <v>340</v>
      </c>
      <c r="F145" s="337">
        <v>29175000</v>
      </c>
      <c r="G145" s="344"/>
      <c r="H145" s="344"/>
      <c r="I145" s="344">
        <f t="shared" si="59"/>
        <v>0</v>
      </c>
      <c r="J145" s="344"/>
      <c r="K145" s="344"/>
      <c r="L145" s="344">
        <f t="shared" si="60"/>
        <v>0</v>
      </c>
      <c r="M145" s="344">
        <f t="shared" si="64"/>
        <v>0</v>
      </c>
      <c r="N145" s="337">
        <f t="shared" si="62"/>
        <v>29175000</v>
      </c>
      <c r="P145" s="340"/>
      <c r="S145" s="347"/>
      <c r="T145" s="347"/>
      <c r="U145" s="382"/>
    </row>
    <row r="146" spans="1:21" s="381" customFormat="1" ht="18" customHeight="1" x14ac:dyDescent="0.25">
      <c r="A146" s="380"/>
      <c r="B146" s="352"/>
      <c r="C146" s="334"/>
      <c r="D146" s="335" t="s">
        <v>371</v>
      </c>
      <c r="E146" s="335" t="s">
        <v>372</v>
      </c>
      <c r="F146" s="337">
        <v>10547500</v>
      </c>
      <c r="G146" s="344"/>
      <c r="H146" s="344"/>
      <c r="I146" s="344">
        <f t="shared" si="59"/>
        <v>0</v>
      </c>
      <c r="J146" s="344"/>
      <c r="K146" s="344"/>
      <c r="L146" s="344">
        <f t="shared" si="60"/>
        <v>0</v>
      </c>
      <c r="M146" s="344">
        <f t="shared" si="64"/>
        <v>0</v>
      </c>
      <c r="N146" s="337">
        <f t="shared" si="62"/>
        <v>10547500</v>
      </c>
      <c r="P146" s="340"/>
      <c r="S146" s="347"/>
      <c r="T146" s="347"/>
      <c r="U146" s="382"/>
    </row>
    <row r="147" spans="1:21" s="381" customFormat="1" ht="18" customHeight="1" x14ac:dyDescent="0.25">
      <c r="A147" s="380"/>
      <c r="B147" s="383"/>
      <c r="C147" s="384"/>
      <c r="D147" s="365" t="s">
        <v>267</v>
      </c>
      <c r="E147" s="335" t="s">
        <v>268</v>
      </c>
      <c r="F147" s="337">
        <f>+F148</f>
        <v>1126200000</v>
      </c>
      <c r="G147" s="344">
        <f>+G148</f>
        <v>0</v>
      </c>
      <c r="H147" s="344">
        <f>+H148</f>
        <v>0</v>
      </c>
      <c r="I147" s="344">
        <f>+G147+H147</f>
        <v>0</v>
      </c>
      <c r="J147" s="344">
        <f>+J148</f>
        <v>0</v>
      </c>
      <c r="K147" s="344">
        <f>+K148</f>
        <v>0</v>
      </c>
      <c r="L147" s="344">
        <f>+J147+K147</f>
        <v>0</v>
      </c>
      <c r="M147" s="344">
        <f t="shared" si="64"/>
        <v>0</v>
      </c>
      <c r="N147" s="337">
        <f>+F147-M147</f>
        <v>1126200000</v>
      </c>
      <c r="P147" s="340"/>
      <c r="R147" s="385"/>
      <c r="S147" s="347"/>
      <c r="T147" s="347"/>
      <c r="U147" s="382"/>
    </row>
    <row r="148" spans="1:21" s="381" customFormat="1" ht="18" customHeight="1" x14ac:dyDescent="0.25">
      <c r="A148" s="380"/>
      <c r="B148" s="352"/>
      <c r="C148" s="334"/>
      <c r="D148" s="335" t="s">
        <v>78</v>
      </c>
      <c r="E148" s="335" t="s">
        <v>75</v>
      </c>
      <c r="F148" s="337">
        <f>+F149+F159+F156</f>
        <v>1126200000</v>
      </c>
      <c r="G148" s="344">
        <f>+G149+G159</f>
        <v>0</v>
      </c>
      <c r="H148" s="344">
        <f>+H149+H159</f>
        <v>0</v>
      </c>
      <c r="I148" s="344">
        <f>+G148+H148</f>
        <v>0</v>
      </c>
      <c r="J148" s="344">
        <f>+J149+J159</f>
        <v>0</v>
      </c>
      <c r="K148" s="344">
        <f>+K149+K159</f>
        <v>0</v>
      </c>
      <c r="L148" s="344">
        <f>+J148+K148</f>
        <v>0</v>
      </c>
      <c r="M148" s="344">
        <f t="shared" si="64"/>
        <v>0</v>
      </c>
      <c r="N148" s="337">
        <f>+F148-M148</f>
        <v>1126200000</v>
      </c>
      <c r="P148" s="340"/>
      <c r="S148" s="347"/>
      <c r="T148" s="347"/>
      <c r="U148" s="382"/>
    </row>
    <row r="149" spans="1:21" s="339" customFormat="1" ht="18" customHeight="1" x14ac:dyDescent="0.25">
      <c r="A149" s="334"/>
      <c r="B149" s="335"/>
      <c r="C149" s="334"/>
      <c r="D149" s="365" t="s">
        <v>269</v>
      </c>
      <c r="E149" s="335" t="s">
        <v>270</v>
      </c>
      <c r="F149" s="337">
        <f>+F153+F150</f>
        <v>385400000</v>
      </c>
      <c r="G149" s="344">
        <f>+G153</f>
        <v>0</v>
      </c>
      <c r="H149" s="344">
        <f>+H153</f>
        <v>0</v>
      </c>
      <c r="I149" s="344">
        <f>+G149+H149</f>
        <v>0</v>
      </c>
      <c r="J149" s="344">
        <f>+J153</f>
        <v>0</v>
      </c>
      <c r="K149" s="344">
        <f>+K153+K150</f>
        <v>0</v>
      </c>
      <c r="L149" s="344">
        <f>+J149+K149</f>
        <v>0</v>
      </c>
      <c r="M149" s="344">
        <f t="shared" si="64"/>
        <v>0</v>
      </c>
      <c r="N149" s="337">
        <f>+F149-M149</f>
        <v>385400000</v>
      </c>
      <c r="P149" s="340"/>
      <c r="S149" s="347"/>
      <c r="T149" s="347"/>
      <c r="U149" s="342"/>
    </row>
    <row r="150" spans="1:21" s="381" customFormat="1" ht="18" customHeight="1" x14ac:dyDescent="0.25">
      <c r="A150" s="380"/>
      <c r="B150" s="352"/>
      <c r="C150" s="334"/>
      <c r="D150" s="335" t="s">
        <v>76</v>
      </c>
      <c r="E150" s="335" t="s">
        <v>484</v>
      </c>
      <c r="F150" s="337">
        <f>F151+F152</f>
        <v>180100000</v>
      </c>
      <c r="G150" s="344">
        <f>G151</f>
        <v>0</v>
      </c>
      <c r="H150" s="344">
        <f>+H151</f>
        <v>0</v>
      </c>
      <c r="I150" s="344">
        <f>+G150+H150</f>
        <v>0</v>
      </c>
      <c r="J150" s="344">
        <f>J151</f>
        <v>0</v>
      </c>
      <c r="K150" s="344">
        <f>+K151</f>
        <v>0</v>
      </c>
      <c r="L150" s="344">
        <f>+J150+K150</f>
        <v>0</v>
      </c>
      <c r="M150" s="344">
        <f t="shared" si="64"/>
        <v>0</v>
      </c>
      <c r="N150" s="337">
        <f>+F150-M150</f>
        <v>180100000</v>
      </c>
      <c r="P150" s="340"/>
      <c r="S150" s="347"/>
      <c r="T150" s="347"/>
      <c r="U150" s="382"/>
    </row>
    <row r="151" spans="1:21" s="381" customFormat="1" ht="18" customHeight="1" x14ac:dyDescent="0.25">
      <c r="A151" s="380"/>
      <c r="B151" s="352"/>
      <c r="C151" s="334"/>
      <c r="D151" s="335" t="s">
        <v>393</v>
      </c>
      <c r="E151" s="335" t="s">
        <v>394</v>
      </c>
      <c r="F151" s="337">
        <v>99600000</v>
      </c>
      <c r="G151" s="344"/>
      <c r="H151" s="344"/>
      <c r="I151" s="344">
        <f t="shared" ref="I151:I152" si="66">+G151+H151</f>
        <v>0</v>
      </c>
      <c r="J151" s="344"/>
      <c r="K151" s="344"/>
      <c r="L151" s="344">
        <f t="shared" ref="L151:L152" si="67">+J151+K151</f>
        <v>0</v>
      </c>
      <c r="M151" s="344">
        <f t="shared" si="64"/>
        <v>0</v>
      </c>
      <c r="N151" s="337">
        <f t="shared" ref="N151:N152" si="68">+F151-M151</f>
        <v>99600000</v>
      </c>
      <c r="P151" s="340"/>
      <c r="S151" s="346"/>
      <c r="T151" s="347"/>
      <c r="U151" s="382"/>
    </row>
    <row r="152" spans="1:21" s="381" customFormat="1" ht="18" customHeight="1" x14ac:dyDescent="0.25">
      <c r="A152" s="380"/>
      <c r="B152" s="352"/>
      <c r="C152" s="334"/>
      <c r="D152" s="335" t="s">
        <v>117</v>
      </c>
      <c r="E152" s="335" t="s">
        <v>118</v>
      </c>
      <c r="F152" s="337">
        <v>80500000</v>
      </c>
      <c r="G152" s="344"/>
      <c r="H152" s="344"/>
      <c r="I152" s="344">
        <f t="shared" si="66"/>
        <v>0</v>
      </c>
      <c r="J152" s="344"/>
      <c r="K152" s="344"/>
      <c r="L152" s="344">
        <f t="shared" si="67"/>
        <v>0</v>
      </c>
      <c r="M152" s="344">
        <f t="shared" si="64"/>
        <v>0</v>
      </c>
      <c r="N152" s="337">
        <f t="shared" si="68"/>
        <v>80500000</v>
      </c>
      <c r="P152" s="340"/>
      <c r="S152" s="346"/>
      <c r="T152" s="347"/>
      <c r="U152" s="382"/>
    </row>
    <row r="153" spans="1:21" s="381" customFormat="1" ht="18" customHeight="1" x14ac:dyDescent="0.25">
      <c r="A153" s="380"/>
      <c r="B153" s="352"/>
      <c r="C153" s="334"/>
      <c r="D153" s="335" t="s">
        <v>92</v>
      </c>
      <c r="E153" s="335" t="s">
        <v>94</v>
      </c>
      <c r="F153" s="337">
        <f>F154+F155</f>
        <v>205300000</v>
      </c>
      <c r="G153" s="344">
        <f>+G154+G155</f>
        <v>0</v>
      </c>
      <c r="H153" s="344">
        <f>+H154+H155</f>
        <v>0</v>
      </c>
      <c r="I153" s="344">
        <f>+G153+H153</f>
        <v>0</v>
      </c>
      <c r="J153" s="344">
        <f>J154+J155</f>
        <v>0</v>
      </c>
      <c r="K153" s="344">
        <f>+K154+K155</f>
        <v>0</v>
      </c>
      <c r="L153" s="344">
        <f>+J153+K153</f>
        <v>0</v>
      </c>
      <c r="M153" s="344">
        <f t="shared" si="64"/>
        <v>0</v>
      </c>
      <c r="N153" s="337">
        <f>+F153-M153</f>
        <v>205300000</v>
      </c>
      <c r="P153" s="340"/>
      <c r="S153" s="347"/>
      <c r="T153" s="347"/>
      <c r="U153" s="382"/>
    </row>
    <row r="154" spans="1:21" s="381" customFormat="1" ht="18" customHeight="1" x14ac:dyDescent="0.25">
      <c r="A154" s="380"/>
      <c r="B154" s="352"/>
      <c r="C154" s="334"/>
      <c r="D154" s="335" t="s">
        <v>93</v>
      </c>
      <c r="E154" s="335" t="s">
        <v>95</v>
      </c>
      <c r="F154" s="337">
        <v>180000000</v>
      </c>
      <c r="G154" s="344"/>
      <c r="H154" s="344"/>
      <c r="I154" s="344">
        <f t="shared" ref="I154:I155" si="69">+G154+H154</f>
        <v>0</v>
      </c>
      <c r="J154" s="344"/>
      <c r="K154" s="344"/>
      <c r="L154" s="344">
        <f t="shared" ref="L154:L164" si="70">+J154+K154</f>
        <v>0</v>
      </c>
      <c r="M154" s="344">
        <f t="shared" si="64"/>
        <v>0</v>
      </c>
      <c r="N154" s="337">
        <f t="shared" ref="N154:N155" si="71">+F154-M154</f>
        <v>180000000</v>
      </c>
      <c r="P154" s="340"/>
      <c r="S154" s="347"/>
      <c r="T154" s="347"/>
      <c r="U154" s="382"/>
    </row>
    <row r="155" spans="1:21" s="381" customFormat="1" ht="18" customHeight="1" x14ac:dyDescent="0.25">
      <c r="A155" s="380"/>
      <c r="B155" s="352"/>
      <c r="C155" s="334"/>
      <c r="D155" s="335" t="s">
        <v>397</v>
      </c>
      <c r="E155" s="335" t="s">
        <v>398</v>
      </c>
      <c r="F155" s="337">
        <v>25300000</v>
      </c>
      <c r="G155" s="344"/>
      <c r="H155" s="344"/>
      <c r="I155" s="344">
        <f t="shared" si="69"/>
        <v>0</v>
      </c>
      <c r="J155" s="344"/>
      <c r="K155" s="344"/>
      <c r="L155" s="344">
        <f t="shared" si="70"/>
        <v>0</v>
      </c>
      <c r="M155" s="344">
        <f t="shared" si="64"/>
        <v>0</v>
      </c>
      <c r="N155" s="337">
        <f t="shared" si="71"/>
        <v>25300000</v>
      </c>
      <c r="P155" s="340"/>
      <c r="S155" s="347"/>
      <c r="T155" s="347"/>
      <c r="U155" s="382"/>
    </row>
    <row r="156" spans="1:21" s="339" customFormat="1" ht="18" customHeight="1" x14ac:dyDescent="0.25">
      <c r="A156" s="334"/>
      <c r="B156" s="335"/>
      <c r="C156" s="334"/>
      <c r="D156" s="365" t="s">
        <v>399</v>
      </c>
      <c r="E156" s="335" t="s">
        <v>400</v>
      </c>
      <c r="F156" s="337">
        <f>+F157</f>
        <v>200000000</v>
      </c>
      <c r="G156" s="344">
        <f>+G160</f>
        <v>0</v>
      </c>
      <c r="H156" s="344">
        <f>+H160</f>
        <v>0</v>
      </c>
      <c r="I156" s="344">
        <f>+G156+H156</f>
        <v>0</v>
      </c>
      <c r="J156" s="344">
        <f>+J160</f>
        <v>0</v>
      </c>
      <c r="K156" s="344">
        <f>+K160+K157</f>
        <v>0</v>
      </c>
      <c r="L156" s="344">
        <f>+J156+K156</f>
        <v>0</v>
      </c>
      <c r="M156" s="344">
        <f t="shared" si="64"/>
        <v>0</v>
      </c>
      <c r="N156" s="337">
        <f>+F156-M156</f>
        <v>200000000</v>
      </c>
      <c r="P156" s="340"/>
      <c r="S156" s="347"/>
      <c r="T156" s="347"/>
      <c r="U156" s="342"/>
    </row>
    <row r="157" spans="1:21" s="381" customFormat="1" ht="18" customHeight="1" x14ac:dyDescent="0.25">
      <c r="A157" s="380"/>
      <c r="B157" s="352"/>
      <c r="C157" s="334"/>
      <c r="D157" s="335" t="s">
        <v>401</v>
      </c>
      <c r="E157" s="335" t="s">
        <v>402</v>
      </c>
      <c r="F157" s="337">
        <f>+F158</f>
        <v>200000000</v>
      </c>
      <c r="G157" s="344">
        <f>G158</f>
        <v>0</v>
      </c>
      <c r="H157" s="344">
        <f>+H158</f>
        <v>0</v>
      </c>
      <c r="I157" s="344">
        <f>+G157+H157</f>
        <v>0</v>
      </c>
      <c r="J157" s="344">
        <f>J158</f>
        <v>0</v>
      </c>
      <c r="K157" s="344">
        <f>+K158</f>
        <v>0</v>
      </c>
      <c r="L157" s="344">
        <f>+J157+K157</f>
        <v>0</v>
      </c>
      <c r="M157" s="344">
        <f t="shared" si="64"/>
        <v>0</v>
      </c>
      <c r="N157" s="337">
        <f>+F157-M157</f>
        <v>200000000</v>
      </c>
      <c r="P157" s="340"/>
      <c r="S157" s="347"/>
      <c r="T157" s="347"/>
      <c r="U157" s="382"/>
    </row>
    <row r="158" spans="1:21" s="381" customFormat="1" ht="18" customHeight="1" x14ac:dyDescent="0.25">
      <c r="A158" s="380"/>
      <c r="B158" s="352"/>
      <c r="C158" s="334"/>
      <c r="D158" s="335" t="s">
        <v>459</v>
      </c>
      <c r="E158" s="335" t="s">
        <v>460</v>
      </c>
      <c r="F158" s="337">
        <v>200000000</v>
      </c>
      <c r="G158" s="344"/>
      <c r="H158" s="344"/>
      <c r="I158" s="344">
        <f t="shared" ref="I158" si="72">+G158+H158</f>
        <v>0</v>
      </c>
      <c r="J158" s="344"/>
      <c r="K158" s="344"/>
      <c r="L158" s="344">
        <f t="shared" ref="L158" si="73">+J158+K158</f>
        <v>0</v>
      </c>
      <c r="M158" s="344">
        <f t="shared" si="64"/>
        <v>0</v>
      </c>
      <c r="N158" s="337">
        <f t="shared" ref="N158" si="74">+F158-M158</f>
        <v>200000000</v>
      </c>
      <c r="P158" s="340"/>
      <c r="S158" s="346"/>
      <c r="T158" s="347"/>
      <c r="U158" s="382"/>
    </row>
    <row r="159" spans="1:21" s="339" customFormat="1" ht="18" customHeight="1" x14ac:dyDescent="0.25">
      <c r="A159" s="334"/>
      <c r="B159" s="335"/>
      <c r="C159" s="334"/>
      <c r="D159" s="365" t="s">
        <v>273</v>
      </c>
      <c r="E159" s="335" t="s">
        <v>274</v>
      </c>
      <c r="F159" s="337">
        <f>+F160+F162</f>
        <v>540800000</v>
      </c>
      <c r="G159" s="344">
        <f>+G160+G162</f>
        <v>0</v>
      </c>
      <c r="H159" s="344">
        <f>+H160+H162</f>
        <v>0</v>
      </c>
      <c r="I159" s="344">
        <f>+G159+H159</f>
        <v>0</v>
      </c>
      <c r="J159" s="344">
        <f t="shared" ref="J159:K160" si="75">+J160</f>
        <v>0</v>
      </c>
      <c r="K159" s="344">
        <f t="shared" si="75"/>
        <v>0</v>
      </c>
      <c r="L159" s="344">
        <f t="shared" si="70"/>
        <v>0</v>
      </c>
      <c r="M159" s="344">
        <f t="shared" si="64"/>
        <v>0</v>
      </c>
      <c r="N159" s="337">
        <f>+F159-M159</f>
        <v>540800000</v>
      </c>
      <c r="P159" s="340"/>
      <c r="S159" s="347"/>
      <c r="T159" s="347"/>
      <c r="U159" s="342"/>
    </row>
    <row r="160" spans="1:21" s="381" customFormat="1" ht="18" customHeight="1" x14ac:dyDescent="0.25">
      <c r="A160" s="380"/>
      <c r="B160" s="352"/>
      <c r="C160" s="334"/>
      <c r="D160" s="335" t="s">
        <v>96</v>
      </c>
      <c r="E160" s="335" t="s">
        <v>98</v>
      </c>
      <c r="F160" s="337">
        <f>F161</f>
        <v>335000000</v>
      </c>
      <c r="G160" s="344">
        <f>+G161</f>
        <v>0</v>
      </c>
      <c r="H160" s="344">
        <f>+H161</f>
        <v>0</v>
      </c>
      <c r="I160" s="344">
        <f>+G160+H160</f>
        <v>0</v>
      </c>
      <c r="J160" s="344">
        <f>+J161</f>
        <v>0</v>
      </c>
      <c r="K160" s="344">
        <f t="shared" si="75"/>
        <v>0</v>
      </c>
      <c r="L160" s="344">
        <f t="shared" si="70"/>
        <v>0</v>
      </c>
      <c r="M160" s="344">
        <f t="shared" si="64"/>
        <v>0</v>
      </c>
      <c r="N160" s="337">
        <f>+F160-M160</f>
        <v>335000000</v>
      </c>
      <c r="P160" s="340"/>
      <c r="S160" s="347"/>
      <c r="T160" s="347"/>
      <c r="U160" s="382"/>
    </row>
    <row r="161" spans="1:21" s="381" customFormat="1" ht="18" customHeight="1" x14ac:dyDescent="0.25">
      <c r="A161" s="380"/>
      <c r="B161" s="352"/>
      <c r="C161" s="334"/>
      <c r="D161" s="335" t="s">
        <v>97</v>
      </c>
      <c r="E161" s="335" t="s">
        <v>99</v>
      </c>
      <c r="F161" s="337">
        <v>335000000</v>
      </c>
      <c r="G161" s="344"/>
      <c r="H161" s="344"/>
      <c r="I161" s="344">
        <f t="shared" si="59"/>
        <v>0</v>
      </c>
      <c r="J161" s="344"/>
      <c r="K161" s="344"/>
      <c r="L161" s="344">
        <f t="shared" si="70"/>
        <v>0</v>
      </c>
      <c r="M161" s="344">
        <f t="shared" si="64"/>
        <v>0</v>
      </c>
      <c r="N161" s="337">
        <f t="shared" ref="N161" si="76">+F161-M161</f>
        <v>335000000</v>
      </c>
      <c r="P161" s="340"/>
      <c r="S161" s="347"/>
      <c r="T161" s="347"/>
      <c r="U161" s="382"/>
    </row>
    <row r="162" spans="1:21" s="381" customFormat="1" ht="18" customHeight="1" x14ac:dyDescent="0.25">
      <c r="A162" s="380"/>
      <c r="B162" s="352"/>
      <c r="C162" s="334"/>
      <c r="D162" s="335" t="s">
        <v>382</v>
      </c>
      <c r="E162" s="335" t="s">
        <v>383</v>
      </c>
      <c r="F162" s="337">
        <f>SUM(F163:F164)</f>
        <v>205800000</v>
      </c>
      <c r="G162" s="344">
        <f>SUM(G163:G164)</f>
        <v>0</v>
      </c>
      <c r="H162" s="344">
        <f>SUM(H163:H164)</f>
        <v>0</v>
      </c>
      <c r="I162" s="344">
        <f>+G162+H162</f>
        <v>0</v>
      </c>
      <c r="J162" s="344">
        <f>SUM(J163:J164)</f>
        <v>0</v>
      </c>
      <c r="K162" s="344">
        <f>SUM(K163:K164)</f>
        <v>0</v>
      </c>
      <c r="L162" s="344">
        <f>+J162+K162</f>
        <v>0</v>
      </c>
      <c r="M162" s="344">
        <f t="shared" si="64"/>
        <v>0</v>
      </c>
      <c r="N162" s="337">
        <f>+F162-M162</f>
        <v>205800000</v>
      </c>
      <c r="P162" s="340"/>
      <c r="S162" s="347"/>
      <c r="T162" s="347"/>
      <c r="U162" s="382"/>
    </row>
    <row r="163" spans="1:21" s="381" customFormat="1" ht="18" customHeight="1" x14ac:dyDescent="0.25">
      <c r="A163" s="380"/>
      <c r="B163" s="352"/>
      <c r="C163" s="334"/>
      <c r="D163" s="335" t="s">
        <v>384</v>
      </c>
      <c r="E163" s="335" t="s">
        <v>385</v>
      </c>
      <c r="F163" s="337">
        <v>170400000</v>
      </c>
      <c r="G163" s="344"/>
      <c r="H163" s="344"/>
      <c r="I163" s="344">
        <f t="shared" si="59"/>
        <v>0</v>
      </c>
      <c r="J163" s="344"/>
      <c r="K163" s="344"/>
      <c r="L163" s="344">
        <f t="shared" si="70"/>
        <v>0</v>
      </c>
      <c r="M163" s="344">
        <f t="shared" si="64"/>
        <v>0</v>
      </c>
      <c r="N163" s="337">
        <f t="shared" ref="N163:N164" si="77">+F163-M163</f>
        <v>170400000</v>
      </c>
      <c r="P163" s="340"/>
      <c r="S163" s="347"/>
      <c r="T163" s="347"/>
      <c r="U163" s="382"/>
    </row>
    <row r="164" spans="1:21" s="388" customFormat="1" ht="18" customHeight="1" x14ac:dyDescent="0.25">
      <c r="A164" s="386"/>
      <c r="B164" s="387"/>
      <c r="C164" s="353"/>
      <c r="D164" s="355" t="s">
        <v>386</v>
      </c>
      <c r="E164" s="355" t="s">
        <v>387</v>
      </c>
      <c r="F164" s="356">
        <v>35400000</v>
      </c>
      <c r="G164" s="357"/>
      <c r="H164" s="357"/>
      <c r="I164" s="357">
        <f t="shared" si="59"/>
        <v>0</v>
      </c>
      <c r="J164" s="357"/>
      <c r="K164" s="357"/>
      <c r="L164" s="357">
        <f t="shared" si="70"/>
        <v>0</v>
      </c>
      <c r="M164" s="357">
        <f t="shared" si="64"/>
        <v>0</v>
      </c>
      <c r="N164" s="356">
        <f t="shared" si="77"/>
        <v>35400000</v>
      </c>
      <c r="P164" s="200"/>
      <c r="S164" s="221"/>
      <c r="T164" s="221"/>
      <c r="U164" s="389"/>
    </row>
    <row r="165" spans="1:21" s="319" customFormat="1" ht="18" customHeight="1" x14ac:dyDescent="0.25">
      <c r="A165" s="276">
        <v>7</v>
      </c>
      <c r="B165" s="305"/>
      <c r="C165" s="390" t="s">
        <v>102</v>
      </c>
      <c r="D165" s="363"/>
      <c r="E165" s="364" t="s">
        <v>103</v>
      </c>
      <c r="F165" s="307">
        <f t="shared" ref="F165:H168" si="78">+F166</f>
        <v>540210000</v>
      </c>
      <c r="G165" s="308">
        <f t="shared" si="78"/>
        <v>0</v>
      </c>
      <c r="H165" s="308">
        <f t="shared" si="78"/>
        <v>0</v>
      </c>
      <c r="I165" s="308">
        <f>+G165+H165</f>
        <v>0</v>
      </c>
      <c r="J165" s="308">
        <f>+J166</f>
        <v>0</v>
      </c>
      <c r="K165" s="308">
        <f t="shared" ref="J165:K168" si="79">+K166</f>
        <v>45950000</v>
      </c>
      <c r="L165" s="308">
        <f>+J165+K165</f>
        <v>45950000</v>
      </c>
      <c r="M165" s="308">
        <f>+I165+L165</f>
        <v>45950000</v>
      </c>
      <c r="N165" s="307">
        <f>+F165-M165</f>
        <v>494260000</v>
      </c>
      <c r="P165" s="320"/>
      <c r="R165" s="321"/>
      <c r="S165" s="349"/>
      <c r="T165" s="349"/>
      <c r="U165" s="350"/>
    </row>
    <row r="166" spans="1:21" s="329" customFormat="1" ht="18" customHeight="1" x14ac:dyDescent="0.25">
      <c r="A166" s="323"/>
      <c r="B166" s="324"/>
      <c r="C166" s="379"/>
      <c r="D166" s="325" t="s">
        <v>207</v>
      </c>
      <c r="E166" s="326" t="s">
        <v>262</v>
      </c>
      <c r="F166" s="327">
        <f t="shared" si="78"/>
        <v>540210000</v>
      </c>
      <c r="G166" s="328">
        <f t="shared" si="78"/>
        <v>0</v>
      </c>
      <c r="H166" s="328">
        <f t="shared" si="78"/>
        <v>0</v>
      </c>
      <c r="I166" s="328">
        <f>+G166+H166</f>
        <v>0</v>
      </c>
      <c r="J166" s="328">
        <f t="shared" si="79"/>
        <v>0</v>
      </c>
      <c r="K166" s="328">
        <f t="shared" si="79"/>
        <v>45950000</v>
      </c>
      <c r="L166" s="328">
        <f>+J166+K166</f>
        <v>45950000</v>
      </c>
      <c r="M166" s="328">
        <f t="shared" ref="M166:M169" si="80">+I166+L166</f>
        <v>45950000</v>
      </c>
      <c r="N166" s="327">
        <f>+F166-M166</f>
        <v>494260000</v>
      </c>
      <c r="P166" s="330"/>
      <c r="R166" s="331"/>
      <c r="S166" s="351"/>
      <c r="T166" s="351"/>
      <c r="U166" s="333"/>
    </row>
    <row r="167" spans="1:21" s="381" customFormat="1" ht="18" customHeight="1" x14ac:dyDescent="0.25">
      <c r="A167" s="380"/>
      <c r="B167" s="352"/>
      <c r="C167" s="334"/>
      <c r="D167" s="335" t="s">
        <v>63</v>
      </c>
      <c r="E167" s="335" t="s">
        <v>30</v>
      </c>
      <c r="F167" s="337">
        <f t="shared" si="78"/>
        <v>540210000</v>
      </c>
      <c r="G167" s="344">
        <f t="shared" si="78"/>
        <v>0</v>
      </c>
      <c r="H167" s="344">
        <f t="shared" si="78"/>
        <v>0</v>
      </c>
      <c r="I167" s="344">
        <f>+G167+H167</f>
        <v>0</v>
      </c>
      <c r="J167" s="344">
        <f t="shared" si="79"/>
        <v>0</v>
      </c>
      <c r="K167" s="344">
        <f t="shared" si="79"/>
        <v>45950000</v>
      </c>
      <c r="L167" s="344">
        <f>+J167+K167</f>
        <v>45950000</v>
      </c>
      <c r="M167" s="344">
        <f t="shared" si="80"/>
        <v>45950000</v>
      </c>
      <c r="N167" s="337">
        <f>+F167-M167</f>
        <v>494260000</v>
      </c>
      <c r="P167" s="340"/>
      <c r="S167" s="347"/>
      <c r="T167" s="347"/>
      <c r="U167" s="382"/>
    </row>
    <row r="168" spans="1:21" s="339" customFormat="1" ht="18" customHeight="1" x14ac:dyDescent="0.25">
      <c r="A168" s="334"/>
      <c r="B168" s="335"/>
      <c r="C168" s="334"/>
      <c r="D168" s="365" t="s">
        <v>263</v>
      </c>
      <c r="E168" s="335" t="s">
        <v>264</v>
      </c>
      <c r="F168" s="337">
        <f t="shared" si="78"/>
        <v>540210000</v>
      </c>
      <c r="G168" s="344">
        <f>+G169</f>
        <v>0</v>
      </c>
      <c r="H168" s="344">
        <f>+H169</f>
        <v>0</v>
      </c>
      <c r="I168" s="344">
        <f>+G168+H168</f>
        <v>0</v>
      </c>
      <c r="J168" s="344">
        <f t="shared" si="79"/>
        <v>0</v>
      </c>
      <c r="K168" s="344">
        <f t="shared" si="79"/>
        <v>45950000</v>
      </c>
      <c r="L168" s="344">
        <f>+J168+K168</f>
        <v>45950000</v>
      </c>
      <c r="M168" s="344">
        <f t="shared" si="80"/>
        <v>45950000</v>
      </c>
      <c r="N168" s="337">
        <f>+F168-M168</f>
        <v>494260000</v>
      </c>
      <c r="P168" s="340"/>
      <c r="S168" s="347"/>
      <c r="T168" s="347"/>
      <c r="U168" s="342"/>
    </row>
    <row r="169" spans="1:21" s="381" customFormat="1" ht="18" customHeight="1" x14ac:dyDescent="0.25">
      <c r="A169" s="380"/>
      <c r="B169" s="352"/>
      <c r="C169" s="334"/>
      <c r="D169" s="335" t="s">
        <v>64</v>
      </c>
      <c r="E169" s="335" t="s">
        <v>65</v>
      </c>
      <c r="F169" s="337">
        <f>SUM(F170:F172)</f>
        <v>540210000</v>
      </c>
      <c r="G169" s="344">
        <f>SUM(G170:G172)</f>
        <v>0</v>
      </c>
      <c r="H169" s="344">
        <f>SUM(H170:H172)</f>
        <v>0</v>
      </c>
      <c r="I169" s="344">
        <f>+G169+H169</f>
        <v>0</v>
      </c>
      <c r="J169" s="344">
        <f>SUM(J170:J172)</f>
        <v>0</v>
      </c>
      <c r="K169" s="344">
        <f>SUM(K170:K172)</f>
        <v>45950000</v>
      </c>
      <c r="L169" s="344">
        <f>+J169+K169</f>
        <v>45950000</v>
      </c>
      <c r="M169" s="344">
        <f t="shared" si="80"/>
        <v>45950000</v>
      </c>
      <c r="N169" s="337">
        <f>+F169-M169</f>
        <v>494260000</v>
      </c>
      <c r="P169" s="340"/>
      <c r="S169" s="347"/>
      <c r="T169" s="347"/>
      <c r="U169" s="382"/>
    </row>
    <row r="170" spans="1:21" s="381" customFormat="1" ht="18" customHeight="1" x14ac:dyDescent="0.25">
      <c r="A170" s="380"/>
      <c r="B170" s="352"/>
      <c r="C170" s="334"/>
      <c r="D170" s="335" t="s">
        <v>388</v>
      </c>
      <c r="E170" s="335" t="s">
        <v>389</v>
      </c>
      <c r="F170" s="337">
        <v>57760000</v>
      </c>
      <c r="G170" s="344"/>
      <c r="H170" s="344"/>
      <c r="I170" s="344">
        <f t="shared" ref="I170" si="81">+G170+H170</f>
        <v>0</v>
      </c>
      <c r="J170" s="344"/>
      <c r="K170" s="344">
        <v>4000000</v>
      </c>
      <c r="L170" s="344">
        <f t="shared" ref="L170:L172" si="82">+J170+K170</f>
        <v>4000000</v>
      </c>
      <c r="M170" s="344">
        <f>+I170+L170</f>
        <v>4000000</v>
      </c>
      <c r="N170" s="337">
        <f t="shared" ref="N170:N172" si="83">+F170-M170</f>
        <v>53760000</v>
      </c>
      <c r="P170" s="340"/>
      <c r="S170" s="346">
        <v>4000000</v>
      </c>
      <c r="T170" s="347"/>
      <c r="U170" s="382"/>
    </row>
    <row r="171" spans="1:21" s="381" customFormat="1" ht="18" customHeight="1" x14ac:dyDescent="0.25">
      <c r="A171" s="380"/>
      <c r="B171" s="352"/>
      <c r="C171" s="334"/>
      <c r="D171" s="335" t="s">
        <v>70</v>
      </c>
      <c r="E171" s="335" t="s">
        <v>33</v>
      </c>
      <c r="F171" s="337">
        <v>382450000</v>
      </c>
      <c r="G171" s="344"/>
      <c r="H171" s="344"/>
      <c r="I171" s="344">
        <f>+G171+H171</f>
        <v>0</v>
      </c>
      <c r="J171" s="344"/>
      <c r="K171" s="344">
        <f>12500000+15600000+2500000+2000000+2500000+3350000+2000000+1500000</f>
        <v>41950000</v>
      </c>
      <c r="L171" s="344">
        <f t="shared" si="82"/>
        <v>41950000</v>
      </c>
      <c r="M171" s="344">
        <f t="shared" ref="M171:M172" si="84">+I171+L171</f>
        <v>41950000</v>
      </c>
      <c r="N171" s="337">
        <f t="shared" si="83"/>
        <v>340500000</v>
      </c>
      <c r="P171" s="340"/>
      <c r="S171" s="346">
        <f>1000000+1000000+12500000+15600000+2500000+2500000+3350000+3500000</f>
        <v>41950000</v>
      </c>
      <c r="T171" s="347"/>
      <c r="U171" s="382"/>
    </row>
    <row r="172" spans="1:21" s="388" customFormat="1" ht="18" customHeight="1" x14ac:dyDescent="0.25">
      <c r="A172" s="386"/>
      <c r="B172" s="387"/>
      <c r="C172" s="353"/>
      <c r="D172" s="355" t="s">
        <v>104</v>
      </c>
      <c r="E172" s="355" t="s">
        <v>390</v>
      </c>
      <c r="F172" s="356">
        <v>100000000</v>
      </c>
      <c r="G172" s="357"/>
      <c r="H172" s="357"/>
      <c r="I172" s="357"/>
      <c r="J172" s="357">
        <v>0</v>
      </c>
      <c r="K172" s="357"/>
      <c r="L172" s="357">
        <f t="shared" si="82"/>
        <v>0</v>
      </c>
      <c r="M172" s="357">
        <f t="shared" si="84"/>
        <v>0</v>
      </c>
      <c r="N172" s="356">
        <f t="shared" si="83"/>
        <v>100000000</v>
      </c>
      <c r="P172" s="200"/>
      <c r="S172" s="221"/>
      <c r="T172" s="221"/>
      <c r="U172" s="389"/>
    </row>
    <row r="173" spans="1:21" s="319" customFormat="1" ht="18" customHeight="1" x14ac:dyDescent="0.25">
      <c r="A173" s="276">
        <v>8</v>
      </c>
      <c r="B173" s="305"/>
      <c r="C173" s="390" t="s">
        <v>105</v>
      </c>
      <c r="D173" s="363"/>
      <c r="E173" s="364" t="s">
        <v>106</v>
      </c>
      <c r="F173" s="307">
        <f t="shared" ref="F173:H180" si="85">+F174</f>
        <v>1600450000</v>
      </c>
      <c r="G173" s="308">
        <f t="shared" si="85"/>
        <v>0</v>
      </c>
      <c r="H173" s="308">
        <f>+H174</f>
        <v>142125000</v>
      </c>
      <c r="I173" s="308">
        <f>+G173+H173</f>
        <v>142125000</v>
      </c>
      <c r="J173" s="308">
        <f t="shared" ref="J173:K180" si="86">+J174</f>
        <v>0</v>
      </c>
      <c r="K173" s="308">
        <f t="shared" si="86"/>
        <v>56100600</v>
      </c>
      <c r="L173" s="308">
        <f>+J173+K173</f>
        <v>56100600</v>
      </c>
      <c r="M173" s="308">
        <f>+I173+L173</f>
        <v>198225600</v>
      </c>
      <c r="N173" s="307">
        <f>+F173-M173</f>
        <v>1402224400</v>
      </c>
      <c r="P173" s="320"/>
      <c r="R173" s="321"/>
      <c r="S173" s="349"/>
      <c r="T173" s="349"/>
      <c r="U173" s="350"/>
    </row>
    <row r="174" spans="1:21" s="329" customFormat="1" ht="18" customHeight="1" x14ac:dyDescent="0.25">
      <c r="A174" s="323"/>
      <c r="B174" s="324"/>
      <c r="C174" s="379"/>
      <c r="D174" s="325" t="s">
        <v>207</v>
      </c>
      <c r="E174" s="326" t="s">
        <v>262</v>
      </c>
      <c r="F174" s="327">
        <f>+F175</f>
        <v>1600450000</v>
      </c>
      <c r="G174" s="328">
        <f t="shared" si="85"/>
        <v>0</v>
      </c>
      <c r="H174" s="328">
        <f t="shared" si="85"/>
        <v>142125000</v>
      </c>
      <c r="I174" s="328">
        <f>+G174+H174</f>
        <v>142125000</v>
      </c>
      <c r="J174" s="328">
        <f t="shared" si="86"/>
        <v>0</v>
      </c>
      <c r="K174" s="328">
        <f t="shared" si="86"/>
        <v>56100600</v>
      </c>
      <c r="L174" s="328">
        <f>+J174+K174</f>
        <v>56100600</v>
      </c>
      <c r="M174" s="328">
        <f t="shared" ref="M174:M182" si="87">+I174+L174</f>
        <v>198225600</v>
      </c>
      <c r="N174" s="327">
        <f>+F174-M174</f>
        <v>1402224400</v>
      </c>
      <c r="P174" s="330"/>
      <c r="R174" s="331"/>
      <c r="S174" s="351"/>
      <c r="T174" s="351"/>
      <c r="U174" s="333"/>
    </row>
    <row r="175" spans="1:21" s="381" customFormat="1" ht="18" customHeight="1" x14ac:dyDescent="0.25">
      <c r="A175" s="380"/>
      <c r="B175" s="352"/>
      <c r="C175" s="334"/>
      <c r="D175" s="335" t="s">
        <v>63</v>
      </c>
      <c r="E175" s="335" t="s">
        <v>30</v>
      </c>
      <c r="F175" s="337">
        <f>+F180+F176</f>
        <v>1600450000</v>
      </c>
      <c r="G175" s="344">
        <f>+G180</f>
        <v>0</v>
      </c>
      <c r="H175" s="344">
        <f>+H180+H176</f>
        <v>142125000</v>
      </c>
      <c r="I175" s="344">
        <f>+G175+H175</f>
        <v>142125000</v>
      </c>
      <c r="J175" s="344">
        <f>+J180+J176</f>
        <v>0</v>
      </c>
      <c r="K175" s="344">
        <f>+K180+K176</f>
        <v>56100600</v>
      </c>
      <c r="L175" s="344">
        <f>+J175+K175</f>
        <v>56100600</v>
      </c>
      <c r="M175" s="344">
        <f t="shared" si="87"/>
        <v>198225600</v>
      </c>
      <c r="N175" s="337">
        <f>+F175-M175</f>
        <v>1402224400</v>
      </c>
      <c r="P175" s="340"/>
      <c r="S175" s="347"/>
      <c r="T175" s="347"/>
      <c r="U175" s="382"/>
    </row>
    <row r="176" spans="1:21" s="339" customFormat="1" ht="18" customHeight="1" x14ac:dyDescent="0.25">
      <c r="A176" s="334"/>
      <c r="B176" s="335"/>
      <c r="C176" s="334"/>
      <c r="D176" s="365" t="s">
        <v>263</v>
      </c>
      <c r="E176" s="335" t="s">
        <v>264</v>
      </c>
      <c r="F176" s="337">
        <f>+F177</f>
        <v>32500000</v>
      </c>
      <c r="G176" s="344">
        <f>+G177</f>
        <v>0</v>
      </c>
      <c r="H176" s="344">
        <f>+H177</f>
        <v>0</v>
      </c>
      <c r="I176" s="344">
        <f>+G176+H176</f>
        <v>0</v>
      </c>
      <c r="J176" s="344">
        <f t="shared" si="86"/>
        <v>0</v>
      </c>
      <c r="K176" s="344">
        <f t="shared" si="86"/>
        <v>0</v>
      </c>
      <c r="L176" s="344">
        <f>+J176+K176</f>
        <v>0</v>
      </c>
      <c r="M176" s="344">
        <f t="shared" si="87"/>
        <v>0</v>
      </c>
      <c r="N176" s="337">
        <f>+F176-M176</f>
        <v>32500000</v>
      </c>
      <c r="P176" s="340"/>
      <c r="S176" s="347"/>
      <c r="T176" s="347"/>
      <c r="U176" s="342"/>
    </row>
    <row r="177" spans="1:21" s="381" customFormat="1" ht="18" customHeight="1" x14ac:dyDescent="0.25">
      <c r="A177" s="380"/>
      <c r="B177" s="352"/>
      <c r="C177" s="334"/>
      <c r="D177" s="335" t="s">
        <v>64</v>
      </c>
      <c r="E177" s="335" t="s">
        <v>65</v>
      </c>
      <c r="F177" s="337">
        <f>+F179+F178</f>
        <v>32500000</v>
      </c>
      <c r="G177" s="344">
        <f>+G179</f>
        <v>0</v>
      </c>
      <c r="H177" s="344">
        <f>SUM(H179)</f>
        <v>0</v>
      </c>
      <c r="I177" s="344">
        <f>+G177+H177</f>
        <v>0</v>
      </c>
      <c r="J177" s="344">
        <f>+J179</f>
        <v>0</v>
      </c>
      <c r="K177" s="344">
        <f>+K179</f>
        <v>0</v>
      </c>
      <c r="L177" s="344">
        <f>+J177+K177</f>
        <v>0</v>
      </c>
      <c r="M177" s="344">
        <f t="shared" si="87"/>
        <v>0</v>
      </c>
      <c r="N177" s="337">
        <f>+F177-M177</f>
        <v>32500000</v>
      </c>
      <c r="P177" s="340"/>
      <c r="S177" s="347"/>
      <c r="T177" s="347"/>
      <c r="U177" s="382"/>
    </row>
    <row r="178" spans="1:21" s="381" customFormat="1" ht="18" customHeight="1" x14ac:dyDescent="0.25">
      <c r="A178" s="380"/>
      <c r="B178" s="352"/>
      <c r="C178" s="334"/>
      <c r="D178" s="335" t="s">
        <v>443</v>
      </c>
      <c r="E178" s="335" t="s">
        <v>444</v>
      </c>
      <c r="F178" s="337">
        <v>17500000</v>
      </c>
      <c r="G178" s="344"/>
      <c r="H178" s="344"/>
      <c r="I178" s="344">
        <f t="shared" ref="I178:I179" si="88">+G178+H178</f>
        <v>0</v>
      </c>
      <c r="J178" s="344"/>
      <c r="K178" s="344"/>
      <c r="L178" s="344">
        <f t="shared" ref="L178:L179" si="89">+J178+K178</f>
        <v>0</v>
      </c>
      <c r="M178" s="344">
        <f t="shared" si="87"/>
        <v>0</v>
      </c>
      <c r="N178" s="337">
        <f t="shared" ref="N178:N179" si="90">+F178-M178</f>
        <v>17500000</v>
      </c>
      <c r="P178" s="340"/>
      <c r="S178" s="347"/>
      <c r="T178" s="347"/>
      <c r="U178" s="382"/>
    </row>
    <row r="179" spans="1:21" s="381" customFormat="1" ht="18" customHeight="1" x14ac:dyDescent="0.25">
      <c r="A179" s="380"/>
      <c r="B179" s="352"/>
      <c r="C179" s="334"/>
      <c r="D179" s="335" t="s">
        <v>447</v>
      </c>
      <c r="E179" s="335" t="s">
        <v>448</v>
      </c>
      <c r="F179" s="337">
        <v>15000000</v>
      </c>
      <c r="G179" s="344"/>
      <c r="H179" s="344"/>
      <c r="I179" s="344">
        <f t="shared" si="88"/>
        <v>0</v>
      </c>
      <c r="J179" s="344"/>
      <c r="K179" s="344"/>
      <c r="L179" s="344">
        <f t="shared" si="89"/>
        <v>0</v>
      </c>
      <c r="M179" s="344">
        <f t="shared" si="87"/>
        <v>0</v>
      </c>
      <c r="N179" s="337">
        <f t="shared" si="90"/>
        <v>15000000</v>
      </c>
      <c r="P179" s="340"/>
      <c r="S179" s="347"/>
      <c r="T179" s="347"/>
      <c r="U179" s="382"/>
    </row>
    <row r="180" spans="1:21" s="339" customFormat="1" ht="18" customHeight="1" x14ac:dyDescent="0.25">
      <c r="A180" s="334"/>
      <c r="B180" s="335"/>
      <c r="C180" s="334"/>
      <c r="D180" s="365" t="s">
        <v>265</v>
      </c>
      <c r="E180" s="335" t="s">
        <v>266</v>
      </c>
      <c r="F180" s="337">
        <f t="shared" si="85"/>
        <v>1567950000</v>
      </c>
      <c r="G180" s="344">
        <f>+G181</f>
        <v>0</v>
      </c>
      <c r="H180" s="344">
        <f>+H181</f>
        <v>142125000</v>
      </c>
      <c r="I180" s="344">
        <f>+G180+H180</f>
        <v>142125000</v>
      </c>
      <c r="J180" s="344">
        <f t="shared" si="86"/>
        <v>0</v>
      </c>
      <c r="K180" s="344">
        <f t="shared" si="86"/>
        <v>56100600</v>
      </c>
      <c r="L180" s="344">
        <f>+J180+K180</f>
        <v>56100600</v>
      </c>
      <c r="M180" s="344">
        <f t="shared" si="87"/>
        <v>198225600</v>
      </c>
      <c r="N180" s="337">
        <f>+F180-M180</f>
        <v>1369724400</v>
      </c>
      <c r="P180" s="340"/>
      <c r="S180" s="347"/>
      <c r="T180" s="347"/>
      <c r="U180" s="342"/>
    </row>
    <row r="181" spans="1:21" s="381" customFormat="1" ht="18" customHeight="1" x14ac:dyDescent="0.25">
      <c r="A181" s="380"/>
      <c r="B181" s="352"/>
      <c r="C181" s="334"/>
      <c r="D181" s="335" t="s">
        <v>71</v>
      </c>
      <c r="E181" s="335" t="s">
        <v>72</v>
      </c>
      <c r="F181" s="337">
        <f>SUM(F182:F183)</f>
        <v>1567950000</v>
      </c>
      <c r="G181" s="344">
        <f>SUM(G182:G183)</f>
        <v>0</v>
      </c>
      <c r="H181" s="344">
        <f>SUM(H182:H183)</f>
        <v>142125000</v>
      </c>
      <c r="I181" s="344">
        <f>+G181+H181</f>
        <v>142125000</v>
      </c>
      <c r="J181" s="344">
        <f>SUM(J182:J183)</f>
        <v>0</v>
      </c>
      <c r="K181" s="344">
        <f>SUM(K182:K183)</f>
        <v>56100600</v>
      </c>
      <c r="L181" s="344">
        <f>+J181+K181</f>
        <v>56100600</v>
      </c>
      <c r="M181" s="344">
        <f t="shared" si="87"/>
        <v>198225600</v>
      </c>
      <c r="N181" s="337">
        <f>+F181-M181</f>
        <v>1369724400</v>
      </c>
      <c r="P181" s="340"/>
      <c r="S181" s="347"/>
      <c r="T181" s="347"/>
      <c r="U181" s="382"/>
    </row>
    <row r="182" spans="1:21" s="381" customFormat="1" ht="18" customHeight="1" x14ac:dyDescent="0.25">
      <c r="A182" s="380"/>
      <c r="B182" s="352"/>
      <c r="C182" s="334"/>
      <c r="D182" s="335" t="s">
        <v>73</v>
      </c>
      <c r="E182" s="335" t="s">
        <v>74</v>
      </c>
      <c r="F182" s="337">
        <v>1501270000</v>
      </c>
      <c r="G182" s="344"/>
      <c r="H182" s="344">
        <v>142125000</v>
      </c>
      <c r="I182" s="344">
        <f t="shared" ref="I182" si="91">+G182+H182</f>
        <v>142125000</v>
      </c>
      <c r="J182" s="344"/>
      <c r="K182" s="344">
        <f>16020000+954000+256000+655000+505000+256000+1105000+676000+970000+970000+23964000+1889000+695000</f>
        <v>48915000</v>
      </c>
      <c r="L182" s="344">
        <f t="shared" ref="L182:L193" si="92">+J182+K182</f>
        <v>48915000</v>
      </c>
      <c r="M182" s="344">
        <f t="shared" si="87"/>
        <v>191040000</v>
      </c>
      <c r="N182" s="337">
        <f t="shared" ref="N182:N183" si="93">+F182-M182</f>
        <v>1310230000</v>
      </c>
      <c r="P182" s="340"/>
      <c r="S182" s="346">
        <f>23964000+1889000+695000+16020000+954000+256000+655000+505000+256000+1105000+676000+970000+970000</f>
        <v>48915000</v>
      </c>
      <c r="T182" s="346">
        <v>142125000</v>
      </c>
      <c r="U182" s="382"/>
    </row>
    <row r="183" spans="1:21" s="388" customFormat="1" ht="18" customHeight="1" x14ac:dyDescent="0.25">
      <c r="A183" s="386"/>
      <c r="B183" s="387"/>
      <c r="C183" s="353"/>
      <c r="D183" s="355" t="s">
        <v>88</v>
      </c>
      <c r="E183" s="355" t="s">
        <v>89</v>
      </c>
      <c r="F183" s="356">
        <v>66680000</v>
      </c>
      <c r="G183" s="357"/>
      <c r="H183" s="357"/>
      <c r="I183" s="357"/>
      <c r="J183" s="357"/>
      <c r="K183" s="357">
        <f>340000+340000+340000+340000+340000+340000+340000+340000+880000+2068100+969500+338000+210000</f>
        <v>7185600</v>
      </c>
      <c r="L183" s="357">
        <f t="shared" si="92"/>
        <v>7185600</v>
      </c>
      <c r="M183" s="357">
        <f>+I183+L183</f>
        <v>7185600</v>
      </c>
      <c r="N183" s="356">
        <f t="shared" si="93"/>
        <v>59494400</v>
      </c>
      <c r="P183" s="200"/>
      <c r="S183" s="358">
        <f>2068100+969500+338000+210000+340000+340000+340000+1700000+880000</f>
        <v>7185600</v>
      </c>
      <c r="T183" s="221"/>
      <c r="U183" s="389"/>
    </row>
    <row r="184" spans="1:21" s="319" customFormat="1" ht="18" customHeight="1" x14ac:dyDescent="0.25">
      <c r="A184" s="276">
        <v>9</v>
      </c>
      <c r="B184" s="305"/>
      <c r="C184" s="390" t="s">
        <v>109</v>
      </c>
      <c r="D184" s="363"/>
      <c r="E184" s="364" t="s">
        <v>110</v>
      </c>
      <c r="F184" s="307">
        <f>+F185+F201</f>
        <v>200844000</v>
      </c>
      <c r="G184" s="308">
        <f>+G185+G201</f>
        <v>0</v>
      </c>
      <c r="H184" s="308">
        <f>+H185+H201</f>
        <v>0</v>
      </c>
      <c r="I184" s="308">
        <f>+G184+H184</f>
        <v>0</v>
      </c>
      <c r="J184" s="308">
        <f>+J185+J201</f>
        <v>6240000</v>
      </c>
      <c r="K184" s="308">
        <f>+K185+K201</f>
        <v>6240000</v>
      </c>
      <c r="L184" s="308">
        <f t="shared" si="92"/>
        <v>12480000</v>
      </c>
      <c r="M184" s="308">
        <f>+I184+L184</f>
        <v>12480000</v>
      </c>
      <c r="N184" s="307">
        <f>+F184-M184</f>
        <v>188364000</v>
      </c>
      <c r="P184" s="320"/>
      <c r="R184" s="321"/>
      <c r="S184" s="349"/>
      <c r="T184" s="349"/>
      <c r="U184" s="350"/>
    </row>
    <row r="185" spans="1:21" s="329" customFormat="1" ht="18" customHeight="1" x14ac:dyDescent="0.25">
      <c r="A185" s="323"/>
      <c r="B185" s="324"/>
      <c r="C185" s="379"/>
      <c r="D185" s="325" t="s">
        <v>207</v>
      </c>
      <c r="E185" s="326" t="s">
        <v>262</v>
      </c>
      <c r="F185" s="327">
        <f>+F186</f>
        <v>174844000</v>
      </c>
      <c r="G185" s="328">
        <f>+G186</f>
        <v>0</v>
      </c>
      <c r="H185" s="328">
        <f>+H186</f>
        <v>0</v>
      </c>
      <c r="I185" s="328">
        <f>+G185+H185</f>
        <v>0</v>
      </c>
      <c r="J185" s="328">
        <f>+J186</f>
        <v>6240000</v>
      </c>
      <c r="K185" s="328">
        <f>+K186</f>
        <v>6240000</v>
      </c>
      <c r="L185" s="328">
        <f t="shared" si="92"/>
        <v>12480000</v>
      </c>
      <c r="M185" s="328">
        <f>+I185+L185</f>
        <v>12480000</v>
      </c>
      <c r="N185" s="327">
        <f>+F185-M185</f>
        <v>162364000</v>
      </c>
      <c r="P185" s="330"/>
      <c r="R185" s="331"/>
      <c r="S185" s="351"/>
      <c r="T185" s="351"/>
      <c r="U185" s="333"/>
    </row>
    <row r="186" spans="1:21" s="381" customFormat="1" ht="18" customHeight="1" x14ac:dyDescent="0.25">
      <c r="A186" s="380"/>
      <c r="B186" s="352"/>
      <c r="C186" s="334"/>
      <c r="D186" s="335" t="s">
        <v>63</v>
      </c>
      <c r="E186" s="335" t="s">
        <v>30</v>
      </c>
      <c r="F186" s="337">
        <f>+F187+F194+F198</f>
        <v>174844000</v>
      </c>
      <c r="G186" s="344">
        <f>+G187+G194</f>
        <v>0</v>
      </c>
      <c r="H186" s="344">
        <f>+H187+H194</f>
        <v>0</v>
      </c>
      <c r="I186" s="344">
        <f>+G186+H186</f>
        <v>0</v>
      </c>
      <c r="J186" s="344">
        <f>+J187+J194</f>
        <v>6240000</v>
      </c>
      <c r="K186" s="344">
        <f>+K187+K194</f>
        <v>6240000</v>
      </c>
      <c r="L186" s="344">
        <f t="shared" si="92"/>
        <v>12480000</v>
      </c>
      <c r="M186" s="344">
        <f t="shared" ref="M186:M196" si="94">+I186+L186</f>
        <v>12480000</v>
      </c>
      <c r="N186" s="337">
        <f>+F186-M186</f>
        <v>162364000</v>
      </c>
      <c r="P186" s="340"/>
      <c r="S186" s="347"/>
      <c r="T186" s="347"/>
      <c r="U186" s="382"/>
    </row>
    <row r="187" spans="1:21" s="339" customFormat="1" ht="18" customHeight="1" x14ac:dyDescent="0.25">
      <c r="A187" s="334"/>
      <c r="B187" s="335"/>
      <c r="C187" s="334"/>
      <c r="D187" s="365" t="s">
        <v>263</v>
      </c>
      <c r="E187" s="335" t="s">
        <v>264</v>
      </c>
      <c r="F187" s="337">
        <f t="shared" ref="F187" si="95">+F188</f>
        <v>44044000</v>
      </c>
      <c r="G187" s="344">
        <f>+G188</f>
        <v>0</v>
      </c>
      <c r="H187" s="344">
        <f>+H188</f>
        <v>0</v>
      </c>
      <c r="I187" s="344">
        <f>+G187+H187</f>
        <v>0</v>
      </c>
      <c r="J187" s="344">
        <f>+J188</f>
        <v>0</v>
      </c>
      <c r="K187" s="344">
        <f>+K188</f>
        <v>0</v>
      </c>
      <c r="L187" s="344">
        <f t="shared" si="92"/>
        <v>0</v>
      </c>
      <c r="M187" s="344">
        <f t="shared" si="94"/>
        <v>0</v>
      </c>
      <c r="N187" s="337">
        <f>+F187-M187</f>
        <v>44044000</v>
      </c>
      <c r="P187" s="340"/>
      <c r="S187" s="347"/>
      <c r="T187" s="347"/>
      <c r="U187" s="342"/>
    </row>
    <row r="188" spans="1:21" s="381" customFormat="1" ht="18" customHeight="1" x14ac:dyDescent="0.25">
      <c r="A188" s="380"/>
      <c r="B188" s="352"/>
      <c r="C188" s="334"/>
      <c r="D188" s="335" t="s">
        <v>64</v>
      </c>
      <c r="E188" s="335" t="s">
        <v>65</v>
      </c>
      <c r="F188" s="337">
        <f>SUM(F189:F193)</f>
        <v>44044000</v>
      </c>
      <c r="G188" s="344">
        <f>SUM(G189:G193)</f>
        <v>0</v>
      </c>
      <c r="H188" s="344">
        <f>SUM(H189:H193)</f>
        <v>0</v>
      </c>
      <c r="I188" s="344">
        <f>+G188+H188</f>
        <v>0</v>
      </c>
      <c r="J188" s="344">
        <f>SUM(J189:J193)</f>
        <v>0</v>
      </c>
      <c r="K188" s="344">
        <f>SUM(K189:K193)</f>
        <v>0</v>
      </c>
      <c r="L188" s="344">
        <f t="shared" si="92"/>
        <v>0</v>
      </c>
      <c r="M188" s="344">
        <f t="shared" si="94"/>
        <v>0</v>
      </c>
      <c r="N188" s="337">
        <f>+F188-M188</f>
        <v>44044000</v>
      </c>
      <c r="P188" s="340"/>
      <c r="S188" s="347"/>
      <c r="T188" s="347"/>
      <c r="U188" s="382"/>
    </row>
    <row r="189" spans="1:21" s="381" customFormat="1" ht="18" customHeight="1" x14ac:dyDescent="0.25">
      <c r="A189" s="380"/>
      <c r="B189" s="352"/>
      <c r="C189" s="334"/>
      <c r="D189" s="335" t="s">
        <v>66</v>
      </c>
      <c r="E189" s="335" t="s">
        <v>67</v>
      </c>
      <c r="F189" s="337">
        <v>24037500</v>
      </c>
      <c r="G189" s="344"/>
      <c r="H189" s="344"/>
      <c r="I189" s="344">
        <f t="shared" ref="I189" si="96">+G189+H189</f>
        <v>0</v>
      </c>
      <c r="J189" s="344"/>
      <c r="K189" s="344"/>
      <c r="L189" s="344">
        <f t="shared" si="92"/>
        <v>0</v>
      </c>
      <c r="M189" s="357">
        <f t="shared" si="94"/>
        <v>0</v>
      </c>
      <c r="N189" s="337">
        <f t="shared" ref="N189:N193" si="97">+F189-M189</f>
        <v>24037500</v>
      </c>
      <c r="P189" s="340"/>
      <c r="S189" s="347"/>
      <c r="T189" s="347"/>
      <c r="U189" s="382"/>
    </row>
    <row r="190" spans="1:21" s="381" customFormat="1" ht="18" customHeight="1" x14ac:dyDescent="0.25">
      <c r="A190" s="380"/>
      <c r="B190" s="352"/>
      <c r="C190" s="334"/>
      <c r="D190" s="335" t="s">
        <v>337</v>
      </c>
      <c r="E190" s="335" t="s">
        <v>338</v>
      </c>
      <c r="F190" s="337">
        <v>12104000</v>
      </c>
      <c r="G190" s="344"/>
      <c r="H190" s="344"/>
      <c r="I190" s="344"/>
      <c r="J190" s="344"/>
      <c r="K190" s="344"/>
      <c r="L190" s="344">
        <f t="shared" si="92"/>
        <v>0</v>
      </c>
      <c r="M190" s="357">
        <f t="shared" si="94"/>
        <v>0</v>
      </c>
      <c r="N190" s="337">
        <f t="shared" si="97"/>
        <v>12104000</v>
      </c>
      <c r="P190" s="340"/>
      <c r="S190" s="347"/>
      <c r="T190" s="347"/>
      <c r="U190" s="382"/>
    </row>
    <row r="191" spans="1:21" s="381" customFormat="1" ht="18" customHeight="1" x14ac:dyDescent="0.25">
      <c r="A191" s="380"/>
      <c r="B191" s="352"/>
      <c r="C191" s="334"/>
      <c r="D191" s="335" t="s">
        <v>367</v>
      </c>
      <c r="E191" s="335" t="s">
        <v>368</v>
      </c>
      <c r="F191" s="337">
        <v>3142500</v>
      </c>
      <c r="G191" s="344"/>
      <c r="H191" s="344"/>
      <c r="I191" s="344"/>
      <c r="J191" s="344"/>
      <c r="K191" s="344"/>
      <c r="L191" s="344">
        <f t="shared" si="92"/>
        <v>0</v>
      </c>
      <c r="M191" s="357">
        <f t="shared" si="94"/>
        <v>0</v>
      </c>
      <c r="N191" s="337">
        <f t="shared" si="97"/>
        <v>3142500</v>
      </c>
      <c r="P191" s="340"/>
      <c r="S191" s="347"/>
      <c r="T191" s="347"/>
      <c r="U191" s="382"/>
    </row>
    <row r="192" spans="1:21" s="381" customFormat="1" ht="18" customHeight="1" x14ac:dyDescent="0.25">
      <c r="A192" s="380"/>
      <c r="B192" s="352"/>
      <c r="C192" s="334"/>
      <c r="D192" s="335" t="s">
        <v>373</v>
      </c>
      <c r="E192" s="335" t="s">
        <v>392</v>
      </c>
      <c r="F192" s="337">
        <v>560000</v>
      </c>
      <c r="G192" s="344"/>
      <c r="H192" s="344"/>
      <c r="I192" s="344"/>
      <c r="J192" s="344"/>
      <c r="K192" s="344"/>
      <c r="L192" s="344">
        <f t="shared" si="92"/>
        <v>0</v>
      </c>
      <c r="M192" s="357">
        <f t="shared" si="94"/>
        <v>0</v>
      </c>
      <c r="N192" s="337">
        <f t="shared" si="97"/>
        <v>560000</v>
      </c>
      <c r="P192" s="340"/>
      <c r="S192" s="347"/>
      <c r="T192" s="347"/>
      <c r="U192" s="382"/>
    </row>
    <row r="193" spans="1:21" s="381" customFormat="1" ht="18" customHeight="1" x14ac:dyDescent="0.25">
      <c r="A193" s="380"/>
      <c r="B193" s="352"/>
      <c r="C193" s="334"/>
      <c r="D193" s="335" t="s">
        <v>70</v>
      </c>
      <c r="E193" s="335" t="s">
        <v>33</v>
      </c>
      <c r="F193" s="337">
        <v>4200000</v>
      </c>
      <c r="G193" s="344"/>
      <c r="H193" s="344"/>
      <c r="I193" s="344"/>
      <c r="J193" s="344"/>
      <c r="K193" s="344"/>
      <c r="L193" s="344">
        <f t="shared" si="92"/>
        <v>0</v>
      </c>
      <c r="M193" s="357">
        <f t="shared" si="94"/>
        <v>0</v>
      </c>
      <c r="N193" s="337">
        <f t="shared" si="97"/>
        <v>4200000</v>
      </c>
      <c r="P193" s="340"/>
      <c r="S193" s="347"/>
      <c r="T193" s="347"/>
      <c r="U193" s="382"/>
    </row>
    <row r="194" spans="1:21" s="339" customFormat="1" ht="18" customHeight="1" x14ac:dyDescent="0.25">
      <c r="A194" s="334"/>
      <c r="B194" s="335"/>
      <c r="C194" s="334"/>
      <c r="D194" s="365" t="s">
        <v>271</v>
      </c>
      <c r="E194" s="335" t="s">
        <v>272</v>
      </c>
      <c r="F194" s="337">
        <f t="shared" ref="F194" si="98">+F195</f>
        <v>78300000</v>
      </c>
      <c r="G194" s="344">
        <f>+G195</f>
        <v>0</v>
      </c>
      <c r="H194" s="344">
        <f>+H195</f>
        <v>0</v>
      </c>
      <c r="I194" s="344">
        <f>+G194+H194</f>
        <v>0</v>
      </c>
      <c r="J194" s="344">
        <f>+J195</f>
        <v>6240000</v>
      </c>
      <c r="K194" s="344">
        <f>+K195</f>
        <v>6240000</v>
      </c>
      <c r="L194" s="344">
        <f>+J194+K194</f>
        <v>12480000</v>
      </c>
      <c r="M194" s="344">
        <f t="shared" si="94"/>
        <v>12480000</v>
      </c>
      <c r="N194" s="337">
        <f>+F194-M194</f>
        <v>65820000</v>
      </c>
      <c r="P194" s="340"/>
      <c r="S194" s="347"/>
      <c r="T194" s="347"/>
      <c r="U194" s="342"/>
    </row>
    <row r="195" spans="1:21" s="381" customFormat="1" ht="18" customHeight="1" x14ac:dyDescent="0.25">
      <c r="A195" s="380"/>
      <c r="B195" s="352"/>
      <c r="C195" s="334"/>
      <c r="D195" s="335" t="s">
        <v>81</v>
      </c>
      <c r="E195" s="335" t="s">
        <v>31</v>
      </c>
      <c r="F195" s="337">
        <f>SUM(F196:F197)</f>
        <v>78300000</v>
      </c>
      <c r="G195" s="344">
        <f>SUM(G197:G197)</f>
        <v>0</v>
      </c>
      <c r="H195" s="344">
        <f>+H197</f>
        <v>0</v>
      </c>
      <c r="I195" s="344">
        <f>+G195+H195</f>
        <v>0</v>
      </c>
      <c r="J195" s="344">
        <f>SUM(J197:J197)</f>
        <v>6240000</v>
      </c>
      <c r="K195" s="344">
        <f>+K197</f>
        <v>6240000</v>
      </c>
      <c r="L195" s="344">
        <f>+J195+K195</f>
        <v>12480000</v>
      </c>
      <c r="M195" s="344">
        <f t="shared" si="94"/>
        <v>12480000</v>
      </c>
      <c r="N195" s="337">
        <f>+F195-M195</f>
        <v>65820000</v>
      </c>
      <c r="P195" s="340"/>
      <c r="S195" s="347"/>
      <c r="T195" s="347"/>
      <c r="U195" s="382"/>
    </row>
    <row r="196" spans="1:21" s="381" customFormat="1" ht="18" customHeight="1" x14ac:dyDescent="0.25">
      <c r="A196" s="380"/>
      <c r="B196" s="352"/>
      <c r="C196" s="334"/>
      <c r="D196" s="335" t="s">
        <v>451</v>
      </c>
      <c r="E196" s="335" t="s">
        <v>452</v>
      </c>
      <c r="F196" s="337">
        <v>1500000</v>
      </c>
      <c r="G196" s="344"/>
      <c r="H196" s="344"/>
      <c r="I196" s="344">
        <f t="shared" ref="I196" si="99">+G196+H196</f>
        <v>0</v>
      </c>
      <c r="J196" s="344"/>
      <c r="K196" s="344"/>
      <c r="L196" s="344">
        <f t="shared" ref="L196" si="100">+J196+K196</f>
        <v>0</v>
      </c>
      <c r="M196" s="344">
        <f t="shared" si="94"/>
        <v>0</v>
      </c>
      <c r="N196" s="337">
        <f t="shared" ref="N196:N197" si="101">+F196-M196</f>
        <v>1500000</v>
      </c>
      <c r="P196" s="340"/>
      <c r="S196" s="347"/>
      <c r="T196" s="347"/>
      <c r="U196" s="382"/>
    </row>
    <row r="197" spans="1:21" s="381" customFormat="1" ht="18" customHeight="1" x14ac:dyDescent="0.25">
      <c r="A197" s="380"/>
      <c r="B197" s="352"/>
      <c r="C197" s="334"/>
      <c r="D197" s="335" t="s">
        <v>82</v>
      </c>
      <c r="E197" s="335" t="s">
        <v>83</v>
      </c>
      <c r="F197" s="337">
        <v>76800000</v>
      </c>
      <c r="G197" s="344"/>
      <c r="H197" s="344"/>
      <c r="I197" s="344">
        <f>+G197+H197</f>
        <v>0</v>
      </c>
      <c r="J197" s="344">
        <v>6240000</v>
      </c>
      <c r="K197" s="344">
        <v>6240000</v>
      </c>
      <c r="L197" s="344">
        <f>+J197+K197</f>
        <v>12480000</v>
      </c>
      <c r="M197" s="344">
        <f>+I197+L197</f>
        <v>12480000</v>
      </c>
      <c r="N197" s="337">
        <f t="shared" si="101"/>
        <v>64320000</v>
      </c>
      <c r="P197" s="340"/>
      <c r="S197" s="346">
        <v>6240000</v>
      </c>
      <c r="T197" s="347"/>
      <c r="U197" s="382"/>
    </row>
    <row r="198" spans="1:21" s="339" customFormat="1" ht="18" customHeight="1" x14ac:dyDescent="0.25">
      <c r="A198" s="334"/>
      <c r="B198" s="335"/>
      <c r="C198" s="334"/>
      <c r="D198" s="365" t="s">
        <v>275</v>
      </c>
      <c r="E198" s="335" t="s">
        <v>276</v>
      </c>
      <c r="F198" s="337">
        <f>+F199</f>
        <v>52500000</v>
      </c>
      <c r="G198" s="344">
        <f>+G199</f>
        <v>0</v>
      </c>
      <c r="H198" s="344">
        <f>+H199</f>
        <v>0</v>
      </c>
      <c r="I198" s="344">
        <f>+G198+H198</f>
        <v>0</v>
      </c>
      <c r="J198" s="344">
        <f>+J199</f>
        <v>0</v>
      </c>
      <c r="K198" s="344">
        <f>+K199</f>
        <v>0</v>
      </c>
      <c r="L198" s="344">
        <f>+J198+K198</f>
        <v>0</v>
      </c>
      <c r="M198" s="344">
        <f t="shared" ref="M198:M205" si="102">+I198+L198</f>
        <v>0</v>
      </c>
      <c r="N198" s="337">
        <f>+F198-M198</f>
        <v>52500000</v>
      </c>
      <c r="P198" s="340"/>
      <c r="S198" s="347"/>
      <c r="T198" s="347"/>
      <c r="U198" s="342"/>
    </row>
    <row r="199" spans="1:21" s="381" customFormat="1" ht="18" customHeight="1" x14ac:dyDescent="0.25">
      <c r="A199" s="380"/>
      <c r="B199" s="352"/>
      <c r="C199" s="334"/>
      <c r="D199" s="335" t="s">
        <v>150</v>
      </c>
      <c r="E199" s="335" t="s">
        <v>32</v>
      </c>
      <c r="F199" s="337">
        <f>+F200</f>
        <v>52500000</v>
      </c>
      <c r="G199" s="344">
        <f>SUM(G201:G201)</f>
        <v>0</v>
      </c>
      <c r="H199" s="344">
        <f>+H201</f>
        <v>0</v>
      </c>
      <c r="I199" s="344">
        <f>+G199+H199</f>
        <v>0</v>
      </c>
      <c r="J199" s="344">
        <f>SUM(J201:J201)</f>
        <v>0</v>
      </c>
      <c r="K199" s="344">
        <f>+K201</f>
        <v>0</v>
      </c>
      <c r="L199" s="344">
        <f>+J199+K199</f>
        <v>0</v>
      </c>
      <c r="M199" s="344">
        <f t="shared" si="102"/>
        <v>0</v>
      </c>
      <c r="N199" s="337">
        <f>+F199-M199</f>
        <v>52500000</v>
      </c>
      <c r="P199" s="340"/>
      <c r="S199" s="347"/>
      <c r="T199" s="347"/>
      <c r="U199" s="382"/>
    </row>
    <row r="200" spans="1:21" s="381" customFormat="1" ht="36" customHeight="1" x14ac:dyDescent="0.25">
      <c r="A200" s="380"/>
      <c r="B200" s="352"/>
      <c r="C200" s="334"/>
      <c r="D200" s="335" t="s">
        <v>462</v>
      </c>
      <c r="E200" s="391" t="s">
        <v>463</v>
      </c>
      <c r="F200" s="337">
        <v>52500000</v>
      </c>
      <c r="G200" s="344"/>
      <c r="H200" s="344"/>
      <c r="I200" s="344">
        <f t="shared" ref="I200" si="103">+G200+H200</f>
        <v>0</v>
      </c>
      <c r="J200" s="344"/>
      <c r="K200" s="344"/>
      <c r="L200" s="344">
        <f t="shared" ref="L200" si="104">+J200+K200</f>
        <v>0</v>
      </c>
      <c r="M200" s="344">
        <f t="shared" si="102"/>
        <v>0</v>
      </c>
      <c r="N200" s="337">
        <f t="shared" ref="N200" si="105">+F200-M200</f>
        <v>52500000</v>
      </c>
      <c r="P200" s="340"/>
      <c r="S200" s="347"/>
      <c r="T200" s="347"/>
      <c r="U200" s="382"/>
    </row>
    <row r="201" spans="1:21" s="381" customFormat="1" ht="18" customHeight="1" x14ac:dyDescent="0.25">
      <c r="A201" s="380"/>
      <c r="B201" s="383"/>
      <c r="C201" s="384"/>
      <c r="D201" s="365" t="s">
        <v>267</v>
      </c>
      <c r="E201" s="335" t="s">
        <v>268</v>
      </c>
      <c r="F201" s="337">
        <f t="shared" ref="F201:H203" si="106">+F202</f>
        <v>26000000</v>
      </c>
      <c r="G201" s="344">
        <f t="shared" si="106"/>
        <v>0</v>
      </c>
      <c r="H201" s="344">
        <f t="shared" si="106"/>
        <v>0</v>
      </c>
      <c r="I201" s="344">
        <f>+G201+H201</f>
        <v>0</v>
      </c>
      <c r="J201" s="344">
        <f t="shared" ref="J201:K204" si="107">+J202</f>
        <v>0</v>
      </c>
      <c r="K201" s="344">
        <f t="shared" si="107"/>
        <v>0</v>
      </c>
      <c r="L201" s="344">
        <f>+J201+K201</f>
        <v>0</v>
      </c>
      <c r="M201" s="344">
        <f t="shared" si="102"/>
        <v>0</v>
      </c>
      <c r="N201" s="337">
        <f>+F201-M201</f>
        <v>26000000</v>
      </c>
      <c r="P201" s="340"/>
      <c r="R201" s="385"/>
      <c r="S201" s="347"/>
      <c r="T201" s="347"/>
      <c r="U201" s="382"/>
    </row>
    <row r="202" spans="1:21" s="381" customFormat="1" ht="18" customHeight="1" x14ac:dyDescent="0.25">
      <c r="A202" s="380"/>
      <c r="B202" s="352"/>
      <c r="C202" s="334"/>
      <c r="D202" s="335" t="s">
        <v>78</v>
      </c>
      <c r="E202" s="335" t="s">
        <v>75</v>
      </c>
      <c r="F202" s="337">
        <f t="shared" si="106"/>
        <v>26000000</v>
      </c>
      <c r="G202" s="344">
        <f t="shared" si="106"/>
        <v>0</v>
      </c>
      <c r="H202" s="344">
        <f t="shared" si="106"/>
        <v>0</v>
      </c>
      <c r="I202" s="344">
        <f t="shared" ref="I202:I205" si="108">+G202+H202</f>
        <v>0</v>
      </c>
      <c r="J202" s="344">
        <f t="shared" si="107"/>
        <v>0</v>
      </c>
      <c r="K202" s="344">
        <f t="shared" si="107"/>
        <v>0</v>
      </c>
      <c r="L202" s="344">
        <f t="shared" ref="L202:L203" si="109">+J202+K202</f>
        <v>0</v>
      </c>
      <c r="M202" s="344">
        <f t="shared" si="102"/>
        <v>0</v>
      </c>
      <c r="N202" s="337">
        <f>+F202-M202</f>
        <v>26000000</v>
      </c>
      <c r="P202" s="340"/>
      <c r="S202" s="347"/>
      <c r="T202" s="347"/>
      <c r="U202" s="382"/>
    </row>
    <row r="203" spans="1:21" s="339" customFormat="1" ht="18" customHeight="1" x14ac:dyDescent="0.25">
      <c r="A203" s="334"/>
      <c r="B203" s="335"/>
      <c r="C203" s="334"/>
      <c r="D203" s="365" t="s">
        <v>269</v>
      </c>
      <c r="E203" s="335" t="s">
        <v>270</v>
      </c>
      <c r="F203" s="337">
        <f t="shared" si="106"/>
        <v>26000000</v>
      </c>
      <c r="G203" s="344">
        <f>+G204</f>
        <v>0</v>
      </c>
      <c r="H203" s="344">
        <f>+H204</f>
        <v>0</v>
      </c>
      <c r="I203" s="344">
        <f t="shared" si="108"/>
        <v>0</v>
      </c>
      <c r="J203" s="344">
        <f t="shared" si="107"/>
        <v>0</v>
      </c>
      <c r="K203" s="344">
        <f t="shared" si="107"/>
        <v>0</v>
      </c>
      <c r="L203" s="344">
        <f t="shared" si="109"/>
        <v>0</v>
      </c>
      <c r="M203" s="344">
        <f t="shared" si="102"/>
        <v>0</v>
      </c>
      <c r="N203" s="337">
        <f>+F203-M203</f>
        <v>26000000</v>
      </c>
      <c r="P203" s="340"/>
      <c r="S203" s="347"/>
      <c r="T203" s="347"/>
      <c r="U203" s="342"/>
    </row>
    <row r="204" spans="1:21" s="381" customFormat="1" ht="18" customHeight="1" x14ac:dyDescent="0.25">
      <c r="A204" s="380"/>
      <c r="B204" s="352"/>
      <c r="C204" s="334"/>
      <c r="D204" s="335" t="s">
        <v>76</v>
      </c>
      <c r="E204" s="335" t="s">
        <v>77</v>
      </c>
      <c r="F204" s="337">
        <f>SUM(F205)</f>
        <v>26000000</v>
      </c>
      <c r="G204" s="344">
        <f>+G205</f>
        <v>0</v>
      </c>
      <c r="H204" s="344">
        <f>+H205</f>
        <v>0</v>
      </c>
      <c r="I204" s="344">
        <f>+G204+H204</f>
        <v>0</v>
      </c>
      <c r="J204" s="344">
        <f t="shared" si="107"/>
        <v>0</v>
      </c>
      <c r="K204" s="344">
        <f t="shared" si="107"/>
        <v>0</v>
      </c>
      <c r="L204" s="344">
        <f>+J204+K204</f>
        <v>0</v>
      </c>
      <c r="M204" s="344">
        <f t="shared" si="102"/>
        <v>0</v>
      </c>
      <c r="N204" s="337">
        <f>+F204-M204</f>
        <v>26000000</v>
      </c>
      <c r="P204" s="340"/>
      <c r="S204" s="347"/>
      <c r="T204" s="347"/>
      <c r="U204" s="382"/>
    </row>
    <row r="205" spans="1:21" s="388" customFormat="1" ht="18" customHeight="1" x14ac:dyDescent="0.25">
      <c r="A205" s="386"/>
      <c r="B205" s="387"/>
      <c r="C205" s="353"/>
      <c r="D205" s="355" t="s">
        <v>393</v>
      </c>
      <c r="E205" s="355" t="s">
        <v>394</v>
      </c>
      <c r="F205" s="356">
        <v>26000000</v>
      </c>
      <c r="G205" s="357"/>
      <c r="H205" s="357"/>
      <c r="I205" s="357">
        <f t="shared" si="108"/>
        <v>0</v>
      </c>
      <c r="J205" s="357"/>
      <c r="K205" s="357"/>
      <c r="L205" s="357">
        <f t="shared" ref="L205" si="110">+J205+K205</f>
        <v>0</v>
      </c>
      <c r="M205" s="357">
        <f t="shared" si="102"/>
        <v>0</v>
      </c>
      <c r="N205" s="356">
        <f t="shared" ref="N205" si="111">+F205-M205</f>
        <v>26000000</v>
      </c>
      <c r="P205" s="200"/>
      <c r="S205" s="221"/>
      <c r="T205" s="221"/>
      <c r="U205" s="389"/>
    </row>
    <row r="206" spans="1:21" s="319" customFormat="1" ht="18" customHeight="1" x14ac:dyDescent="0.25">
      <c r="A206" s="276">
        <v>10</v>
      </c>
      <c r="B206" s="305"/>
      <c r="C206" s="390" t="s">
        <v>112</v>
      </c>
      <c r="D206" s="363"/>
      <c r="E206" s="364" t="s">
        <v>113</v>
      </c>
      <c r="F206" s="307">
        <f>+F207+F221</f>
        <v>810211500</v>
      </c>
      <c r="G206" s="308">
        <f>G207+G221</f>
        <v>0</v>
      </c>
      <c r="H206" s="308">
        <f>H207+H221</f>
        <v>0</v>
      </c>
      <c r="I206" s="308">
        <f>+G206+H206</f>
        <v>0</v>
      </c>
      <c r="J206" s="308">
        <f>J207+J221</f>
        <v>1600000</v>
      </c>
      <c r="K206" s="308">
        <f>K207+K221</f>
        <v>1600000</v>
      </c>
      <c r="L206" s="308">
        <f>+J206+K206</f>
        <v>3200000</v>
      </c>
      <c r="M206" s="308">
        <f>+I206+L206</f>
        <v>3200000</v>
      </c>
      <c r="N206" s="307">
        <f>+F206-M206</f>
        <v>807011500</v>
      </c>
      <c r="P206" s="320"/>
      <c r="R206" s="321"/>
      <c r="S206" s="349"/>
      <c r="T206" s="349"/>
      <c r="U206" s="350"/>
    </row>
    <row r="207" spans="1:21" s="329" customFormat="1" ht="18" customHeight="1" x14ac:dyDescent="0.25">
      <c r="A207" s="323"/>
      <c r="B207" s="324"/>
      <c r="C207" s="379"/>
      <c r="D207" s="325" t="s">
        <v>207</v>
      </c>
      <c r="E207" s="326" t="s">
        <v>262</v>
      </c>
      <c r="F207" s="327">
        <f>+F208</f>
        <v>441471500</v>
      </c>
      <c r="G207" s="328">
        <f>+G208</f>
        <v>0</v>
      </c>
      <c r="H207" s="328">
        <f>+H208</f>
        <v>0</v>
      </c>
      <c r="I207" s="328">
        <f>+G207+H207</f>
        <v>0</v>
      </c>
      <c r="J207" s="328">
        <f>+J208</f>
        <v>1600000</v>
      </c>
      <c r="K207" s="328">
        <f>+K208</f>
        <v>1600000</v>
      </c>
      <c r="L207" s="328">
        <f>+J207+K207</f>
        <v>3200000</v>
      </c>
      <c r="M207" s="328">
        <f t="shared" ref="M207:M220" si="112">+I207+L207</f>
        <v>3200000</v>
      </c>
      <c r="N207" s="327">
        <f>+F207-M207</f>
        <v>438271500</v>
      </c>
      <c r="P207" s="330"/>
      <c r="R207" s="331"/>
      <c r="S207" s="351"/>
      <c r="T207" s="351"/>
      <c r="U207" s="333"/>
    </row>
    <row r="208" spans="1:21" s="381" customFormat="1" ht="18" customHeight="1" x14ac:dyDescent="0.25">
      <c r="A208" s="380"/>
      <c r="B208" s="352"/>
      <c r="C208" s="334"/>
      <c r="D208" s="335" t="s">
        <v>63</v>
      </c>
      <c r="E208" s="335" t="s">
        <v>30</v>
      </c>
      <c r="F208" s="337">
        <f>+F209+F212+F216</f>
        <v>441471500</v>
      </c>
      <c r="G208" s="344">
        <f>+G209+G212+G216</f>
        <v>0</v>
      </c>
      <c r="H208" s="344">
        <f>+H209+H212+H216</f>
        <v>0</v>
      </c>
      <c r="I208" s="344">
        <f t="shared" ref="I208:I218" si="113">+G208+H208</f>
        <v>0</v>
      </c>
      <c r="J208" s="344">
        <f>+J209+J212+J216</f>
        <v>1600000</v>
      </c>
      <c r="K208" s="344">
        <f>+K209+K212+K216</f>
        <v>1600000</v>
      </c>
      <c r="L208" s="344">
        <f t="shared" ref="L208:L209" si="114">+J208+K208</f>
        <v>3200000</v>
      </c>
      <c r="M208" s="344">
        <f t="shared" si="112"/>
        <v>3200000</v>
      </c>
      <c r="N208" s="337">
        <f>+F208-M208</f>
        <v>438271500</v>
      </c>
      <c r="P208" s="340"/>
      <c r="S208" s="347"/>
      <c r="T208" s="347"/>
      <c r="U208" s="382"/>
    </row>
    <row r="209" spans="1:21" s="339" customFormat="1" ht="18" customHeight="1" x14ac:dyDescent="0.25">
      <c r="A209" s="334"/>
      <c r="B209" s="335"/>
      <c r="C209" s="334"/>
      <c r="D209" s="365" t="s">
        <v>263</v>
      </c>
      <c r="E209" s="335" t="s">
        <v>264</v>
      </c>
      <c r="F209" s="337">
        <f t="shared" ref="F209:H209" si="115">+F210</f>
        <v>4031500</v>
      </c>
      <c r="G209" s="344">
        <f>+G210</f>
        <v>0</v>
      </c>
      <c r="H209" s="344">
        <f t="shared" si="115"/>
        <v>0</v>
      </c>
      <c r="I209" s="344">
        <f t="shared" si="113"/>
        <v>0</v>
      </c>
      <c r="J209" s="344">
        <f>+J210</f>
        <v>0</v>
      </c>
      <c r="K209" s="344">
        <f t="shared" ref="K209" si="116">+K210</f>
        <v>0</v>
      </c>
      <c r="L209" s="344">
        <f t="shared" si="114"/>
        <v>0</v>
      </c>
      <c r="M209" s="344">
        <f t="shared" si="112"/>
        <v>0</v>
      </c>
      <c r="N209" s="337">
        <f>+F209-M209</f>
        <v>4031500</v>
      </c>
      <c r="P209" s="340"/>
      <c r="S209" s="347"/>
      <c r="T209" s="347"/>
      <c r="U209" s="342"/>
    </row>
    <row r="210" spans="1:21" s="381" customFormat="1" ht="18" customHeight="1" x14ac:dyDescent="0.25">
      <c r="A210" s="380"/>
      <c r="B210" s="352"/>
      <c r="C210" s="334"/>
      <c r="D210" s="335" t="s">
        <v>64</v>
      </c>
      <c r="E210" s="335" t="s">
        <v>65</v>
      </c>
      <c r="F210" s="337">
        <f>F211</f>
        <v>4031500</v>
      </c>
      <c r="G210" s="344">
        <f>SUM(G211:G211)</f>
        <v>0</v>
      </c>
      <c r="H210" s="344">
        <f>SUM(H211:H211)</f>
        <v>0</v>
      </c>
      <c r="I210" s="344">
        <f>+G210+H210</f>
        <v>0</v>
      </c>
      <c r="J210" s="344">
        <f>SUM(J211:J211)</f>
        <v>0</v>
      </c>
      <c r="K210" s="344">
        <f>SUM(K211:K211)</f>
        <v>0</v>
      </c>
      <c r="L210" s="344">
        <f>+J210+K210</f>
        <v>0</v>
      </c>
      <c r="M210" s="344">
        <f t="shared" si="112"/>
        <v>0</v>
      </c>
      <c r="N210" s="337">
        <f>+F210-M210</f>
        <v>4031500</v>
      </c>
      <c r="P210" s="340"/>
      <c r="S210" s="347"/>
      <c r="T210" s="347"/>
      <c r="U210" s="382"/>
    </row>
    <row r="211" spans="1:21" s="381" customFormat="1" ht="18" customHeight="1" x14ac:dyDescent="0.25">
      <c r="A211" s="380"/>
      <c r="B211" s="352"/>
      <c r="C211" s="334"/>
      <c r="D211" s="335" t="s">
        <v>339</v>
      </c>
      <c r="E211" s="335" t="s">
        <v>340</v>
      </c>
      <c r="F211" s="337">
        <v>4031500</v>
      </c>
      <c r="G211" s="344"/>
      <c r="H211" s="344"/>
      <c r="I211" s="344">
        <f t="shared" si="113"/>
        <v>0</v>
      </c>
      <c r="J211" s="344"/>
      <c r="K211" s="344"/>
      <c r="L211" s="344">
        <f t="shared" ref="L211" si="117">+J211+K211</f>
        <v>0</v>
      </c>
      <c r="M211" s="344">
        <f t="shared" si="112"/>
        <v>0</v>
      </c>
      <c r="N211" s="337">
        <f t="shared" ref="N211" si="118">+F211-M211</f>
        <v>4031500</v>
      </c>
      <c r="P211" s="340"/>
      <c r="S211" s="347"/>
      <c r="T211" s="347"/>
      <c r="U211" s="382"/>
    </row>
    <row r="212" spans="1:21" s="339" customFormat="1" ht="18" customHeight="1" x14ac:dyDescent="0.25">
      <c r="A212" s="334"/>
      <c r="B212" s="335"/>
      <c r="C212" s="334"/>
      <c r="D212" s="365" t="s">
        <v>271</v>
      </c>
      <c r="E212" s="335" t="s">
        <v>272</v>
      </c>
      <c r="F212" s="337">
        <f t="shared" ref="F212:H212" si="119">+F213</f>
        <v>98700000</v>
      </c>
      <c r="G212" s="344">
        <f>+G213</f>
        <v>0</v>
      </c>
      <c r="H212" s="344">
        <f t="shared" si="119"/>
        <v>0</v>
      </c>
      <c r="I212" s="344">
        <f t="shared" si="113"/>
        <v>0</v>
      </c>
      <c r="J212" s="344">
        <f>+J213</f>
        <v>1600000</v>
      </c>
      <c r="K212" s="344">
        <f t="shared" ref="K212" si="120">+K213</f>
        <v>1600000</v>
      </c>
      <c r="L212" s="344">
        <f>+J212+K212</f>
        <v>3200000</v>
      </c>
      <c r="M212" s="344">
        <f t="shared" si="112"/>
        <v>3200000</v>
      </c>
      <c r="N212" s="337">
        <f>+F212-M212</f>
        <v>95500000</v>
      </c>
      <c r="P212" s="340"/>
      <c r="S212" s="347"/>
      <c r="T212" s="347"/>
      <c r="U212" s="342"/>
    </row>
    <row r="213" spans="1:21" s="381" customFormat="1" ht="18" customHeight="1" x14ac:dyDescent="0.25">
      <c r="A213" s="380"/>
      <c r="B213" s="352"/>
      <c r="C213" s="334"/>
      <c r="D213" s="335" t="s">
        <v>81</v>
      </c>
      <c r="E213" s="335" t="s">
        <v>31</v>
      </c>
      <c r="F213" s="337">
        <f>SUM(F214:F215)</f>
        <v>98700000</v>
      </c>
      <c r="G213" s="344">
        <f>SUM(G214:G215)</f>
        <v>0</v>
      </c>
      <c r="H213" s="344">
        <f>SUM(H214:H215)</f>
        <v>0</v>
      </c>
      <c r="I213" s="344">
        <f t="shared" si="113"/>
        <v>0</v>
      </c>
      <c r="J213" s="344">
        <f>SUM(J214:J215)</f>
        <v>1600000</v>
      </c>
      <c r="K213" s="344">
        <f>SUM(K214:K215)</f>
        <v>1600000</v>
      </c>
      <c r="L213" s="344">
        <f>+J213+K213</f>
        <v>3200000</v>
      </c>
      <c r="M213" s="344">
        <f t="shared" si="112"/>
        <v>3200000</v>
      </c>
      <c r="N213" s="337">
        <f>+F213-M213</f>
        <v>95500000</v>
      </c>
      <c r="P213" s="340"/>
      <c r="S213" s="347"/>
      <c r="T213" s="347"/>
      <c r="U213" s="382"/>
    </row>
    <row r="214" spans="1:21" s="381" customFormat="1" ht="18" customHeight="1" x14ac:dyDescent="0.25">
      <c r="A214" s="392"/>
      <c r="B214" s="339"/>
      <c r="C214" s="366"/>
      <c r="D214" s="367" t="s">
        <v>82</v>
      </c>
      <c r="E214" s="367" t="s">
        <v>83</v>
      </c>
      <c r="F214" s="370">
        <v>38400000</v>
      </c>
      <c r="G214" s="371"/>
      <c r="H214" s="371"/>
      <c r="I214" s="371">
        <f t="shared" si="113"/>
        <v>0</v>
      </c>
      <c r="J214" s="371">
        <v>1600000</v>
      </c>
      <c r="K214" s="371">
        <v>1600000</v>
      </c>
      <c r="L214" s="371">
        <f>+J214+K214</f>
        <v>3200000</v>
      </c>
      <c r="M214" s="371">
        <f>+I214+L214</f>
        <v>3200000</v>
      </c>
      <c r="N214" s="370">
        <f>+F214-M214</f>
        <v>35200000</v>
      </c>
      <c r="P214" s="340"/>
      <c r="S214" s="346">
        <v>1600000</v>
      </c>
      <c r="T214" s="347"/>
      <c r="U214" s="382"/>
    </row>
    <row r="215" spans="1:21" s="381" customFormat="1" ht="18" customHeight="1" x14ac:dyDescent="0.25">
      <c r="A215" s="392"/>
      <c r="B215" s="339"/>
      <c r="C215" s="366"/>
      <c r="D215" s="367" t="s">
        <v>111</v>
      </c>
      <c r="E215" s="367" t="s">
        <v>44</v>
      </c>
      <c r="F215" s="370">
        <v>60300000</v>
      </c>
      <c r="G215" s="371"/>
      <c r="H215" s="371"/>
      <c r="I215" s="371">
        <f t="shared" si="113"/>
        <v>0</v>
      </c>
      <c r="J215" s="371"/>
      <c r="K215" s="371"/>
      <c r="L215" s="371">
        <f t="shared" ref="L215" si="121">+J215+K215</f>
        <v>0</v>
      </c>
      <c r="M215" s="371">
        <f t="shared" si="112"/>
        <v>0</v>
      </c>
      <c r="N215" s="370">
        <f t="shared" ref="N215" si="122">+F215-M215</f>
        <v>60300000</v>
      </c>
      <c r="P215" s="340"/>
      <c r="S215" s="347"/>
      <c r="T215" s="347"/>
      <c r="U215" s="382"/>
    </row>
    <row r="216" spans="1:21" s="339" customFormat="1" ht="18" customHeight="1" x14ac:dyDescent="0.25">
      <c r="A216" s="334"/>
      <c r="B216" s="335"/>
      <c r="C216" s="334"/>
      <c r="D216" s="365" t="s">
        <v>275</v>
      </c>
      <c r="E216" s="335" t="s">
        <v>276</v>
      </c>
      <c r="F216" s="337">
        <f t="shared" ref="F216:H216" si="123">+F217</f>
        <v>338740000</v>
      </c>
      <c r="G216" s="344">
        <f>+G217</f>
        <v>0</v>
      </c>
      <c r="H216" s="344">
        <f t="shared" si="123"/>
        <v>0</v>
      </c>
      <c r="I216" s="344">
        <f t="shared" si="113"/>
        <v>0</v>
      </c>
      <c r="J216" s="344">
        <f>+J217</f>
        <v>0</v>
      </c>
      <c r="K216" s="344">
        <f t="shared" ref="K216" si="124">+K217</f>
        <v>0</v>
      </c>
      <c r="L216" s="344">
        <f>+J216+K216</f>
        <v>0</v>
      </c>
      <c r="M216" s="344">
        <f t="shared" si="112"/>
        <v>0</v>
      </c>
      <c r="N216" s="337">
        <f>+F216-M216</f>
        <v>338740000</v>
      </c>
      <c r="P216" s="340"/>
      <c r="S216" s="347"/>
      <c r="T216" s="347"/>
      <c r="U216" s="342"/>
    </row>
    <row r="217" spans="1:21" s="381" customFormat="1" ht="18" customHeight="1" x14ac:dyDescent="0.25">
      <c r="A217" s="380"/>
      <c r="B217" s="352"/>
      <c r="C217" s="334"/>
      <c r="D217" s="335" t="s">
        <v>114</v>
      </c>
      <c r="E217" s="335" t="s">
        <v>43</v>
      </c>
      <c r="F217" s="337">
        <f>SUM(F218:F220)</f>
        <v>338740000</v>
      </c>
      <c r="G217" s="344">
        <f>SUM(G218:G220)</f>
        <v>0</v>
      </c>
      <c r="H217" s="344">
        <f>SUM(H218:H220)</f>
        <v>0</v>
      </c>
      <c r="I217" s="344">
        <f t="shared" si="113"/>
        <v>0</v>
      </c>
      <c r="J217" s="344">
        <f>SUM(J218:J220)</f>
        <v>0</v>
      </c>
      <c r="K217" s="344">
        <f>SUM(K218:K220)</f>
        <v>0</v>
      </c>
      <c r="L217" s="344">
        <f>+J217+K217</f>
        <v>0</v>
      </c>
      <c r="M217" s="344">
        <f t="shared" si="112"/>
        <v>0</v>
      </c>
      <c r="N217" s="337">
        <f>+F217-M217</f>
        <v>338740000</v>
      </c>
      <c r="P217" s="340"/>
      <c r="S217" s="347"/>
      <c r="T217" s="347"/>
      <c r="U217" s="382"/>
    </row>
    <row r="218" spans="1:21" s="381" customFormat="1" ht="21" customHeight="1" x14ac:dyDescent="0.25">
      <c r="A218" s="392"/>
      <c r="B218" s="339"/>
      <c r="C218" s="366"/>
      <c r="D218" s="367" t="s">
        <v>349</v>
      </c>
      <c r="E218" s="369" t="s">
        <v>350</v>
      </c>
      <c r="F218" s="370">
        <v>21240000</v>
      </c>
      <c r="G218" s="371"/>
      <c r="H218" s="371"/>
      <c r="I218" s="371">
        <f t="shared" si="113"/>
        <v>0</v>
      </c>
      <c r="J218" s="371"/>
      <c r="K218" s="371"/>
      <c r="L218" s="371">
        <f t="shared" ref="L218" si="125">+J218+K218</f>
        <v>0</v>
      </c>
      <c r="M218" s="371">
        <f t="shared" si="112"/>
        <v>0</v>
      </c>
      <c r="N218" s="370">
        <f>+F218-M218</f>
        <v>21240000</v>
      </c>
      <c r="P218" s="340"/>
      <c r="S218" s="347"/>
      <c r="T218" s="347"/>
      <c r="U218" s="382"/>
    </row>
    <row r="219" spans="1:21" s="381" customFormat="1" ht="30.75" customHeight="1" x14ac:dyDescent="0.25">
      <c r="A219" s="392"/>
      <c r="B219" s="339"/>
      <c r="C219" s="366"/>
      <c r="D219" s="367" t="s">
        <v>395</v>
      </c>
      <c r="E219" s="369" t="s">
        <v>396</v>
      </c>
      <c r="F219" s="370">
        <v>2500000</v>
      </c>
      <c r="G219" s="371"/>
      <c r="H219" s="371"/>
      <c r="I219" s="371"/>
      <c r="J219" s="371"/>
      <c r="K219" s="371"/>
      <c r="L219" s="371">
        <f>+J219+K219</f>
        <v>0</v>
      </c>
      <c r="M219" s="371">
        <f t="shared" si="112"/>
        <v>0</v>
      </c>
      <c r="N219" s="370">
        <f>+F219-M219</f>
        <v>2500000</v>
      </c>
      <c r="P219" s="340"/>
      <c r="S219" s="347"/>
      <c r="T219" s="347"/>
      <c r="U219" s="382"/>
    </row>
    <row r="220" spans="1:21" s="381" customFormat="1" ht="18" customHeight="1" x14ac:dyDescent="0.25">
      <c r="A220" s="392"/>
      <c r="B220" s="339"/>
      <c r="C220" s="366"/>
      <c r="D220" s="367" t="s">
        <v>354</v>
      </c>
      <c r="E220" s="369" t="s">
        <v>355</v>
      </c>
      <c r="F220" s="370">
        <v>315000000</v>
      </c>
      <c r="G220" s="371"/>
      <c r="H220" s="371"/>
      <c r="I220" s="371">
        <f>+G220+H220</f>
        <v>0</v>
      </c>
      <c r="J220" s="371"/>
      <c r="K220" s="371"/>
      <c r="L220" s="371"/>
      <c r="M220" s="371">
        <f t="shared" si="112"/>
        <v>0</v>
      </c>
      <c r="N220" s="370">
        <f t="shared" ref="N220" si="126">+F220-M220</f>
        <v>315000000</v>
      </c>
      <c r="P220" s="340"/>
      <c r="S220" s="347"/>
      <c r="T220" s="346"/>
      <c r="U220" s="382"/>
    </row>
    <row r="221" spans="1:21" s="381" customFormat="1" ht="18" customHeight="1" x14ac:dyDescent="0.25">
      <c r="A221" s="380"/>
      <c r="B221" s="383"/>
      <c r="C221" s="384"/>
      <c r="D221" s="365" t="s">
        <v>267</v>
      </c>
      <c r="E221" s="335" t="s">
        <v>268</v>
      </c>
      <c r="F221" s="337">
        <f>+F222+F234</f>
        <v>368740000</v>
      </c>
      <c r="G221" s="344">
        <f>+G222+G234</f>
        <v>0</v>
      </c>
      <c r="H221" s="344">
        <f>+H222+H234</f>
        <v>0</v>
      </c>
      <c r="I221" s="344">
        <f>+G221+H221</f>
        <v>0</v>
      </c>
      <c r="J221" s="344">
        <f>+J222</f>
        <v>0</v>
      </c>
      <c r="K221" s="344">
        <f>+K222</f>
        <v>0</v>
      </c>
      <c r="L221" s="344">
        <f>+J221+K221</f>
        <v>0</v>
      </c>
      <c r="M221" s="344">
        <f>+I221+L221</f>
        <v>0</v>
      </c>
      <c r="N221" s="337">
        <f>+F221-M221</f>
        <v>368740000</v>
      </c>
      <c r="P221" s="340"/>
      <c r="R221" s="385"/>
      <c r="S221" s="347"/>
      <c r="T221" s="347"/>
      <c r="U221" s="382"/>
    </row>
    <row r="222" spans="1:21" s="381" customFormat="1" ht="18" customHeight="1" x14ac:dyDescent="0.25">
      <c r="A222" s="380"/>
      <c r="B222" s="352"/>
      <c r="C222" s="334"/>
      <c r="D222" s="335" t="s">
        <v>78</v>
      </c>
      <c r="E222" s="335" t="s">
        <v>75</v>
      </c>
      <c r="F222" s="337">
        <f>+F223+F226+F231</f>
        <v>268740000</v>
      </c>
      <c r="G222" s="344">
        <f>+G223+G226</f>
        <v>0</v>
      </c>
      <c r="H222" s="344">
        <f>+H223+H226</f>
        <v>0</v>
      </c>
      <c r="I222" s="344">
        <f t="shared" ref="I222:I235" si="127">+G222+H222</f>
        <v>0</v>
      </c>
      <c r="J222" s="344">
        <f>+J223+J226</f>
        <v>0</v>
      </c>
      <c r="K222" s="344">
        <f t="shared" ref="K222:K223" si="128">+K223</f>
        <v>0</v>
      </c>
      <c r="L222" s="344">
        <f t="shared" ref="L222:L223" si="129">+J222+K222</f>
        <v>0</v>
      </c>
      <c r="M222" s="344">
        <f t="shared" ref="M222:M226" si="130">+I222+L222</f>
        <v>0</v>
      </c>
      <c r="N222" s="337">
        <f>+F222-M222</f>
        <v>268740000</v>
      </c>
      <c r="P222" s="340"/>
      <c r="S222" s="347"/>
      <c r="T222" s="347"/>
      <c r="U222" s="382"/>
    </row>
    <row r="223" spans="1:21" s="339" customFormat="1" ht="18" customHeight="1" x14ac:dyDescent="0.25">
      <c r="A223" s="334"/>
      <c r="B223" s="335"/>
      <c r="C223" s="334"/>
      <c r="D223" s="365" t="s">
        <v>269</v>
      </c>
      <c r="E223" s="335" t="s">
        <v>270</v>
      </c>
      <c r="F223" s="337">
        <f t="shared" ref="F223:H223" si="131">+F224</f>
        <v>32340000</v>
      </c>
      <c r="G223" s="344">
        <f>+G224</f>
        <v>0</v>
      </c>
      <c r="H223" s="344">
        <f t="shared" si="131"/>
        <v>0</v>
      </c>
      <c r="I223" s="344">
        <f t="shared" si="127"/>
        <v>0</v>
      </c>
      <c r="J223" s="344">
        <f>+J224</f>
        <v>0</v>
      </c>
      <c r="K223" s="344">
        <f t="shared" si="128"/>
        <v>0</v>
      </c>
      <c r="L223" s="344">
        <f t="shared" si="129"/>
        <v>0</v>
      </c>
      <c r="M223" s="344">
        <f t="shared" si="130"/>
        <v>0</v>
      </c>
      <c r="N223" s="337">
        <f>+F223-M223</f>
        <v>32340000</v>
      </c>
      <c r="P223" s="340"/>
      <c r="S223" s="347"/>
      <c r="T223" s="347"/>
      <c r="U223" s="342"/>
    </row>
    <row r="224" spans="1:21" s="381" customFormat="1" ht="18" customHeight="1" x14ac:dyDescent="0.25">
      <c r="A224" s="380"/>
      <c r="B224" s="352"/>
      <c r="C224" s="334"/>
      <c r="D224" s="335" t="s">
        <v>92</v>
      </c>
      <c r="E224" s="335" t="s">
        <v>94</v>
      </c>
      <c r="F224" s="337">
        <f>SUM(F225)</f>
        <v>32340000</v>
      </c>
      <c r="G224" s="344">
        <f>+G225</f>
        <v>0</v>
      </c>
      <c r="H224" s="344">
        <f>+H225</f>
        <v>0</v>
      </c>
      <c r="I224" s="344">
        <f>+G224+H224</f>
        <v>0</v>
      </c>
      <c r="J224" s="344">
        <f>+J225</f>
        <v>0</v>
      </c>
      <c r="K224" s="344">
        <f>+K225</f>
        <v>0</v>
      </c>
      <c r="L224" s="344">
        <f>+J224+K224</f>
        <v>0</v>
      </c>
      <c r="M224" s="344">
        <f t="shared" si="130"/>
        <v>0</v>
      </c>
      <c r="N224" s="337">
        <f>+F224-M224</f>
        <v>32340000</v>
      </c>
      <c r="P224" s="340"/>
      <c r="S224" s="347"/>
      <c r="T224" s="347"/>
      <c r="U224" s="382"/>
    </row>
    <row r="225" spans="1:21" s="381" customFormat="1" ht="18" customHeight="1" x14ac:dyDescent="0.25">
      <c r="A225" s="380"/>
      <c r="B225" s="352"/>
      <c r="C225" s="334"/>
      <c r="D225" s="335" t="s">
        <v>397</v>
      </c>
      <c r="E225" s="335" t="s">
        <v>398</v>
      </c>
      <c r="F225" s="337">
        <v>32340000</v>
      </c>
      <c r="G225" s="344"/>
      <c r="H225" s="344"/>
      <c r="I225" s="344">
        <f t="shared" si="127"/>
        <v>0</v>
      </c>
      <c r="J225" s="344"/>
      <c r="K225" s="344"/>
      <c r="L225" s="344">
        <f t="shared" ref="L225:L235" si="132">+J225+K225</f>
        <v>0</v>
      </c>
      <c r="M225" s="344">
        <f t="shared" si="130"/>
        <v>0</v>
      </c>
      <c r="N225" s="337">
        <f t="shared" ref="N225:N237" si="133">+F225-M225</f>
        <v>32340000</v>
      </c>
      <c r="P225" s="340"/>
      <c r="S225" s="347"/>
      <c r="T225" s="347"/>
      <c r="U225" s="382"/>
    </row>
    <row r="226" spans="1:21" s="339" customFormat="1" ht="18" customHeight="1" x14ac:dyDescent="0.25">
      <c r="A226" s="334"/>
      <c r="B226" s="335"/>
      <c r="C226" s="334"/>
      <c r="D226" s="365" t="s">
        <v>399</v>
      </c>
      <c r="E226" s="335" t="s">
        <v>400</v>
      </c>
      <c r="F226" s="337">
        <f t="shared" ref="F226:H226" si="134">+F227</f>
        <v>234600000</v>
      </c>
      <c r="G226" s="344">
        <f>+G227</f>
        <v>0</v>
      </c>
      <c r="H226" s="344">
        <f t="shared" si="134"/>
        <v>0</v>
      </c>
      <c r="I226" s="344">
        <f t="shared" si="127"/>
        <v>0</v>
      </c>
      <c r="J226" s="344">
        <f>+J227</f>
        <v>0</v>
      </c>
      <c r="K226" s="344">
        <f t="shared" ref="K226" si="135">+K227</f>
        <v>0</v>
      </c>
      <c r="L226" s="344">
        <f t="shared" si="132"/>
        <v>0</v>
      </c>
      <c r="M226" s="344">
        <f t="shared" si="130"/>
        <v>0</v>
      </c>
      <c r="N226" s="337">
        <f t="shared" si="133"/>
        <v>234600000</v>
      </c>
      <c r="P226" s="340"/>
      <c r="S226" s="347"/>
      <c r="T226" s="347"/>
      <c r="U226" s="342"/>
    </row>
    <row r="227" spans="1:21" s="381" customFormat="1" ht="18" customHeight="1" x14ac:dyDescent="0.25">
      <c r="A227" s="380"/>
      <c r="B227" s="352"/>
      <c r="C227" s="334"/>
      <c r="D227" s="335" t="s">
        <v>401</v>
      </c>
      <c r="E227" s="335" t="s">
        <v>402</v>
      </c>
      <c r="F227" s="337">
        <f>SUM(F228:F230)</f>
        <v>234600000</v>
      </c>
      <c r="G227" s="344">
        <f>SUM(G229:G229)</f>
        <v>0</v>
      </c>
      <c r="H227" s="344">
        <f>SUM(H229:H229)</f>
        <v>0</v>
      </c>
      <c r="I227" s="344">
        <f t="shared" si="127"/>
        <v>0</v>
      </c>
      <c r="J227" s="344">
        <f>SUM(J229:J229)</f>
        <v>0</v>
      </c>
      <c r="K227" s="344">
        <f>SUM(K229:K229)</f>
        <v>0</v>
      </c>
      <c r="L227" s="344">
        <f t="shared" si="132"/>
        <v>0</v>
      </c>
      <c r="M227" s="344">
        <f>+I227+L227</f>
        <v>0</v>
      </c>
      <c r="N227" s="337">
        <f t="shared" si="133"/>
        <v>234600000</v>
      </c>
      <c r="P227" s="340"/>
      <c r="S227" s="347"/>
      <c r="T227" s="347"/>
      <c r="U227" s="382"/>
    </row>
    <row r="228" spans="1:21" s="381" customFormat="1" ht="18" customHeight="1" x14ac:dyDescent="0.25">
      <c r="A228" s="380"/>
      <c r="B228" s="352"/>
      <c r="C228" s="334"/>
      <c r="D228" s="335" t="s">
        <v>464</v>
      </c>
      <c r="E228" s="335" t="s">
        <v>465</v>
      </c>
      <c r="F228" s="337">
        <v>3000000</v>
      </c>
      <c r="G228" s="344"/>
      <c r="H228" s="344"/>
      <c r="I228" s="344">
        <f t="shared" si="127"/>
        <v>0</v>
      </c>
      <c r="J228" s="344"/>
      <c r="K228" s="344"/>
      <c r="L228" s="344">
        <f t="shared" si="132"/>
        <v>0</v>
      </c>
      <c r="M228" s="344">
        <f>+I228+L228</f>
        <v>0</v>
      </c>
      <c r="N228" s="337">
        <f t="shared" si="133"/>
        <v>3000000</v>
      </c>
      <c r="P228" s="340"/>
      <c r="S228" s="347"/>
      <c r="T228" s="347"/>
      <c r="U228" s="382"/>
    </row>
    <row r="229" spans="1:21" s="381" customFormat="1" ht="18" customHeight="1" x14ac:dyDescent="0.25">
      <c r="A229" s="380"/>
      <c r="B229" s="352"/>
      <c r="C229" s="334"/>
      <c r="D229" s="335" t="s">
        <v>403</v>
      </c>
      <c r="E229" s="335" t="s">
        <v>404</v>
      </c>
      <c r="F229" s="337">
        <v>36600000</v>
      </c>
      <c r="G229" s="344"/>
      <c r="H229" s="344"/>
      <c r="I229" s="344">
        <f t="shared" si="127"/>
        <v>0</v>
      </c>
      <c r="J229" s="344"/>
      <c r="K229" s="344"/>
      <c r="L229" s="344">
        <f t="shared" si="132"/>
        <v>0</v>
      </c>
      <c r="M229" s="344">
        <f>+I229+L229</f>
        <v>0</v>
      </c>
      <c r="N229" s="337">
        <f t="shared" si="133"/>
        <v>36600000</v>
      </c>
      <c r="P229" s="340"/>
      <c r="S229" s="347"/>
      <c r="T229" s="347"/>
      <c r="U229" s="382"/>
    </row>
    <row r="230" spans="1:21" s="381" customFormat="1" ht="18" customHeight="1" x14ac:dyDescent="0.25">
      <c r="A230" s="380"/>
      <c r="B230" s="352"/>
      <c r="C230" s="334"/>
      <c r="D230" s="335" t="s">
        <v>459</v>
      </c>
      <c r="E230" s="335" t="s">
        <v>460</v>
      </c>
      <c r="F230" s="337">
        <v>195000000</v>
      </c>
      <c r="G230" s="344"/>
      <c r="H230" s="344"/>
      <c r="I230" s="344">
        <f t="shared" si="127"/>
        <v>0</v>
      </c>
      <c r="J230" s="344"/>
      <c r="K230" s="344"/>
      <c r="L230" s="344">
        <f t="shared" si="132"/>
        <v>0</v>
      </c>
      <c r="M230" s="344">
        <f>+I230+L230</f>
        <v>0</v>
      </c>
      <c r="N230" s="337">
        <f t="shared" si="133"/>
        <v>195000000</v>
      </c>
      <c r="P230" s="340"/>
      <c r="S230" s="347"/>
      <c r="T230" s="347"/>
      <c r="U230" s="382"/>
    </row>
    <row r="231" spans="1:21" s="339" customFormat="1" ht="18" customHeight="1" x14ac:dyDescent="0.25">
      <c r="A231" s="334"/>
      <c r="B231" s="335"/>
      <c r="C231" s="334"/>
      <c r="D231" s="365" t="s">
        <v>273</v>
      </c>
      <c r="E231" s="335" t="s">
        <v>274</v>
      </c>
      <c r="F231" s="337">
        <f>+F232</f>
        <v>1800000</v>
      </c>
      <c r="G231" s="344">
        <f>+G232</f>
        <v>0</v>
      </c>
      <c r="H231" s="344">
        <f t="shared" ref="H231" si="136">+H232</f>
        <v>0</v>
      </c>
      <c r="I231" s="344">
        <f t="shared" si="127"/>
        <v>0</v>
      </c>
      <c r="J231" s="344">
        <f>+J232</f>
        <v>0</v>
      </c>
      <c r="K231" s="344">
        <f t="shared" ref="K231" si="137">+K232</f>
        <v>0</v>
      </c>
      <c r="L231" s="344">
        <f t="shared" si="132"/>
        <v>0</v>
      </c>
      <c r="M231" s="344">
        <f t="shared" ref="M231" si="138">+I231+L231</f>
        <v>0</v>
      </c>
      <c r="N231" s="337">
        <f t="shared" si="133"/>
        <v>1800000</v>
      </c>
      <c r="P231" s="340"/>
      <c r="S231" s="347"/>
      <c r="T231" s="347"/>
      <c r="U231" s="342"/>
    </row>
    <row r="232" spans="1:21" s="381" customFormat="1" ht="18" customHeight="1" x14ac:dyDescent="0.25">
      <c r="A232" s="380"/>
      <c r="B232" s="352"/>
      <c r="C232" s="334"/>
      <c r="D232" s="335" t="s">
        <v>382</v>
      </c>
      <c r="E232" s="335" t="s">
        <v>383</v>
      </c>
      <c r="F232" s="337">
        <f>+F233</f>
        <v>1800000</v>
      </c>
      <c r="G232" s="344">
        <f>SUM(G234:G234)</f>
        <v>0</v>
      </c>
      <c r="H232" s="344">
        <f>SUM(H234:H234)</f>
        <v>0</v>
      </c>
      <c r="I232" s="344">
        <f t="shared" si="127"/>
        <v>0</v>
      </c>
      <c r="J232" s="344">
        <f>SUM(J234:J234)</f>
        <v>0</v>
      </c>
      <c r="K232" s="344">
        <f>SUM(K234:K234)</f>
        <v>0</v>
      </c>
      <c r="L232" s="344">
        <f t="shared" si="132"/>
        <v>0</v>
      </c>
      <c r="M232" s="344">
        <f>+I232+L232</f>
        <v>0</v>
      </c>
      <c r="N232" s="337">
        <f t="shared" si="133"/>
        <v>1800000</v>
      </c>
      <c r="P232" s="340"/>
      <c r="S232" s="347"/>
      <c r="T232" s="347"/>
      <c r="U232" s="382"/>
    </row>
    <row r="233" spans="1:21" s="381" customFormat="1" ht="18" customHeight="1" x14ac:dyDescent="0.25">
      <c r="A233" s="380"/>
      <c r="B233" s="352"/>
      <c r="C233" s="334"/>
      <c r="D233" s="335" t="s">
        <v>386</v>
      </c>
      <c r="E233" s="335" t="s">
        <v>387</v>
      </c>
      <c r="F233" s="337">
        <v>1800000</v>
      </c>
      <c r="G233" s="344"/>
      <c r="H233" s="344"/>
      <c r="I233" s="344">
        <f t="shared" si="127"/>
        <v>0</v>
      </c>
      <c r="J233" s="344"/>
      <c r="K233" s="344"/>
      <c r="L233" s="344">
        <f t="shared" si="132"/>
        <v>0</v>
      </c>
      <c r="M233" s="344">
        <f>+I233+L233</f>
        <v>0</v>
      </c>
      <c r="N233" s="337">
        <f t="shared" si="133"/>
        <v>1800000</v>
      </c>
      <c r="P233" s="340"/>
      <c r="S233" s="347"/>
      <c r="T233" s="347"/>
      <c r="U233" s="382"/>
    </row>
    <row r="234" spans="1:21" s="381" customFormat="1" ht="18" customHeight="1" x14ac:dyDescent="0.25">
      <c r="A234" s="380"/>
      <c r="B234" s="352"/>
      <c r="C234" s="334"/>
      <c r="D234" s="335" t="s">
        <v>466</v>
      </c>
      <c r="E234" s="335" t="s">
        <v>467</v>
      </c>
      <c r="F234" s="337">
        <f>+F235</f>
        <v>100000000</v>
      </c>
      <c r="G234" s="344">
        <f>+G235</f>
        <v>0</v>
      </c>
      <c r="H234" s="344">
        <f>+H235+H238</f>
        <v>0</v>
      </c>
      <c r="I234" s="344">
        <f t="shared" si="127"/>
        <v>0</v>
      </c>
      <c r="J234" s="344">
        <f>+J235</f>
        <v>0</v>
      </c>
      <c r="K234" s="344">
        <f t="shared" ref="K234:K235" si="139">+K235</f>
        <v>0</v>
      </c>
      <c r="L234" s="344">
        <f t="shared" si="132"/>
        <v>0</v>
      </c>
      <c r="M234" s="344">
        <f>+I234+L234</f>
        <v>0</v>
      </c>
      <c r="N234" s="337">
        <f t="shared" si="133"/>
        <v>100000000</v>
      </c>
      <c r="P234" s="340"/>
      <c r="S234" s="347"/>
      <c r="T234" s="347"/>
      <c r="U234" s="382"/>
    </row>
    <row r="235" spans="1:21" s="339" customFormat="1" ht="18" customHeight="1" x14ac:dyDescent="0.25">
      <c r="A235" s="334"/>
      <c r="B235" s="335"/>
      <c r="C235" s="334"/>
      <c r="D235" s="365" t="s">
        <v>468</v>
      </c>
      <c r="E235" s="335" t="s">
        <v>469</v>
      </c>
      <c r="F235" s="337">
        <f t="shared" ref="F235:H235" si="140">+F236</f>
        <v>100000000</v>
      </c>
      <c r="G235" s="344">
        <f>+G236</f>
        <v>0</v>
      </c>
      <c r="H235" s="344">
        <f t="shared" si="140"/>
        <v>0</v>
      </c>
      <c r="I235" s="344">
        <f t="shared" si="127"/>
        <v>0</v>
      </c>
      <c r="J235" s="344">
        <f>+J236</f>
        <v>0</v>
      </c>
      <c r="K235" s="344">
        <f t="shared" si="139"/>
        <v>0</v>
      </c>
      <c r="L235" s="344">
        <f t="shared" si="132"/>
        <v>0</v>
      </c>
      <c r="M235" s="344">
        <f t="shared" ref="M235:M236" si="141">+I235+L235</f>
        <v>0</v>
      </c>
      <c r="N235" s="337">
        <f t="shared" si="133"/>
        <v>100000000</v>
      </c>
      <c r="P235" s="340"/>
      <c r="S235" s="347"/>
      <c r="T235" s="347"/>
      <c r="U235" s="342"/>
    </row>
    <row r="236" spans="1:21" s="381" customFormat="1" ht="18" customHeight="1" x14ac:dyDescent="0.25">
      <c r="A236" s="380"/>
      <c r="B236" s="352"/>
      <c r="C236" s="334"/>
      <c r="D236" s="335" t="s">
        <v>470</v>
      </c>
      <c r="E236" s="335" t="s">
        <v>471</v>
      </c>
      <c r="F236" s="337">
        <f>SUM(F237)</f>
        <v>100000000</v>
      </c>
      <c r="G236" s="344">
        <f>+G237</f>
        <v>0</v>
      </c>
      <c r="H236" s="344">
        <f>+H237</f>
        <v>0</v>
      </c>
      <c r="I236" s="344">
        <f>+G236+H236</f>
        <v>0</v>
      </c>
      <c r="J236" s="344">
        <f>+J237</f>
        <v>0</v>
      </c>
      <c r="K236" s="344">
        <f>+K237</f>
        <v>0</v>
      </c>
      <c r="L236" s="344">
        <f>+J236+K236</f>
        <v>0</v>
      </c>
      <c r="M236" s="344">
        <f t="shared" si="141"/>
        <v>0</v>
      </c>
      <c r="N236" s="337">
        <f t="shared" si="133"/>
        <v>100000000</v>
      </c>
      <c r="P236" s="340"/>
      <c r="S236" s="347"/>
      <c r="T236" s="347"/>
      <c r="U236" s="382"/>
    </row>
    <row r="237" spans="1:21" s="381" customFormat="1" ht="18" customHeight="1" x14ac:dyDescent="0.25">
      <c r="A237" s="380"/>
      <c r="B237" s="352"/>
      <c r="C237" s="334"/>
      <c r="D237" s="335" t="s">
        <v>472</v>
      </c>
      <c r="E237" s="335" t="s">
        <v>473</v>
      </c>
      <c r="F237" s="337">
        <v>100000000</v>
      </c>
      <c r="G237" s="344"/>
      <c r="H237" s="344"/>
      <c r="I237" s="344">
        <f>+G237+H237</f>
        <v>0</v>
      </c>
      <c r="J237" s="344"/>
      <c r="K237" s="344"/>
      <c r="L237" s="344">
        <f t="shared" ref="L237" si="142">+J237+K237</f>
        <v>0</v>
      </c>
      <c r="M237" s="344">
        <f>+I237+L237</f>
        <v>0</v>
      </c>
      <c r="N237" s="337">
        <f t="shared" si="133"/>
        <v>100000000</v>
      </c>
      <c r="P237" s="340"/>
      <c r="S237" s="347"/>
      <c r="T237" s="347"/>
      <c r="U237" s="382"/>
    </row>
    <row r="238" spans="1:21" s="153" customFormat="1" ht="18" customHeight="1" x14ac:dyDescent="0.25">
      <c r="A238" s="353"/>
      <c r="B238" s="355"/>
      <c r="C238" s="355"/>
      <c r="D238" s="355"/>
      <c r="E238" s="355"/>
      <c r="F238" s="356"/>
      <c r="G238" s="357"/>
      <c r="H238" s="357"/>
      <c r="I238" s="357"/>
      <c r="J238" s="357"/>
      <c r="K238" s="357"/>
      <c r="L238" s="357"/>
      <c r="M238" s="357"/>
      <c r="N238" s="356"/>
      <c r="P238" s="200"/>
      <c r="S238" s="221"/>
      <c r="T238" s="221"/>
      <c r="U238" s="254"/>
    </row>
    <row r="239" spans="1:21" s="319" customFormat="1" ht="18" customHeight="1" x14ac:dyDescent="0.25">
      <c r="A239" s="276"/>
      <c r="B239" s="305" t="s">
        <v>357</v>
      </c>
      <c r="C239" s="305"/>
      <c r="D239" s="305"/>
      <c r="E239" s="305" t="s">
        <v>358</v>
      </c>
      <c r="F239" s="359">
        <f>+F241</f>
        <v>260000000</v>
      </c>
      <c r="G239" s="360">
        <f>+G240</f>
        <v>0</v>
      </c>
      <c r="H239" s="360">
        <f>+H240</f>
        <v>0</v>
      </c>
      <c r="I239" s="360">
        <f>+G239+H239</f>
        <v>0</v>
      </c>
      <c r="J239" s="360">
        <f>+J240</f>
        <v>0</v>
      </c>
      <c r="K239" s="360">
        <f>+K240</f>
        <v>0</v>
      </c>
      <c r="L239" s="360">
        <f>+J239+K239</f>
        <v>0</v>
      </c>
      <c r="M239" s="360">
        <f t="shared" ref="M239" si="143">+I239+L239</f>
        <v>0</v>
      </c>
      <c r="N239" s="359">
        <f t="shared" ref="N239:N245" si="144">+F239-M239</f>
        <v>260000000</v>
      </c>
      <c r="P239" s="361"/>
      <c r="R239" s="321"/>
      <c r="S239" s="362"/>
      <c r="T239" s="362"/>
      <c r="U239" s="350"/>
    </row>
    <row r="240" spans="1:21" s="319" customFormat="1" ht="18" customHeight="1" x14ac:dyDescent="0.25">
      <c r="A240" s="276">
        <v>11</v>
      </c>
      <c r="B240" s="305"/>
      <c r="C240" s="305" t="s">
        <v>119</v>
      </c>
      <c r="D240" s="363"/>
      <c r="E240" s="364" t="s">
        <v>120</v>
      </c>
      <c r="F240" s="307">
        <f>+F241</f>
        <v>260000000</v>
      </c>
      <c r="G240" s="308">
        <f>+G241</f>
        <v>0</v>
      </c>
      <c r="H240" s="308">
        <f>+H241</f>
        <v>0</v>
      </c>
      <c r="I240" s="308">
        <f>+G240+H240</f>
        <v>0</v>
      </c>
      <c r="J240" s="308">
        <f>+J241</f>
        <v>0</v>
      </c>
      <c r="K240" s="308">
        <f>+K241</f>
        <v>0</v>
      </c>
      <c r="L240" s="308">
        <f>+J240+K240</f>
        <v>0</v>
      </c>
      <c r="M240" s="308">
        <f>+I240+L240</f>
        <v>0</v>
      </c>
      <c r="N240" s="307">
        <f t="shared" si="144"/>
        <v>260000000</v>
      </c>
      <c r="P240" s="320"/>
      <c r="R240" s="321"/>
      <c r="S240" s="349"/>
      <c r="T240" s="349"/>
      <c r="U240" s="350"/>
    </row>
    <row r="241" spans="1:21" s="329" customFormat="1" ht="18" customHeight="1" x14ac:dyDescent="0.25">
      <c r="A241" s="323"/>
      <c r="B241" s="324"/>
      <c r="C241" s="324"/>
      <c r="D241" s="325" t="s">
        <v>267</v>
      </c>
      <c r="E241" s="326" t="s">
        <v>268</v>
      </c>
      <c r="F241" s="327">
        <f t="shared" ref="F241:H243" si="145">+F242</f>
        <v>260000000</v>
      </c>
      <c r="G241" s="328">
        <f>+G242</f>
        <v>0</v>
      </c>
      <c r="H241" s="328">
        <f t="shared" si="145"/>
        <v>0</v>
      </c>
      <c r="I241" s="328">
        <f t="shared" ref="I241:I245" si="146">+G241+H241</f>
        <v>0</v>
      </c>
      <c r="J241" s="328">
        <f>+J242</f>
        <v>0</v>
      </c>
      <c r="K241" s="328">
        <f t="shared" ref="K241:K243" si="147">+K242</f>
        <v>0</v>
      </c>
      <c r="L241" s="328">
        <f t="shared" ref="L241:L244" si="148">+J241+K241</f>
        <v>0</v>
      </c>
      <c r="M241" s="328">
        <f t="shared" ref="M241:M244" si="149">+I241+L241</f>
        <v>0</v>
      </c>
      <c r="N241" s="327">
        <f t="shared" si="144"/>
        <v>260000000</v>
      </c>
      <c r="P241" s="330"/>
      <c r="R241" s="331"/>
      <c r="S241" s="351"/>
      <c r="T241" s="351"/>
      <c r="U241" s="333"/>
    </row>
    <row r="242" spans="1:21" s="339" customFormat="1" ht="18" customHeight="1" x14ac:dyDescent="0.25">
      <c r="A242" s="334"/>
      <c r="B242" s="352"/>
      <c r="C242" s="334"/>
      <c r="D242" s="335" t="s">
        <v>78</v>
      </c>
      <c r="E242" s="335" t="s">
        <v>75</v>
      </c>
      <c r="F242" s="337">
        <f t="shared" si="145"/>
        <v>260000000</v>
      </c>
      <c r="G242" s="344">
        <f>+G243</f>
        <v>0</v>
      </c>
      <c r="H242" s="344">
        <f t="shared" si="145"/>
        <v>0</v>
      </c>
      <c r="I242" s="344">
        <f t="shared" si="146"/>
        <v>0</v>
      </c>
      <c r="J242" s="344">
        <f>+J243</f>
        <v>0</v>
      </c>
      <c r="K242" s="344">
        <f t="shared" si="147"/>
        <v>0</v>
      </c>
      <c r="L242" s="344">
        <f t="shared" si="148"/>
        <v>0</v>
      </c>
      <c r="M242" s="344">
        <f t="shared" si="149"/>
        <v>0</v>
      </c>
      <c r="N242" s="337">
        <f t="shared" si="144"/>
        <v>260000000</v>
      </c>
      <c r="P242" s="340"/>
      <c r="S242" s="347"/>
      <c r="T242" s="347"/>
      <c r="U242" s="342"/>
    </row>
    <row r="243" spans="1:21" s="339" customFormat="1" ht="18" customHeight="1" x14ac:dyDescent="0.25">
      <c r="A243" s="334"/>
      <c r="B243" s="335"/>
      <c r="C243" s="334"/>
      <c r="D243" s="365" t="s">
        <v>277</v>
      </c>
      <c r="E243" s="335" t="s">
        <v>278</v>
      </c>
      <c r="F243" s="337">
        <f t="shared" si="145"/>
        <v>260000000</v>
      </c>
      <c r="G243" s="344">
        <f>+G244</f>
        <v>0</v>
      </c>
      <c r="H243" s="344">
        <f t="shared" si="145"/>
        <v>0</v>
      </c>
      <c r="I243" s="344">
        <f t="shared" si="146"/>
        <v>0</v>
      </c>
      <c r="J243" s="344">
        <f>+J244</f>
        <v>0</v>
      </c>
      <c r="K243" s="344">
        <f t="shared" si="147"/>
        <v>0</v>
      </c>
      <c r="L243" s="344">
        <f t="shared" si="148"/>
        <v>0</v>
      </c>
      <c r="M243" s="344">
        <f t="shared" si="149"/>
        <v>0</v>
      </c>
      <c r="N243" s="337">
        <f t="shared" si="144"/>
        <v>260000000</v>
      </c>
      <c r="P243" s="340"/>
      <c r="S243" s="347"/>
      <c r="T243" s="347"/>
      <c r="U243" s="342"/>
    </row>
    <row r="244" spans="1:21" s="339" customFormat="1" ht="18" customHeight="1" x14ac:dyDescent="0.25">
      <c r="A244" s="334"/>
      <c r="B244" s="352"/>
      <c r="C244" s="334"/>
      <c r="D244" s="335" t="s">
        <v>121</v>
      </c>
      <c r="E244" s="335" t="s">
        <v>123</v>
      </c>
      <c r="F244" s="337">
        <f>F245</f>
        <v>260000000</v>
      </c>
      <c r="G244" s="344">
        <f>+G245</f>
        <v>0</v>
      </c>
      <c r="H244" s="344">
        <f>+H245</f>
        <v>0</v>
      </c>
      <c r="I244" s="344">
        <f t="shared" si="146"/>
        <v>0</v>
      </c>
      <c r="J244" s="344">
        <f>+J245</f>
        <v>0</v>
      </c>
      <c r="K244" s="344">
        <f>+K245</f>
        <v>0</v>
      </c>
      <c r="L244" s="344">
        <f t="shared" si="148"/>
        <v>0</v>
      </c>
      <c r="M244" s="344">
        <f t="shared" si="149"/>
        <v>0</v>
      </c>
      <c r="N244" s="337">
        <f t="shared" si="144"/>
        <v>260000000</v>
      </c>
      <c r="P244" s="340"/>
      <c r="S244" s="347"/>
      <c r="T244" s="347"/>
      <c r="U244" s="342"/>
    </row>
    <row r="245" spans="1:21" s="339" customFormat="1" ht="18" customHeight="1" x14ac:dyDescent="0.25">
      <c r="A245" s="334"/>
      <c r="B245" s="352"/>
      <c r="C245" s="334"/>
      <c r="D245" s="335" t="s">
        <v>122</v>
      </c>
      <c r="E245" s="335" t="s">
        <v>124</v>
      </c>
      <c r="F245" s="337">
        <v>260000000</v>
      </c>
      <c r="G245" s="344"/>
      <c r="H245" s="344"/>
      <c r="I245" s="344">
        <f t="shared" si="146"/>
        <v>0</v>
      </c>
      <c r="J245" s="344"/>
      <c r="K245" s="344"/>
      <c r="L245" s="344"/>
      <c r="M245" s="344">
        <f>+I245+L245</f>
        <v>0</v>
      </c>
      <c r="N245" s="337">
        <f t="shared" si="144"/>
        <v>260000000</v>
      </c>
      <c r="P245" s="340"/>
      <c r="S245" s="347"/>
      <c r="T245" s="346"/>
      <c r="U245" s="342"/>
    </row>
    <row r="246" spans="1:21" s="153" customFormat="1" ht="18" customHeight="1" x14ac:dyDescent="0.25">
      <c r="A246" s="353"/>
      <c r="B246" s="355"/>
      <c r="C246" s="355"/>
      <c r="D246" s="355"/>
      <c r="E246" s="355"/>
      <c r="F246" s="356"/>
      <c r="G246" s="357"/>
      <c r="H246" s="357"/>
      <c r="I246" s="357"/>
      <c r="J246" s="357"/>
      <c r="K246" s="357"/>
      <c r="L246" s="357"/>
      <c r="M246" s="357"/>
      <c r="N246" s="356"/>
      <c r="P246" s="200"/>
      <c r="S246" s="221"/>
      <c r="T246" s="221"/>
      <c r="U246" s="254"/>
    </row>
    <row r="247" spans="1:21" s="319" customFormat="1" ht="16.5" customHeight="1" x14ac:dyDescent="0.25">
      <c r="A247" s="276"/>
      <c r="B247" s="305" t="s">
        <v>359</v>
      </c>
      <c r="C247" s="305"/>
      <c r="D247" s="305"/>
      <c r="E247" s="305" t="s">
        <v>360</v>
      </c>
      <c r="F247" s="359">
        <f>+F248+F256+F269+F278</f>
        <v>39780847375</v>
      </c>
      <c r="G247" s="360">
        <f>+G248+G256+G269+G278</f>
        <v>3058644020</v>
      </c>
      <c r="H247" s="360">
        <f>+H248+H256+H269+H278</f>
        <v>3059777388</v>
      </c>
      <c r="I247" s="360">
        <f>+G247+H247</f>
        <v>6118421408</v>
      </c>
      <c r="J247" s="360">
        <f>+J248+J256+J269+J278</f>
        <v>94954700</v>
      </c>
      <c r="K247" s="360">
        <f>+K248+K256+K269+K278</f>
        <v>112274189</v>
      </c>
      <c r="L247" s="360">
        <f>+J247+K247</f>
        <v>207228889</v>
      </c>
      <c r="M247" s="308">
        <f t="shared" ref="M247" si="150">+I247+L247</f>
        <v>6325650297</v>
      </c>
      <c r="N247" s="359">
        <f t="shared" ref="N247:N255" si="151">+F247-M247</f>
        <v>33455197078</v>
      </c>
      <c r="P247" s="361"/>
      <c r="R247" s="321"/>
      <c r="S247" s="362"/>
      <c r="T247" s="362"/>
      <c r="U247" s="350"/>
    </row>
    <row r="248" spans="1:21" s="319" customFormat="1" ht="18" customHeight="1" x14ac:dyDescent="0.25">
      <c r="A248" s="276">
        <v>12</v>
      </c>
      <c r="B248" s="305"/>
      <c r="C248" s="305" t="s">
        <v>125</v>
      </c>
      <c r="D248" s="363"/>
      <c r="E248" s="364" t="s">
        <v>34</v>
      </c>
      <c r="F248" s="307">
        <f>+F249</f>
        <v>219414700</v>
      </c>
      <c r="G248" s="308">
        <f>+G249</f>
        <v>0</v>
      </c>
      <c r="H248" s="308">
        <f>+H249</f>
        <v>0</v>
      </c>
      <c r="I248" s="308">
        <f>+G248+H248</f>
        <v>0</v>
      </c>
      <c r="J248" s="308">
        <f>+J249</f>
        <v>0</v>
      </c>
      <c r="K248" s="308">
        <f>+K249</f>
        <v>2400000</v>
      </c>
      <c r="L248" s="308">
        <f>+J248+K248</f>
        <v>2400000</v>
      </c>
      <c r="M248" s="308">
        <f>+I248+L248</f>
        <v>2400000</v>
      </c>
      <c r="N248" s="307">
        <f t="shared" si="151"/>
        <v>217014700</v>
      </c>
      <c r="P248" s="320"/>
      <c r="R248" s="321"/>
      <c r="S248" s="349"/>
      <c r="T248" s="349"/>
      <c r="U248" s="350"/>
    </row>
    <row r="249" spans="1:21" s="329" customFormat="1" ht="18" customHeight="1" x14ac:dyDescent="0.25">
      <c r="A249" s="323"/>
      <c r="B249" s="324"/>
      <c r="C249" s="379"/>
      <c r="D249" s="325" t="s">
        <v>207</v>
      </c>
      <c r="E249" s="326" t="s">
        <v>262</v>
      </c>
      <c r="F249" s="327">
        <f t="shared" ref="F249:H251" si="152">+F250</f>
        <v>219414700</v>
      </c>
      <c r="G249" s="328">
        <f>+G250</f>
        <v>0</v>
      </c>
      <c r="H249" s="328">
        <f t="shared" si="152"/>
        <v>0</v>
      </c>
      <c r="I249" s="328">
        <f t="shared" ref="I249:I253" si="153">+G249+H249</f>
        <v>0</v>
      </c>
      <c r="J249" s="328">
        <f t="shared" ref="J249:K251" si="154">+J250</f>
        <v>0</v>
      </c>
      <c r="K249" s="328">
        <f t="shared" si="154"/>
        <v>2400000</v>
      </c>
      <c r="L249" s="328">
        <f t="shared" ref="L249:L251" si="155">+J249+K249</f>
        <v>2400000</v>
      </c>
      <c r="M249" s="328">
        <f t="shared" ref="M249:M252" si="156">+I249+L249</f>
        <v>2400000</v>
      </c>
      <c r="N249" s="327">
        <f t="shared" si="151"/>
        <v>217014700</v>
      </c>
      <c r="P249" s="330"/>
      <c r="R249" s="331"/>
      <c r="S249" s="351"/>
      <c r="T249" s="351"/>
      <c r="U249" s="333"/>
    </row>
    <row r="250" spans="1:21" s="339" customFormat="1" ht="18" customHeight="1" x14ac:dyDescent="0.25">
      <c r="A250" s="334"/>
      <c r="B250" s="352"/>
      <c r="C250" s="334"/>
      <c r="D250" s="335" t="s">
        <v>63</v>
      </c>
      <c r="E250" s="335" t="s">
        <v>30</v>
      </c>
      <c r="F250" s="337">
        <f t="shared" si="152"/>
        <v>219414700</v>
      </c>
      <c r="G250" s="344">
        <f>+G251</f>
        <v>0</v>
      </c>
      <c r="H250" s="344">
        <f t="shared" si="152"/>
        <v>0</v>
      </c>
      <c r="I250" s="344">
        <f t="shared" si="153"/>
        <v>0</v>
      </c>
      <c r="J250" s="344">
        <f t="shared" si="154"/>
        <v>0</v>
      </c>
      <c r="K250" s="344">
        <f t="shared" si="154"/>
        <v>2400000</v>
      </c>
      <c r="L250" s="344">
        <f t="shared" si="155"/>
        <v>2400000</v>
      </c>
      <c r="M250" s="344">
        <f t="shared" si="156"/>
        <v>2400000</v>
      </c>
      <c r="N250" s="337">
        <f t="shared" si="151"/>
        <v>217014700</v>
      </c>
      <c r="P250" s="340"/>
      <c r="S250" s="347"/>
      <c r="T250" s="347"/>
      <c r="U250" s="342"/>
    </row>
    <row r="251" spans="1:21" s="339" customFormat="1" ht="18" customHeight="1" x14ac:dyDescent="0.25">
      <c r="A251" s="334"/>
      <c r="B251" s="335"/>
      <c r="C251" s="334"/>
      <c r="D251" s="365" t="s">
        <v>263</v>
      </c>
      <c r="E251" s="335" t="s">
        <v>264</v>
      </c>
      <c r="F251" s="337">
        <f t="shared" si="152"/>
        <v>219414700</v>
      </c>
      <c r="G251" s="344">
        <f>+G252</f>
        <v>0</v>
      </c>
      <c r="H251" s="344">
        <f t="shared" si="152"/>
        <v>0</v>
      </c>
      <c r="I251" s="344">
        <f t="shared" si="153"/>
        <v>0</v>
      </c>
      <c r="J251" s="344">
        <f t="shared" si="154"/>
        <v>0</v>
      </c>
      <c r="K251" s="344">
        <f t="shared" si="154"/>
        <v>2400000</v>
      </c>
      <c r="L251" s="344">
        <f t="shared" si="155"/>
        <v>2400000</v>
      </c>
      <c r="M251" s="344">
        <f t="shared" si="156"/>
        <v>2400000</v>
      </c>
      <c r="N251" s="337">
        <f t="shared" si="151"/>
        <v>217014700</v>
      </c>
      <c r="P251" s="340"/>
      <c r="S251" s="347"/>
      <c r="T251" s="347"/>
      <c r="U251" s="342"/>
    </row>
    <row r="252" spans="1:21" s="339" customFormat="1" ht="18" customHeight="1" x14ac:dyDescent="0.25">
      <c r="A252" s="334"/>
      <c r="B252" s="352"/>
      <c r="C252" s="334"/>
      <c r="D252" s="335" t="s">
        <v>64</v>
      </c>
      <c r="E252" s="335" t="s">
        <v>65</v>
      </c>
      <c r="F252" s="337">
        <f>SUM(F253:F255)</f>
        <v>219414700</v>
      </c>
      <c r="G252" s="344">
        <f>SUM(G253:G255)</f>
        <v>0</v>
      </c>
      <c r="H252" s="344">
        <f>SUM(H253:H255)</f>
        <v>0</v>
      </c>
      <c r="I252" s="344">
        <f t="shared" si="153"/>
        <v>0</v>
      </c>
      <c r="J252" s="344">
        <f>SUM(J253:J255)</f>
        <v>0</v>
      </c>
      <c r="K252" s="344">
        <f>SUM(K253:K255)</f>
        <v>2400000</v>
      </c>
      <c r="L252" s="344">
        <f>+J252+K252</f>
        <v>2400000</v>
      </c>
      <c r="M252" s="344">
        <f t="shared" si="156"/>
        <v>2400000</v>
      </c>
      <c r="N252" s="337">
        <f t="shared" si="151"/>
        <v>217014700</v>
      </c>
      <c r="P252" s="340"/>
      <c r="S252" s="347"/>
      <c r="T252" s="347"/>
      <c r="U252" s="342"/>
    </row>
    <row r="253" spans="1:21" s="339" customFormat="1" ht="18" customHeight="1" x14ac:dyDescent="0.25">
      <c r="A253" s="334"/>
      <c r="B253" s="352"/>
      <c r="C253" s="334"/>
      <c r="D253" s="335" t="s">
        <v>337</v>
      </c>
      <c r="E253" s="335" t="s">
        <v>338</v>
      </c>
      <c r="F253" s="337">
        <v>875000</v>
      </c>
      <c r="G253" s="344"/>
      <c r="H253" s="344"/>
      <c r="I253" s="344">
        <f t="shared" si="153"/>
        <v>0</v>
      </c>
      <c r="J253" s="344"/>
      <c r="K253" s="344"/>
      <c r="L253" s="344">
        <f>+J253+K253</f>
        <v>0</v>
      </c>
      <c r="M253" s="344">
        <f>+I253+L253</f>
        <v>0</v>
      </c>
      <c r="N253" s="337">
        <f t="shared" si="151"/>
        <v>875000</v>
      </c>
      <c r="P253" s="340"/>
      <c r="S253" s="347"/>
      <c r="T253" s="347"/>
      <c r="U253" s="342"/>
    </row>
    <row r="254" spans="1:21" s="339" customFormat="1" ht="18" customHeight="1" x14ac:dyDescent="0.25">
      <c r="A254" s="334"/>
      <c r="B254" s="352"/>
      <c r="C254" s="334"/>
      <c r="D254" s="335" t="s">
        <v>68</v>
      </c>
      <c r="E254" s="335" t="s">
        <v>69</v>
      </c>
      <c r="F254" s="337">
        <v>182539700</v>
      </c>
      <c r="G254" s="344"/>
      <c r="H254" s="344"/>
      <c r="I254" s="344">
        <f>+G254+H254</f>
        <v>0</v>
      </c>
      <c r="J254" s="344"/>
      <c r="K254" s="344"/>
      <c r="L254" s="344">
        <f>+J254+K254</f>
        <v>0</v>
      </c>
      <c r="M254" s="344">
        <f>+I254+L254</f>
        <v>0</v>
      </c>
      <c r="N254" s="337">
        <f t="shared" si="151"/>
        <v>182539700</v>
      </c>
      <c r="P254" s="340"/>
      <c r="S254" s="347"/>
      <c r="T254" s="347"/>
      <c r="U254" s="342"/>
    </row>
    <row r="255" spans="1:21" s="153" customFormat="1" ht="18" customHeight="1" x14ac:dyDescent="0.25">
      <c r="A255" s="353"/>
      <c r="B255" s="387"/>
      <c r="C255" s="353"/>
      <c r="D255" s="355" t="s">
        <v>126</v>
      </c>
      <c r="E255" s="355" t="s">
        <v>127</v>
      </c>
      <c r="F255" s="356">
        <v>36000000</v>
      </c>
      <c r="G255" s="357">
        <v>0</v>
      </c>
      <c r="H255" s="357"/>
      <c r="I255" s="357">
        <f>+G255+H255</f>
        <v>0</v>
      </c>
      <c r="J255" s="357"/>
      <c r="K255" s="357">
        <v>2400000</v>
      </c>
      <c r="L255" s="357">
        <f>+J255+K255</f>
        <v>2400000</v>
      </c>
      <c r="M255" s="357">
        <f>+I255+L255</f>
        <v>2400000</v>
      </c>
      <c r="N255" s="356">
        <f t="shared" si="151"/>
        <v>33600000</v>
      </c>
      <c r="P255" s="200"/>
      <c r="S255" s="358">
        <v>2400000</v>
      </c>
      <c r="T255" s="221"/>
      <c r="U255" s="254"/>
    </row>
    <row r="256" spans="1:21" s="319" customFormat="1" ht="18" customHeight="1" x14ac:dyDescent="0.25">
      <c r="A256" s="276">
        <v>13</v>
      </c>
      <c r="B256" s="305"/>
      <c r="C256" s="305" t="s">
        <v>128</v>
      </c>
      <c r="D256" s="363"/>
      <c r="E256" s="364" t="s">
        <v>46</v>
      </c>
      <c r="F256" s="307">
        <f>+F257</f>
        <v>38400620000</v>
      </c>
      <c r="G256" s="308">
        <f>+G257</f>
        <v>3058644020</v>
      </c>
      <c r="H256" s="308">
        <f>+H257</f>
        <v>3059777388</v>
      </c>
      <c r="I256" s="308">
        <f>+G256+H256</f>
        <v>6118421408</v>
      </c>
      <c r="J256" s="308">
        <f>+J257</f>
        <v>22194700</v>
      </c>
      <c r="K256" s="308">
        <f>+K257</f>
        <v>25914189</v>
      </c>
      <c r="L256" s="308">
        <f>+J256+K256</f>
        <v>48108889</v>
      </c>
      <c r="M256" s="308">
        <f>+I256+L256</f>
        <v>6166530297</v>
      </c>
      <c r="N256" s="307">
        <f>+F256-M256</f>
        <v>32234089703</v>
      </c>
      <c r="P256" s="320"/>
      <c r="R256" s="321"/>
      <c r="S256" s="349"/>
      <c r="T256" s="349"/>
      <c r="U256" s="350"/>
    </row>
    <row r="257" spans="1:21" s="329" customFormat="1" ht="18" customHeight="1" x14ac:dyDescent="0.25">
      <c r="A257" s="323"/>
      <c r="B257" s="324"/>
      <c r="C257" s="379"/>
      <c r="D257" s="325" t="s">
        <v>207</v>
      </c>
      <c r="E257" s="326" t="s">
        <v>262</v>
      </c>
      <c r="F257" s="327">
        <f>+F258</f>
        <v>38400620000</v>
      </c>
      <c r="G257" s="328">
        <f>+G258</f>
        <v>3058644020</v>
      </c>
      <c r="H257" s="328">
        <f t="shared" ref="F257:H259" si="157">+H258</f>
        <v>3059777388</v>
      </c>
      <c r="I257" s="328">
        <f t="shared" ref="I257:I262" si="158">+G257+H257</f>
        <v>6118421408</v>
      </c>
      <c r="J257" s="328">
        <f t="shared" ref="J257:K259" si="159">+J258</f>
        <v>22194700</v>
      </c>
      <c r="K257" s="328">
        <f t="shared" si="159"/>
        <v>25914189</v>
      </c>
      <c r="L257" s="328">
        <f t="shared" ref="L257:L260" si="160">+J257+K257</f>
        <v>48108889</v>
      </c>
      <c r="M257" s="328">
        <f t="shared" ref="M257:M260" si="161">+I257+L257</f>
        <v>6166530297</v>
      </c>
      <c r="N257" s="327">
        <f>+F257-M257</f>
        <v>32234089703</v>
      </c>
      <c r="P257" s="330"/>
      <c r="R257" s="331"/>
      <c r="S257" s="351"/>
      <c r="T257" s="351"/>
      <c r="U257" s="333"/>
    </row>
    <row r="258" spans="1:21" s="339" customFormat="1" ht="18" customHeight="1" x14ac:dyDescent="0.25">
      <c r="A258" s="334"/>
      <c r="B258" s="352"/>
      <c r="C258" s="334"/>
      <c r="D258" s="335" t="s">
        <v>63</v>
      </c>
      <c r="E258" s="335" t="s">
        <v>30</v>
      </c>
      <c r="F258" s="337">
        <f>+F259+F262</f>
        <v>38400620000</v>
      </c>
      <c r="G258" s="344">
        <f>+G259+G262</f>
        <v>3058644020</v>
      </c>
      <c r="H258" s="344">
        <f>+H259+H262</f>
        <v>3059777388</v>
      </c>
      <c r="I258" s="344">
        <f t="shared" si="158"/>
        <v>6118421408</v>
      </c>
      <c r="J258" s="344">
        <f>+J259+J262</f>
        <v>22194700</v>
      </c>
      <c r="K258" s="344">
        <f>+K259+K262</f>
        <v>25914189</v>
      </c>
      <c r="L258" s="344">
        <f t="shared" si="160"/>
        <v>48108889</v>
      </c>
      <c r="M258" s="344">
        <f t="shared" si="161"/>
        <v>6166530297</v>
      </c>
      <c r="N258" s="337">
        <f>+F258-M258</f>
        <v>32234089703</v>
      </c>
      <c r="P258" s="340"/>
      <c r="S258" s="347"/>
      <c r="T258" s="347"/>
      <c r="U258" s="342"/>
    </row>
    <row r="259" spans="1:21" s="339" customFormat="1" ht="18" customHeight="1" x14ac:dyDescent="0.25">
      <c r="A259" s="334"/>
      <c r="B259" s="335"/>
      <c r="C259" s="334"/>
      <c r="D259" s="365" t="s">
        <v>263</v>
      </c>
      <c r="E259" s="335" t="s">
        <v>264</v>
      </c>
      <c r="F259" s="337">
        <f t="shared" si="157"/>
        <v>35000000</v>
      </c>
      <c r="G259" s="344">
        <f>+G260</f>
        <v>0</v>
      </c>
      <c r="H259" s="344">
        <f t="shared" si="157"/>
        <v>0</v>
      </c>
      <c r="I259" s="344">
        <f t="shared" si="158"/>
        <v>0</v>
      </c>
      <c r="J259" s="344">
        <f t="shared" si="159"/>
        <v>0</v>
      </c>
      <c r="K259" s="344">
        <f t="shared" si="159"/>
        <v>3000000</v>
      </c>
      <c r="L259" s="344">
        <f t="shared" si="160"/>
        <v>3000000</v>
      </c>
      <c r="M259" s="344">
        <f t="shared" si="161"/>
        <v>3000000</v>
      </c>
      <c r="N259" s="337">
        <f>+F259-M259</f>
        <v>32000000</v>
      </c>
      <c r="P259" s="340"/>
      <c r="S259" s="347"/>
      <c r="T259" s="347"/>
      <c r="U259" s="342"/>
    </row>
    <row r="260" spans="1:21" s="339" customFormat="1" ht="18" customHeight="1" x14ac:dyDescent="0.25">
      <c r="A260" s="334"/>
      <c r="B260" s="352"/>
      <c r="C260" s="334"/>
      <c r="D260" s="335" t="s">
        <v>64</v>
      </c>
      <c r="E260" s="335" t="s">
        <v>65</v>
      </c>
      <c r="F260" s="337">
        <f>+F261</f>
        <v>35000000</v>
      </c>
      <c r="G260" s="344">
        <f>+G261</f>
        <v>0</v>
      </c>
      <c r="H260" s="344">
        <f>+H261+H265</f>
        <v>0</v>
      </c>
      <c r="I260" s="344">
        <f t="shared" si="158"/>
        <v>0</v>
      </c>
      <c r="J260" s="344">
        <f>J261</f>
        <v>0</v>
      </c>
      <c r="K260" s="344">
        <f>+K261</f>
        <v>3000000</v>
      </c>
      <c r="L260" s="344">
        <f t="shared" si="160"/>
        <v>3000000</v>
      </c>
      <c r="M260" s="344">
        <f t="shared" si="161"/>
        <v>3000000</v>
      </c>
      <c r="N260" s="337">
        <f>+F260-M260</f>
        <v>32000000</v>
      </c>
      <c r="P260" s="340"/>
      <c r="S260" s="347"/>
      <c r="T260" s="347"/>
      <c r="U260" s="342"/>
    </row>
    <row r="261" spans="1:21" s="339" customFormat="1" ht="18" customHeight="1" x14ac:dyDescent="0.25">
      <c r="A261" s="334"/>
      <c r="B261" s="352"/>
      <c r="C261" s="334"/>
      <c r="D261" s="335" t="s">
        <v>129</v>
      </c>
      <c r="E261" s="335" t="s">
        <v>130</v>
      </c>
      <c r="F261" s="337">
        <v>35000000</v>
      </c>
      <c r="G261" s="344"/>
      <c r="H261" s="344"/>
      <c r="I261" s="344">
        <f t="shared" si="158"/>
        <v>0</v>
      </c>
      <c r="J261" s="344"/>
      <c r="K261" s="344">
        <f>2000000+1000000</f>
        <v>3000000</v>
      </c>
      <c r="L261" s="344">
        <f>+J261+K261</f>
        <v>3000000</v>
      </c>
      <c r="M261" s="344">
        <f>+I261+L261</f>
        <v>3000000</v>
      </c>
      <c r="N261" s="337">
        <f t="shared" ref="N261" si="162">+F261-M261</f>
        <v>32000000</v>
      </c>
      <c r="P261" s="340"/>
      <c r="S261" s="346">
        <v>3000000</v>
      </c>
      <c r="T261" s="347"/>
      <c r="U261" s="342"/>
    </row>
    <row r="262" spans="1:21" s="339" customFormat="1" ht="18" customHeight="1" x14ac:dyDescent="0.25">
      <c r="A262" s="334"/>
      <c r="B262" s="335"/>
      <c r="C262" s="334"/>
      <c r="D262" s="365" t="s">
        <v>271</v>
      </c>
      <c r="E262" s="335" t="s">
        <v>272</v>
      </c>
      <c r="F262" s="337">
        <f t="shared" ref="F262:H262" si="163">+F263</f>
        <v>38365620000</v>
      </c>
      <c r="G262" s="344">
        <f>+G263</f>
        <v>3058644020</v>
      </c>
      <c r="H262" s="344">
        <f t="shared" si="163"/>
        <v>3059777388</v>
      </c>
      <c r="I262" s="344">
        <f t="shared" si="158"/>
        <v>6118421408</v>
      </c>
      <c r="J262" s="344">
        <f>+J263</f>
        <v>22194700</v>
      </c>
      <c r="K262" s="344">
        <f t="shared" ref="K262" si="164">+K263</f>
        <v>22914189</v>
      </c>
      <c r="L262" s="344">
        <f t="shared" ref="L262" si="165">+J262+K262</f>
        <v>45108889</v>
      </c>
      <c r="M262" s="344">
        <f t="shared" ref="M262:M263" si="166">+I262+L262</f>
        <v>6163530297</v>
      </c>
      <c r="N262" s="337">
        <f>+F262-M262</f>
        <v>32202089703</v>
      </c>
      <c r="P262" s="340"/>
      <c r="S262" s="346"/>
      <c r="T262" s="347"/>
      <c r="U262" s="342"/>
    </row>
    <row r="263" spans="1:21" s="339" customFormat="1" ht="18" customHeight="1" x14ac:dyDescent="0.25">
      <c r="A263" s="334"/>
      <c r="B263" s="352"/>
      <c r="C263" s="334"/>
      <c r="D263" s="335" t="s">
        <v>81</v>
      </c>
      <c r="E263" s="335" t="s">
        <v>31</v>
      </c>
      <c r="F263" s="337">
        <f>SUM(F264:F268)</f>
        <v>38365620000</v>
      </c>
      <c r="G263" s="344">
        <f>SUM(G264:G268)</f>
        <v>3058644020</v>
      </c>
      <c r="H263" s="344">
        <f>SUM(H264:H268)</f>
        <v>3059777388</v>
      </c>
      <c r="I263" s="344">
        <f>+G263+H263</f>
        <v>6118421408</v>
      </c>
      <c r="J263" s="344">
        <f>SUM(J264:J268)</f>
        <v>22194700</v>
      </c>
      <c r="K263" s="344">
        <f>SUM(K264:K268)</f>
        <v>22914189</v>
      </c>
      <c r="L263" s="344">
        <f>+J263+K263</f>
        <v>45108889</v>
      </c>
      <c r="M263" s="344">
        <f t="shared" si="166"/>
        <v>6163530297</v>
      </c>
      <c r="N263" s="337">
        <f>+F263-M263</f>
        <v>32202089703</v>
      </c>
      <c r="P263" s="340"/>
      <c r="S263" s="346"/>
      <c r="T263" s="347"/>
      <c r="U263" s="342"/>
    </row>
    <row r="264" spans="1:21" s="339" customFormat="1" ht="18" customHeight="1" x14ac:dyDescent="0.25">
      <c r="A264" s="334"/>
      <c r="B264" s="352"/>
      <c r="C264" s="334"/>
      <c r="D264" s="335" t="s">
        <v>131</v>
      </c>
      <c r="E264" s="335" t="s">
        <v>132</v>
      </c>
      <c r="F264" s="337">
        <v>16800000</v>
      </c>
      <c r="G264" s="344"/>
      <c r="H264" s="344"/>
      <c r="I264" s="344">
        <f t="shared" ref="I264:I268" si="167">+G264+H264</f>
        <v>0</v>
      </c>
      <c r="J264" s="344"/>
      <c r="K264" s="344">
        <f>75561+34634+34357</f>
        <v>144552</v>
      </c>
      <c r="L264" s="344">
        <f>+J264+K264</f>
        <v>144552</v>
      </c>
      <c r="M264" s="344">
        <f>+I264+L264</f>
        <v>144552</v>
      </c>
      <c r="N264" s="337">
        <f t="shared" ref="N264:N268" si="168">+F264-M264</f>
        <v>16655448</v>
      </c>
      <c r="P264" s="340"/>
      <c r="S264" s="346">
        <f>75561+34634+34357</f>
        <v>144552</v>
      </c>
      <c r="T264" s="347"/>
      <c r="U264" s="342"/>
    </row>
    <row r="265" spans="1:21" s="339" customFormat="1" ht="18" customHeight="1" x14ac:dyDescent="0.25">
      <c r="A265" s="334"/>
      <c r="B265" s="352"/>
      <c r="C265" s="334"/>
      <c r="D265" s="335" t="s">
        <v>133</v>
      </c>
      <c r="E265" s="335" t="s">
        <v>134</v>
      </c>
      <c r="F265" s="337">
        <v>42000000</v>
      </c>
      <c r="G265" s="344">
        <v>0</v>
      </c>
      <c r="H265" s="344"/>
      <c r="I265" s="344">
        <f t="shared" si="167"/>
        <v>0</v>
      </c>
      <c r="J265" s="344">
        <v>2344700</v>
      </c>
      <c r="K265" s="344">
        <v>2395100</v>
      </c>
      <c r="L265" s="344">
        <f>+J265+K265</f>
        <v>4739800</v>
      </c>
      <c r="M265" s="344">
        <f>+I265+L265</f>
        <v>4739800</v>
      </c>
      <c r="N265" s="337">
        <f t="shared" si="168"/>
        <v>37260200</v>
      </c>
      <c r="P265" s="340"/>
      <c r="S265" s="346">
        <v>2395100</v>
      </c>
      <c r="T265" s="347"/>
      <c r="U265" s="342"/>
    </row>
    <row r="266" spans="1:21" s="339" customFormat="1" ht="18" customHeight="1" x14ac:dyDescent="0.25">
      <c r="A266" s="334"/>
      <c r="B266" s="352"/>
      <c r="C266" s="334"/>
      <c r="D266" s="335" t="s">
        <v>135</v>
      </c>
      <c r="E266" s="335" t="s">
        <v>136</v>
      </c>
      <c r="F266" s="337">
        <v>37992800000</v>
      </c>
      <c r="G266" s="344">
        <v>3058644020</v>
      </c>
      <c r="H266" s="344">
        <f>33514534+3026262854</f>
        <v>3059777388</v>
      </c>
      <c r="I266" s="344">
        <f t="shared" si="167"/>
        <v>6118421408</v>
      </c>
      <c r="J266" s="344">
        <v>0</v>
      </c>
      <c r="K266" s="344"/>
      <c r="L266" s="344">
        <f>+J266+K266</f>
        <v>0</v>
      </c>
      <c r="M266" s="344">
        <f>+I266+L266</f>
        <v>6118421408</v>
      </c>
      <c r="N266" s="337">
        <f t="shared" si="168"/>
        <v>31874378592</v>
      </c>
      <c r="P266" s="340"/>
      <c r="S266" s="346"/>
      <c r="T266" s="346">
        <f>33514534+3026262854</f>
        <v>3059777388</v>
      </c>
      <c r="U266" s="342"/>
    </row>
    <row r="267" spans="1:21" s="339" customFormat="1" ht="18" customHeight="1" x14ac:dyDescent="0.25">
      <c r="A267" s="334"/>
      <c r="B267" s="352"/>
      <c r="C267" s="334"/>
      <c r="D267" s="335" t="s">
        <v>137</v>
      </c>
      <c r="E267" s="335" t="s">
        <v>138</v>
      </c>
      <c r="F267" s="337">
        <v>12820000</v>
      </c>
      <c r="G267" s="344"/>
      <c r="H267" s="344"/>
      <c r="I267" s="344">
        <f t="shared" si="167"/>
        <v>0</v>
      </c>
      <c r="J267" s="344">
        <v>0</v>
      </c>
      <c r="K267" s="344">
        <f>230000+230000</f>
        <v>460000</v>
      </c>
      <c r="L267" s="344">
        <f t="shared" ref="L267:L272" si="169">+J267+K267</f>
        <v>460000</v>
      </c>
      <c r="M267" s="344">
        <f t="shared" ref="M267:M268" si="170">+I267+L267</f>
        <v>460000</v>
      </c>
      <c r="N267" s="337">
        <f t="shared" si="168"/>
        <v>12360000</v>
      </c>
      <c r="P267" s="340"/>
      <c r="S267" s="346">
        <f>230000+230000</f>
        <v>460000</v>
      </c>
      <c r="T267" s="347"/>
      <c r="U267" s="342"/>
    </row>
    <row r="268" spans="1:21" s="339" customFormat="1" ht="18" customHeight="1" x14ac:dyDescent="0.25">
      <c r="A268" s="334"/>
      <c r="B268" s="352"/>
      <c r="C268" s="334"/>
      <c r="D268" s="335" t="s">
        <v>139</v>
      </c>
      <c r="E268" s="335" t="s">
        <v>140</v>
      </c>
      <c r="F268" s="337">
        <v>301200000</v>
      </c>
      <c r="G268" s="344"/>
      <c r="H268" s="344"/>
      <c r="I268" s="344">
        <f t="shared" si="167"/>
        <v>0</v>
      </c>
      <c r="J268" s="344">
        <v>19850000</v>
      </c>
      <c r="K268" s="344">
        <f>19850000+64537</f>
        <v>19914537</v>
      </c>
      <c r="L268" s="344">
        <f t="shared" si="169"/>
        <v>39764537</v>
      </c>
      <c r="M268" s="344">
        <f t="shared" si="170"/>
        <v>39764537</v>
      </c>
      <c r="N268" s="337">
        <f t="shared" si="168"/>
        <v>261435463</v>
      </c>
      <c r="P268" s="340"/>
      <c r="S268" s="346">
        <f>19850000+64537</f>
        <v>19914537</v>
      </c>
      <c r="T268" s="347"/>
      <c r="U268" s="342"/>
    </row>
    <row r="269" spans="1:21" s="319" customFormat="1" ht="18" customHeight="1" x14ac:dyDescent="0.25">
      <c r="A269" s="276">
        <v>14</v>
      </c>
      <c r="B269" s="305"/>
      <c r="C269" s="305" t="s">
        <v>141</v>
      </c>
      <c r="D269" s="363"/>
      <c r="E269" s="364" t="s">
        <v>142</v>
      </c>
      <c r="F269" s="307">
        <f>+F270</f>
        <v>100000000</v>
      </c>
      <c r="G269" s="308">
        <f>+G270</f>
        <v>0</v>
      </c>
      <c r="H269" s="308">
        <f>+H270</f>
        <v>0</v>
      </c>
      <c r="I269" s="308">
        <f>+G269+H269</f>
        <v>0</v>
      </c>
      <c r="J269" s="308">
        <f>+J270</f>
        <v>0</v>
      </c>
      <c r="K269" s="308">
        <f>+K270</f>
        <v>0</v>
      </c>
      <c r="L269" s="308">
        <f t="shared" si="169"/>
        <v>0</v>
      </c>
      <c r="M269" s="308">
        <f>+I269+L269</f>
        <v>0</v>
      </c>
      <c r="N269" s="307">
        <f>+F269-M269</f>
        <v>100000000</v>
      </c>
      <c r="P269" s="320"/>
      <c r="R269" s="321"/>
      <c r="S269" s="349"/>
      <c r="T269" s="349"/>
      <c r="U269" s="350"/>
    </row>
    <row r="270" spans="1:21" s="329" customFormat="1" ht="16.5" customHeight="1" x14ac:dyDescent="0.25">
      <c r="A270" s="323"/>
      <c r="B270" s="324"/>
      <c r="C270" s="324"/>
      <c r="D270" s="325" t="s">
        <v>207</v>
      </c>
      <c r="E270" s="326" t="s">
        <v>262</v>
      </c>
      <c r="F270" s="327">
        <f>+F271</f>
        <v>100000000</v>
      </c>
      <c r="G270" s="328">
        <f>+G271</f>
        <v>0</v>
      </c>
      <c r="H270" s="328">
        <f t="shared" ref="F270:H272" si="171">+H271</f>
        <v>0</v>
      </c>
      <c r="I270" s="328">
        <f t="shared" ref="I270:I276" si="172">+G270+H270</f>
        <v>0</v>
      </c>
      <c r="J270" s="328">
        <f t="shared" ref="J270:J272" si="173">+J271</f>
        <v>0</v>
      </c>
      <c r="K270" s="328">
        <f>+K271</f>
        <v>0</v>
      </c>
      <c r="L270" s="328">
        <f t="shared" si="169"/>
        <v>0</v>
      </c>
      <c r="M270" s="328">
        <f t="shared" ref="M270:M273" si="174">+I270+L270</f>
        <v>0</v>
      </c>
      <c r="N270" s="327">
        <f>+F270-M270</f>
        <v>100000000</v>
      </c>
      <c r="P270" s="330"/>
      <c r="R270" s="331"/>
      <c r="S270" s="351"/>
      <c r="T270" s="351"/>
      <c r="U270" s="333"/>
    </row>
    <row r="271" spans="1:21" s="339" customFormat="1" ht="16.5" customHeight="1" x14ac:dyDescent="0.25">
      <c r="A271" s="334"/>
      <c r="B271" s="352"/>
      <c r="C271" s="334"/>
      <c r="D271" s="335" t="s">
        <v>63</v>
      </c>
      <c r="E271" s="335" t="s">
        <v>30</v>
      </c>
      <c r="F271" s="337">
        <f>F272</f>
        <v>100000000</v>
      </c>
      <c r="G271" s="344">
        <f>+G272</f>
        <v>0</v>
      </c>
      <c r="H271" s="344">
        <f t="shared" si="171"/>
        <v>0</v>
      </c>
      <c r="I271" s="344">
        <f t="shared" si="172"/>
        <v>0</v>
      </c>
      <c r="J271" s="344">
        <f t="shared" si="173"/>
        <v>0</v>
      </c>
      <c r="K271" s="344">
        <f>+K272</f>
        <v>0</v>
      </c>
      <c r="L271" s="344">
        <f t="shared" si="169"/>
        <v>0</v>
      </c>
      <c r="M271" s="344">
        <f t="shared" si="174"/>
        <v>0</v>
      </c>
      <c r="N271" s="337">
        <f>+F271-M271</f>
        <v>100000000</v>
      </c>
      <c r="P271" s="340"/>
      <c r="S271" s="347"/>
      <c r="T271" s="347"/>
      <c r="U271" s="342"/>
    </row>
    <row r="272" spans="1:21" s="339" customFormat="1" ht="16.5" customHeight="1" x14ac:dyDescent="0.25">
      <c r="A272" s="334"/>
      <c r="B272" s="335"/>
      <c r="C272" s="334"/>
      <c r="D272" s="365" t="s">
        <v>263</v>
      </c>
      <c r="E272" s="335" t="s">
        <v>264</v>
      </c>
      <c r="F272" s="337">
        <f t="shared" si="171"/>
        <v>100000000</v>
      </c>
      <c r="G272" s="344">
        <f>+G273</f>
        <v>0</v>
      </c>
      <c r="H272" s="344">
        <f t="shared" si="171"/>
        <v>0</v>
      </c>
      <c r="I272" s="344">
        <f t="shared" si="172"/>
        <v>0</v>
      </c>
      <c r="J272" s="344">
        <f t="shared" si="173"/>
        <v>0</v>
      </c>
      <c r="K272" s="344">
        <f>+K273</f>
        <v>0</v>
      </c>
      <c r="L272" s="344">
        <f t="shared" si="169"/>
        <v>0</v>
      </c>
      <c r="M272" s="344">
        <f t="shared" si="174"/>
        <v>0</v>
      </c>
      <c r="N272" s="337">
        <f>+F272-M272</f>
        <v>100000000</v>
      </c>
      <c r="P272" s="340"/>
      <c r="S272" s="347"/>
      <c r="T272" s="347"/>
      <c r="U272" s="342"/>
    </row>
    <row r="273" spans="1:21" s="339" customFormat="1" ht="16.5" customHeight="1" x14ac:dyDescent="0.25">
      <c r="A273" s="334"/>
      <c r="B273" s="352"/>
      <c r="C273" s="334"/>
      <c r="D273" s="335" t="s">
        <v>64</v>
      </c>
      <c r="E273" s="335" t="s">
        <v>65</v>
      </c>
      <c r="F273" s="337">
        <f>SUM(F274:F277)</f>
        <v>100000000</v>
      </c>
      <c r="G273" s="344">
        <f>SUM(G274:G277)</f>
        <v>0</v>
      </c>
      <c r="H273" s="344">
        <f>SUM(H274:H277)</f>
        <v>0</v>
      </c>
      <c r="I273" s="344">
        <f>+G273+H273</f>
        <v>0</v>
      </c>
      <c r="J273" s="344">
        <f>SUM(J274:J277)</f>
        <v>0</v>
      </c>
      <c r="K273" s="344">
        <f>SUM(K274:K277)</f>
        <v>0</v>
      </c>
      <c r="L273" s="344">
        <f>+J273+K273</f>
        <v>0</v>
      </c>
      <c r="M273" s="344">
        <f t="shared" si="174"/>
        <v>0</v>
      </c>
      <c r="N273" s="337">
        <f>+F273-M273</f>
        <v>100000000</v>
      </c>
      <c r="P273" s="340"/>
      <c r="S273" s="347"/>
      <c r="T273" s="347"/>
      <c r="U273" s="342"/>
    </row>
    <row r="274" spans="1:21" s="339" customFormat="1" ht="16.5" customHeight="1" x14ac:dyDescent="0.25">
      <c r="A274" s="334"/>
      <c r="B274" s="352"/>
      <c r="C274" s="334"/>
      <c r="D274" s="335" t="s">
        <v>66</v>
      </c>
      <c r="E274" s="335" t="s">
        <v>67</v>
      </c>
      <c r="F274" s="337">
        <v>57982150</v>
      </c>
      <c r="G274" s="344"/>
      <c r="H274" s="344"/>
      <c r="I274" s="344">
        <f t="shared" si="172"/>
        <v>0</v>
      </c>
      <c r="J274" s="344"/>
      <c r="K274" s="344"/>
      <c r="L274" s="344">
        <f>+J274+K274</f>
        <v>0</v>
      </c>
      <c r="M274" s="344">
        <f>+I274+L274</f>
        <v>0</v>
      </c>
      <c r="N274" s="337">
        <f t="shared" ref="N274:N277" si="175">+F274-M274</f>
        <v>57982150</v>
      </c>
      <c r="P274" s="340"/>
      <c r="S274" s="347"/>
      <c r="T274" s="347"/>
      <c r="U274" s="342"/>
    </row>
    <row r="275" spans="1:21" s="339" customFormat="1" ht="18" customHeight="1" x14ac:dyDescent="0.25">
      <c r="A275" s="334"/>
      <c r="B275" s="352"/>
      <c r="C275" s="334"/>
      <c r="D275" s="335" t="s">
        <v>337</v>
      </c>
      <c r="E275" s="335" t="s">
        <v>338</v>
      </c>
      <c r="F275" s="337">
        <v>29743300</v>
      </c>
      <c r="G275" s="344"/>
      <c r="H275" s="344"/>
      <c r="I275" s="344">
        <f t="shared" si="172"/>
        <v>0</v>
      </c>
      <c r="J275" s="344"/>
      <c r="K275" s="344"/>
      <c r="L275" s="344"/>
      <c r="M275" s="344">
        <f t="shared" ref="M275:M276" si="176">+I275+L275</f>
        <v>0</v>
      </c>
      <c r="N275" s="337">
        <f t="shared" si="175"/>
        <v>29743300</v>
      </c>
      <c r="P275" s="340"/>
      <c r="S275" s="347"/>
      <c r="T275" s="347"/>
      <c r="U275" s="342"/>
    </row>
    <row r="276" spans="1:21" s="339" customFormat="1" ht="18" customHeight="1" x14ac:dyDescent="0.25">
      <c r="A276" s="334"/>
      <c r="B276" s="352"/>
      <c r="C276" s="334"/>
      <c r="D276" s="335" t="s">
        <v>339</v>
      </c>
      <c r="E276" s="335" t="s">
        <v>340</v>
      </c>
      <c r="F276" s="337">
        <v>8842500</v>
      </c>
      <c r="G276" s="344"/>
      <c r="H276" s="344"/>
      <c r="I276" s="344">
        <f t="shared" si="172"/>
        <v>0</v>
      </c>
      <c r="J276" s="344"/>
      <c r="K276" s="344"/>
      <c r="L276" s="344"/>
      <c r="M276" s="344">
        <f t="shared" si="176"/>
        <v>0</v>
      </c>
      <c r="N276" s="337">
        <f t="shared" si="175"/>
        <v>8842500</v>
      </c>
      <c r="P276" s="340"/>
      <c r="S276" s="347"/>
      <c r="T276" s="347"/>
      <c r="U276" s="342"/>
    </row>
    <row r="277" spans="1:21" s="153" customFormat="1" ht="18" customHeight="1" x14ac:dyDescent="0.25">
      <c r="A277" s="353"/>
      <c r="B277" s="387"/>
      <c r="C277" s="353"/>
      <c r="D277" s="355" t="s">
        <v>361</v>
      </c>
      <c r="E277" s="355" t="s">
        <v>362</v>
      </c>
      <c r="F277" s="356">
        <v>3432050</v>
      </c>
      <c r="G277" s="357"/>
      <c r="H277" s="357"/>
      <c r="I277" s="357">
        <f>+G277+H277</f>
        <v>0</v>
      </c>
      <c r="J277" s="357"/>
      <c r="K277" s="357"/>
      <c r="L277" s="357">
        <f>+J277+K277</f>
        <v>0</v>
      </c>
      <c r="M277" s="357">
        <f>+I277+L277</f>
        <v>0</v>
      </c>
      <c r="N277" s="356">
        <f t="shared" si="175"/>
        <v>3432050</v>
      </c>
      <c r="P277" s="200"/>
      <c r="S277" s="221"/>
      <c r="T277" s="221"/>
      <c r="U277" s="254"/>
    </row>
    <row r="278" spans="1:21" s="319" customFormat="1" ht="18" customHeight="1" x14ac:dyDescent="0.25">
      <c r="A278" s="275">
        <v>15</v>
      </c>
      <c r="B278" s="305"/>
      <c r="C278" s="305" t="s">
        <v>363</v>
      </c>
      <c r="D278" s="363"/>
      <c r="E278" s="364" t="s">
        <v>364</v>
      </c>
      <c r="F278" s="307">
        <f t="shared" ref="F278:H279" si="177">+F279</f>
        <v>1060812675</v>
      </c>
      <c r="G278" s="308">
        <f t="shared" si="177"/>
        <v>0</v>
      </c>
      <c r="H278" s="308">
        <f t="shared" si="177"/>
        <v>0</v>
      </c>
      <c r="I278" s="308">
        <f>+G278+H278</f>
        <v>0</v>
      </c>
      <c r="J278" s="308">
        <f>+J279</f>
        <v>72760000</v>
      </c>
      <c r="K278" s="308">
        <f>+K279</f>
        <v>83960000</v>
      </c>
      <c r="L278" s="308">
        <f>+J278+K278</f>
        <v>156720000</v>
      </c>
      <c r="M278" s="308">
        <f>+I278+L278</f>
        <v>156720000</v>
      </c>
      <c r="N278" s="307">
        <f>+F278-M278</f>
        <v>904092675</v>
      </c>
      <c r="P278" s="320"/>
      <c r="R278" s="321"/>
      <c r="S278" s="349"/>
      <c r="T278" s="349"/>
      <c r="U278" s="350"/>
    </row>
    <row r="279" spans="1:21" s="329" customFormat="1" ht="18" customHeight="1" x14ac:dyDescent="0.25">
      <c r="A279" s="323"/>
      <c r="B279" s="324"/>
      <c r="C279" s="324"/>
      <c r="D279" s="325" t="s">
        <v>207</v>
      </c>
      <c r="E279" s="326" t="s">
        <v>262</v>
      </c>
      <c r="F279" s="327">
        <f t="shared" si="177"/>
        <v>1060812675</v>
      </c>
      <c r="G279" s="328">
        <f t="shared" si="177"/>
        <v>0</v>
      </c>
      <c r="H279" s="328">
        <f t="shared" si="177"/>
        <v>0</v>
      </c>
      <c r="I279" s="328">
        <f t="shared" ref="I279:I283" si="178">+G279+H279</f>
        <v>0</v>
      </c>
      <c r="J279" s="328">
        <f>+J280</f>
        <v>72760000</v>
      </c>
      <c r="K279" s="328">
        <f>+K280</f>
        <v>83960000</v>
      </c>
      <c r="L279" s="328">
        <f t="shared" ref="L279:L281" si="179">+J279+K279</f>
        <v>156720000</v>
      </c>
      <c r="M279" s="328">
        <f t="shared" ref="M279:M282" si="180">+I279+L279</f>
        <v>156720000</v>
      </c>
      <c r="N279" s="327">
        <f>+F279-M279</f>
        <v>904092675</v>
      </c>
      <c r="P279" s="330"/>
      <c r="R279" s="331"/>
      <c r="S279" s="351"/>
      <c r="T279" s="351"/>
      <c r="U279" s="333"/>
    </row>
    <row r="280" spans="1:21" s="339" customFormat="1" ht="18" customHeight="1" x14ac:dyDescent="0.25">
      <c r="A280" s="334"/>
      <c r="B280" s="352"/>
      <c r="C280" s="334"/>
      <c r="D280" s="335" t="s">
        <v>63</v>
      </c>
      <c r="E280" s="335" t="s">
        <v>30</v>
      </c>
      <c r="F280" s="337">
        <f>+F281+F291</f>
        <v>1060812675</v>
      </c>
      <c r="G280" s="344">
        <f>+G281+G291</f>
        <v>0</v>
      </c>
      <c r="H280" s="344">
        <f>+H281+H291</f>
        <v>0</v>
      </c>
      <c r="I280" s="344">
        <f t="shared" si="178"/>
        <v>0</v>
      </c>
      <c r="J280" s="344">
        <f>+J281+J291</f>
        <v>72760000</v>
      </c>
      <c r="K280" s="344">
        <f>+K281+K291</f>
        <v>83960000</v>
      </c>
      <c r="L280" s="344">
        <f t="shared" si="179"/>
        <v>156720000</v>
      </c>
      <c r="M280" s="344">
        <f t="shared" si="180"/>
        <v>156720000</v>
      </c>
      <c r="N280" s="337">
        <f>+F280-M280</f>
        <v>904092675</v>
      </c>
      <c r="P280" s="340"/>
      <c r="S280" s="347"/>
      <c r="T280" s="347"/>
      <c r="U280" s="342"/>
    </row>
    <row r="281" spans="1:21" s="339" customFormat="1" ht="18" customHeight="1" x14ac:dyDescent="0.25">
      <c r="A281" s="334"/>
      <c r="B281" s="335"/>
      <c r="C281" s="334"/>
      <c r="D281" s="365" t="s">
        <v>263</v>
      </c>
      <c r="E281" s="335" t="s">
        <v>264</v>
      </c>
      <c r="F281" s="337">
        <f>+F282</f>
        <v>105412675</v>
      </c>
      <c r="G281" s="344">
        <f t="shared" ref="G281:J281" si="181">+G282</f>
        <v>0</v>
      </c>
      <c r="H281" s="344">
        <f>+H282</f>
        <v>0</v>
      </c>
      <c r="I281" s="344">
        <f t="shared" si="178"/>
        <v>0</v>
      </c>
      <c r="J281" s="344">
        <f t="shared" si="181"/>
        <v>0</v>
      </c>
      <c r="K281" s="344">
        <f>+K282</f>
        <v>0</v>
      </c>
      <c r="L281" s="344">
        <f t="shared" si="179"/>
        <v>0</v>
      </c>
      <c r="M281" s="344">
        <f t="shared" si="180"/>
        <v>0</v>
      </c>
      <c r="N281" s="337">
        <f>+F281-M281</f>
        <v>105412675</v>
      </c>
      <c r="P281" s="340"/>
      <c r="S281" s="347"/>
      <c r="T281" s="347"/>
      <c r="U281" s="342"/>
    </row>
    <row r="282" spans="1:21" s="339" customFormat="1" ht="18" customHeight="1" x14ac:dyDescent="0.25">
      <c r="A282" s="334"/>
      <c r="B282" s="352"/>
      <c r="C282" s="334"/>
      <c r="D282" s="335" t="s">
        <v>64</v>
      </c>
      <c r="E282" s="335" t="s">
        <v>65</v>
      </c>
      <c r="F282" s="337">
        <f>SUM(F283:F290)</f>
        <v>105412675</v>
      </c>
      <c r="G282" s="344">
        <f>SUM(G283:G290)</f>
        <v>0</v>
      </c>
      <c r="H282" s="344">
        <f>SUM(H283:H290)</f>
        <v>0</v>
      </c>
      <c r="I282" s="344">
        <f>+G282+H282</f>
        <v>0</v>
      </c>
      <c r="J282" s="344">
        <f>SUM(J283:J290)</f>
        <v>0</v>
      </c>
      <c r="K282" s="344">
        <f>SUM(K283:K290)</f>
        <v>0</v>
      </c>
      <c r="L282" s="344">
        <f>+J282+K282</f>
        <v>0</v>
      </c>
      <c r="M282" s="344">
        <f t="shared" si="180"/>
        <v>0</v>
      </c>
      <c r="N282" s="337">
        <f>+F282-M282</f>
        <v>105412675</v>
      </c>
      <c r="P282" s="340"/>
      <c r="S282" s="347"/>
      <c r="T282" s="347"/>
      <c r="U282" s="342"/>
    </row>
    <row r="283" spans="1:21" s="339" customFormat="1" ht="18" customHeight="1" x14ac:dyDescent="0.25">
      <c r="A283" s="366"/>
      <c r="C283" s="366"/>
      <c r="D283" s="367" t="s">
        <v>365</v>
      </c>
      <c r="E283" s="367" t="s">
        <v>366</v>
      </c>
      <c r="F283" s="370">
        <v>9228650</v>
      </c>
      <c r="G283" s="371"/>
      <c r="H283" s="371"/>
      <c r="I283" s="371">
        <f t="shared" si="178"/>
        <v>0</v>
      </c>
      <c r="J283" s="371"/>
      <c r="K283" s="371"/>
      <c r="L283" s="371">
        <f>+J283+K283</f>
        <v>0</v>
      </c>
      <c r="M283" s="371">
        <f>+I283+L283</f>
        <v>0</v>
      </c>
      <c r="N283" s="370">
        <f t="shared" ref="N283:N290" si="182">+F283-M283</f>
        <v>9228650</v>
      </c>
      <c r="P283" s="340"/>
      <c r="S283" s="347"/>
      <c r="T283" s="347"/>
      <c r="U283" s="342"/>
    </row>
    <row r="284" spans="1:21" s="339" customFormat="1" ht="18" customHeight="1" x14ac:dyDescent="0.25">
      <c r="A284" s="366"/>
      <c r="C284" s="366"/>
      <c r="D284" s="367" t="s">
        <v>66</v>
      </c>
      <c r="E284" s="367" t="s">
        <v>67</v>
      </c>
      <c r="F284" s="370">
        <v>4831925</v>
      </c>
      <c r="G284" s="371"/>
      <c r="H284" s="371"/>
      <c r="I284" s="371"/>
      <c r="J284" s="371"/>
      <c r="K284" s="371"/>
      <c r="L284" s="371">
        <f t="shared" ref="L284:L296" si="183">+J284+K284</f>
        <v>0</v>
      </c>
      <c r="M284" s="371">
        <f t="shared" ref="M284:M292" si="184">+I284+L284</f>
        <v>0</v>
      </c>
      <c r="N284" s="370">
        <f t="shared" si="182"/>
        <v>4831925</v>
      </c>
      <c r="P284" s="340"/>
      <c r="S284" s="347"/>
      <c r="T284" s="347"/>
      <c r="U284" s="342"/>
    </row>
    <row r="285" spans="1:21" s="339" customFormat="1" ht="18" customHeight="1" x14ac:dyDescent="0.25">
      <c r="A285" s="366"/>
      <c r="C285" s="366"/>
      <c r="D285" s="367" t="s">
        <v>337</v>
      </c>
      <c r="E285" s="367" t="s">
        <v>338</v>
      </c>
      <c r="F285" s="370">
        <v>18985000</v>
      </c>
      <c r="G285" s="371"/>
      <c r="H285" s="371"/>
      <c r="I285" s="371"/>
      <c r="J285" s="371"/>
      <c r="K285" s="371"/>
      <c r="L285" s="371">
        <f t="shared" si="183"/>
        <v>0</v>
      </c>
      <c r="M285" s="371">
        <f t="shared" si="184"/>
        <v>0</v>
      </c>
      <c r="N285" s="370">
        <f t="shared" si="182"/>
        <v>18985000</v>
      </c>
      <c r="P285" s="340"/>
      <c r="S285" s="347"/>
      <c r="T285" s="347"/>
      <c r="U285" s="342"/>
    </row>
    <row r="286" spans="1:21" s="339" customFormat="1" ht="18" customHeight="1" x14ac:dyDescent="0.25">
      <c r="A286" s="366"/>
      <c r="C286" s="366"/>
      <c r="D286" s="367" t="s">
        <v>339</v>
      </c>
      <c r="E286" s="367" t="s">
        <v>340</v>
      </c>
      <c r="F286" s="370">
        <v>2175000</v>
      </c>
      <c r="G286" s="371"/>
      <c r="H286" s="371"/>
      <c r="I286" s="371"/>
      <c r="J286" s="371"/>
      <c r="K286" s="371"/>
      <c r="L286" s="371">
        <f t="shared" si="183"/>
        <v>0</v>
      </c>
      <c r="M286" s="371">
        <f t="shared" si="184"/>
        <v>0</v>
      </c>
      <c r="N286" s="370">
        <f t="shared" si="182"/>
        <v>2175000</v>
      </c>
      <c r="P286" s="340"/>
      <c r="S286" s="347"/>
      <c r="T286" s="347"/>
      <c r="U286" s="342"/>
    </row>
    <row r="287" spans="1:21" s="339" customFormat="1" ht="18" customHeight="1" x14ac:dyDescent="0.25">
      <c r="A287" s="366"/>
      <c r="C287" s="366"/>
      <c r="D287" s="367" t="s">
        <v>367</v>
      </c>
      <c r="E287" s="367" t="s">
        <v>368</v>
      </c>
      <c r="F287" s="370">
        <v>55592100</v>
      </c>
      <c r="G287" s="371"/>
      <c r="H287" s="371"/>
      <c r="I287" s="371">
        <f>+G287+H287</f>
        <v>0</v>
      </c>
      <c r="J287" s="371"/>
      <c r="K287" s="371"/>
      <c r="L287" s="371">
        <f t="shared" si="183"/>
        <v>0</v>
      </c>
      <c r="M287" s="371">
        <f t="shared" si="184"/>
        <v>0</v>
      </c>
      <c r="N287" s="370">
        <f t="shared" si="182"/>
        <v>55592100</v>
      </c>
      <c r="P287" s="340"/>
      <c r="S287" s="347"/>
      <c r="T287" s="347"/>
      <c r="U287" s="342"/>
    </row>
    <row r="288" spans="1:21" s="339" customFormat="1" ht="22.5" customHeight="1" x14ac:dyDescent="0.25">
      <c r="A288" s="366"/>
      <c r="C288" s="366"/>
      <c r="D288" s="367" t="s">
        <v>369</v>
      </c>
      <c r="E288" s="367" t="s">
        <v>370</v>
      </c>
      <c r="F288" s="370">
        <v>7200000</v>
      </c>
      <c r="G288" s="371"/>
      <c r="H288" s="371"/>
      <c r="I288" s="371"/>
      <c r="J288" s="371"/>
      <c r="K288" s="371"/>
      <c r="L288" s="371">
        <f t="shared" si="183"/>
        <v>0</v>
      </c>
      <c r="M288" s="371">
        <f t="shared" si="184"/>
        <v>0</v>
      </c>
      <c r="N288" s="370">
        <f t="shared" si="182"/>
        <v>7200000</v>
      </c>
      <c r="P288" s="340"/>
      <c r="S288" s="347"/>
      <c r="T288" s="347"/>
      <c r="U288" s="342"/>
    </row>
    <row r="289" spans="1:21" s="339" customFormat="1" ht="18" customHeight="1" x14ac:dyDescent="0.25">
      <c r="A289" s="366"/>
      <c r="C289" s="366"/>
      <c r="D289" s="367" t="s">
        <v>70</v>
      </c>
      <c r="E289" s="367" t="s">
        <v>33</v>
      </c>
      <c r="F289" s="370">
        <v>5000000</v>
      </c>
      <c r="G289" s="371"/>
      <c r="H289" s="371"/>
      <c r="I289" s="371"/>
      <c r="J289" s="371"/>
      <c r="K289" s="371"/>
      <c r="L289" s="371">
        <f t="shared" si="183"/>
        <v>0</v>
      </c>
      <c r="M289" s="371">
        <f t="shared" si="184"/>
        <v>0</v>
      </c>
      <c r="N289" s="370">
        <f t="shared" si="182"/>
        <v>5000000</v>
      </c>
      <c r="P289" s="340"/>
      <c r="S289" s="347"/>
      <c r="T289" s="347"/>
      <c r="U289" s="342"/>
    </row>
    <row r="290" spans="1:21" s="339" customFormat="1" ht="18" customHeight="1" x14ac:dyDescent="0.25">
      <c r="A290" s="366"/>
      <c r="C290" s="366"/>
      <c r="D290" s="367" t="s">
        <v>374</v>
      </c>
      <c r="E290" s="367" t="s">
        <v>375</v>
      </c>
      <c r="F290" s="370">
        <v>2400000</v>
      </c>
      <c r="G290" s="371"/>
      <c r="H290" s="371"/>
      <c r="I290" s="371"/>
      <c r="J290" s="371"/>
      <c r="K290" s="371"/>
      <c r="L290" s="371">
        <f t="shared" si="183"/>
        <v>0</v>
      </c>
      <c r="M290" s="371">
        <f t="shared" si="184"/>
        <v>0</v>
      </c>
      <c r="N290" s="370">
        <f t="shared" si="182"/>
        <v>2400000</v>
      </c>
      <c r="P290" s="340"/>
      <c r="S290" s="347"/>
      <c r="T290" s="347"/>
      <c r="U290" s="342"/>
    </row>
    <row r="291" spans="1:21" s="339" customFormat="1" ht="18" customHeight="1" x14ac:dyDescent="0.25">
      <c r="A291" s="334"/>
      <c r="B291" s="335"/>
      <c r="C291" s="334"/>
      <c r="D291" s="365" t="s">
        <v>271</v>
      </c>
      <c r="E291" s="335" t="s">
        <v>272</v>
      </c>
      <c r="F291" s="337">
        <f t="shared" ref="F291:J291" si="185">+F292</f>
        <v>955400000</v>
      </c>
      <c r="G291" s="344">
        <f t="shared" si="185"/>
        <v>0</v>
      </c>
      <c r="H291" s="344">
        <f>+H292</f>
        <v>0</v>
      </c>
      <c r="I291" s="344">
        <f>+G291+H291</f>
        <v>0</v>
      </c>
      <c r="J291" s="344">
        <f t="shared" si="185"/>
        <v>72760000</v>
      </c>
      <c r="K291" s="344">
        <f>+K292</f>
        <v>83960000</v>
      </c>
      <c r="L291" s="344">
        <f t="shared" si="183"/>
        <v>156720000</v>
      </c>
      <c r="M291" s="344">
        <f t="shared" si="184"/>
        <v>156720000</v>
      </c>
      <c r="N291" s="337">
        <f>+F291-M291</f>
        <v>798680000</v>
      </c>
      <c r="P291" s="340"/>
      <c r="S291" s="347"/>
      <c r="T291" s="347"/>
      <c r="U291" s="342"/>
    </row>
    <row r="292" spans="1:21" s="339" customFormat="1" ht="18" customHeight="1" x14ac:dyDescent="0.25">
      <c r="A292" s="334"/>
      <c r="B292" s="352"/>
      <c r="C292" s="334"/>
      <c r="D292" s="335" t="s">
        <v>81</v>
      </c>
      <c r="E292" s="335" t="s">
        <v>31</v>
      </c>
      <c r="F292" s="337">
        <f>SUM(F293:F296)</f>
        <v>955400000</v>
      </c>
      <c r="G292" s="344">
        <f>SUM(G293:G296)</f>
        <v>0</v>
      </c>
      <c r="H292" s="344">
        <f>SUM(H293:H296)</f>
        <v>0</v>
      </c>
      <c r="I292" s="344">
        <f>+G292+H292</f>
        <v>0</v>
      </c>
      <c r="J292" s="344">
        <f>SUM(J293:J296)</f>
        <v>72760000</v>
      </c>
      <c r="K292" s="344">
        <f>SUM(K293:K296)</f>
        <v>83960000</v>
      </c>
      <c r="L292" s="344">
        <f t="shared" si="183"/>
        <v>156720000</v>
      </c>
      <c r="M292" s="344">
        <f t="shared" si="184"/>
        <v>156720000</v>
      </c>
      <c r="N292" s="337">
        <f>+F292-M292</f>
        <v>798680000</v>
      </c>
      <c r="P292" s="340"/>
      <c r="S292" s="347"/>
      <c r="T292" s="347"/>
      <c r="U292" s="342"/>
    </row>
    <row r="293" spans="1:21" s="339" customFormat="1" ht="18" customHeight="1" x14ac:dyDescent="0.25">
      <c r="A293" s="334"/>
      <c r="B293" s="352"/>
      <c r="C293" s="334"/>
      <c r="D293" s="335" t="s">
        <v>100</v>
      </c>
      <c r="E293" s="335" t="s">
        <v>101</v>
      </c>
      <c r="F293" s="337">
        <v>336000000</v>
      </c>
      <c r="G293" s="344"/>
      <c r="H293" s="344"/>
      <c r="I293" s="344">
        <f t="shared" ref="I293:I294" si="186">+G293+H293</f>
        <v>0</v>
      </c>
      <c r="J293" s="344"/>
      <c r="K293" s="344"/>
      <c r="L293" s="344">
        <f t="shared" si="183"/>
        <v>0</v>
      </c>
      <c r="M293" s="344">
        <f>+I293+L293</f>
        <v>0</v>
      </c>
      <c r="N293" s="337">
        <f t="shared" ref="N293:N296" si="187">+F293-M293</f>
        <v>336000000</v>
      </c>
      <c r="P293" s="340"/>
      <c r="S293" s="347"/>
      <c r="T293" s="347"/>
      <c r="U293" s="342"/>
    </row>
    <row r="294" spans="1:21" s="339" customFormat="1" ht="18" customHeight="1" x14ac:dyDescent="0.25">
      <c r="A294" s="334"/>
      <c r="B294" s="352"/>
      <c r="C294" s="334"/>
      <c r="D294" s="335" t="s">
        <v>474</v>
      </c>
      <c r="E294" s="335" t="s">
        <v>475</v>
      </c>
      <c r="F294" s="337">
        <v>350000000</v>
      </c>
      <c r="G294" s="344"/>
      <c r="H294" s="344"/>
      <c r="I294" s="344">
        <f t="shared" si="186"/>
        <v>0</v>
      </c>
      <c r="J294" s="344"/>
      <c r="K294" s="344"/>
      <c r="L294" s="344">
        <f t="shared" si="183"/>
        <v>0</v>
      </c>
      <c r="M294" s="344">
        <f>+I294+L294</f>
        <v>0</v>
      </c>
      <c r="N294" s="337">
        <f t="shared" si="187"/>
        <v>350000000</v>
      </c>
      <c r="P294" s="340"/>
      <c r="S294" s="347"/>
      <c r="T294" s="347"/>
      <c r="U294" s="342"/>
    </row>
    <row r="295" spans="1:21" s="339" customFormat="1" ht="18" customHeight="1" x14ac:dyDescent="0.25">
      <c r="A295" s="334"/>
      <c r="B295" s="352"/>
      <c r="C295" s="334"/>
      <c r="D295" s="335" t="s">
        <v>376</v>
      </c>
      <c r="E295" s="335" t="s">
        <v>377</v>
      </c>
      <c r="F295" s="337">
        <v>268800000</v>
      </c>
      <c r="G295" s="344">
        <v>0</v>
      </c>
      <c r="H295" s="344"/>
      <c r="I295" s="344">
        <f>+G295+H295</f>
        <v>0</v>
      </c>
      <c r="J295" s="344">
        <v>72760000</v>
      </c>
      <c r="K295" s="344">
        <v>83960000</v>
      </c>
      <c r="L295" s="344">
        <f t="shared" si="183"/>
        <v>156720000</v>
      </c>
      <c r="M295" s="344">
        <f>+I295+L295</f>
        <v>156720000</v>
      </c>
      <c r="N295" s="337">
        <f t="shared" si="187"/>
        <v>112080000</v>
      </c>
      <c r="P295" s="340"/>
      <c r="S295" s="346">
        <v>83960000</v>
      </c>
      <c r="T295" s="347"/>
      <c r="U295" s="342"/>
    </row>
    <row r="296" spans="1:21" s="339" customFormat="1" ht="18" customHeight="1" x14ac:dyDescent="0.25">
      <c r="A296" s="334"/>
      <c r="B296" s="352"/>
      <c r="C296" s="334"/>
      <c r="D296" s="335" t="s">
        <v>378</v>
      </c>
      <c r="E296" s="335" t="s">
        <v>379</v>
      </c>
      <c r="F296" s="337">
        <v>600000</v>
      </c>
      <c r="G296" s="344"/>
      <c r="H296" s="344"/>
      <c r="I296" s="344"/>
      <c r="J296" s="344"/>
      <c r="K296" s="344"/>
      <c r="L296" s="344">
        <f t="shared" si="183"/>
        <v>0</v>
      </c>
      <c r="M296" s="344">
        <f>+I296+L296</f>
        <v>0</v>
      </c>
      <c r="N296" s="337">
        <f t="shared" si="187"/>
        <v>600000</v>
      </c>
      <c r="P296" s="340"/>
      <c r="S296" s="347"/>
      <c r="T296" s="347"/>
      <c r="U296" s="342"/>
    </row>
    <row r="297" spans="1:21" s="388" customFormat="1" ht="18" customHeight="1" x14ac:dyDescent="0.25">
      <c r="A297" s="393"/>
      <c r="B297" s="393"/>
      <c r="C297" s="393"/>
      <c r="D297" s="393"/>
      <c r="E297" s="393"/>
      <c r="F297" s="394"/>
      <c r="G297" s="395"/>
      <c r="H297" s="395"/>
      <c r="I297" s="395"/>
      <c r="J297" s="395"/>
      <c r="K297" s="395"/>
      <c r="L297" s="395"/>
      <c r="M297" s="395"/>
      <c r="N297" s="394"/>
      <c r="P297" s="200"/>
      <c r="S297" s="221"/>
      <c r="T297" s="221"/>
      <c r="U297" s="389"/>
    </row>
    <row r="298" spans="1:21" s="319" customFormat="1" ht="21" customHeight="1" x14ac:dyDescent="0.25">
      <c r="A298" s="276"/>
      <c r="B298" s="305" t="s">
        <v>342</v>
      </c>
      <c r="C298" s="305"/>
      <c r="D298" s="305"/>
      <c r="E298" s="396" t="s">
        <v>341</v>
      </c>
      <c r="F298" s="359">
        <f>+F299+F312+F331+F337+F343</f>
        <v>2394721000</v>
      </c>
      <c r="G298" s="360">
        <f>+G299+G312+G331+G337+G343</f>
        <v>0</v>
      </c>
      <c r="H298" s="360">
        <f>+H299+H312+H331+H337+H343</f>
        <v>0</v>
      </c>
      <c r="I298" s="360">
        <f t="shared" ref="I298:I303" si="188">+G298+H298</f>
        <v>0</v>
      </c>
      <c r="J298" s="360">
        <f>+J299+J312+J331+J337+J343</f>
        <v>3000000</v>
      </c>
      <c r="K298" s="360">
        <f>+K299+K312+K331+K337+K343</f>
        <v>80363817</v>
      </c>
      <c r="L298" s="360">
        <f>+J298+K298</f>
        <v>83363817</v>
      </c>
      <c r="M298" s="360">
        <f t="shared" ref="M298" si="189">+I298+L298</f>
        <v>83363817</v>
      </c>
      <c r="N298" s="359">
        <f t="shared" ref="N298" si="190">+F298-M298</f>
        <v>2311357183</v>
      </c>
      <c r="P298" s="361"/>
      <c r="S298" s="362"/>
      <c r="T298" s="362"/>
      <c r="U298" s="350"/>
    </row>
    <row r="299" spans="1:21" s="319" customFormat="1" ht="35.25" customHeight="1" x14ac:dyDescent="0.25">
      <c r="A299" s="275">
        <v>16</v>
      </c>
      <c r="B299" s="314"/>
      <c r="C299" s="314" t="s">
        <v>476</v>
      </c>
      <c r="D299" s="315"/>
      <c r="E299" s="348" t="s">
        <v>477</v>
      </c>
      <c r="F299" s="317">
        <f t="shared" ref="F299:H300" si="191">+F300</f>
        <v>690000000</v>
      </c>
      <c r="G299" s="318">
        <f t="shared" si="191"/>
        <v>0</v>
      </c>
      <c r="H299" s="318">
        <f t="shared" si="191"/>
        <v>0</v>
      </c>
      <c r="I299" s="318">
        <f t="shared" si="188"/>
        <v>0</v>
      </c>
      <c r="J299" s="318">
        <f>+J300</f>
        <v>1400000</v>
      </c>
      <c r="K299" s="318">
        <f>+K300</f>
        <v>42278817</v>
      </c>
      <c r="L299" s="318">
        <f>+J299+K299</f>
        <v>43678817</v>
      </c>
      <c r="M299" s="318">
        <f>+I299+L299</f>
        <v>43678817</v>
      </c>
      <c r="N299" s="317">
        <f>+F299-M299</f>
        <v>646321183</v>
      </c>
      <c r="P299" s="320"/>
      <c r="R299" s="321"/>
      <c r="S299" s="349"/>
      <c r="T299" s="349"/>
      <c r="U299" s="350"/>
    </row>
    <row r="300" spans="1:21" s="329" customFormat="1" ht="18" customHeight="1" x14ac:dyDescent="0.25">
      <c r="A300" s="323"/>
      <c r="B300" s="324"/>
      <c r="C300" s="324"/>
      <c r="D300" s="325" t="s">
        <v>207</v>
      </c>
      <c r="E300" s="326" t="s">
        <v>262</v>
      </c>
      <c r="F300" s="327">
        <f t="shared" si="191"/>
        <v>690000000</v>
      </c>
      <c r="G300" s="328">
        <f t="shared" si="191"/>
        <v>0</v>
      </c>
      <c r="H300" s="328">
        <f t="shared" si="191"/>
        <v>0</v>
      </c>
      <c r="I300" s="328">
        <f t="shared" si="188"/>
        <v>0</v>
      </c>
      <c r="J300" s="328">
        <f>+J301</f>
        <v>1400000</v>
      </c>
      <c r="K300" s="328">
        <f>+K301</f>
        <v>42278817</v>
      </c>
      <c r="L300" s="328">
        <f t="shared" ref="L300:L304" si="192">+J300+K300</f>
        <v>43678817</v>
      </c>
      <c r="M300" s="328">
        <f t="shared" ref="M300:M311" si="193">+I300+L300</f>
        <v>43678817</v>
      </c>
      <c r="N300" s="327">
        <f t="shared" ref="N300:N311" si="194">+F300-M300</f>
        <v>646321183</v>
      </c>
      <c r="P300" s="330"/>
      <c r="R300" s="331"/>
      <c r="S300" s="351"/>
      <c r="T300" s="351"/>
      <c r="U300" s="333"/>
    </row>
    <row r="301" spans="1:21" s="381" customFormat="1" ht="18" customHeight="1" x14ac:dyDescent="0.25">
      <c r="A301" s="384"/>
      <c r="B301" s="397"/>
      <c r="C301" s="384"/>
      <c r="D301" s="335" t="s">
        <v>63</v>
      </c>
      <c r="E301" s="335" t="s">
        <v>30</v>
      </c>
      <c r="F301" s="337">
        <f>+F302+F305+F309</f>
        <v>690000000</v>
      </c>
      <c r="G301" s="344">
        <f>+G302+G305+G309</f>
        <v>0</v>
      </c>
      <c r="H301" s="344">
        <f>+H302+H305+H309</f>
        <v>0</v>
      </c>
      <c r="I301" s="344">
        <f t="shared" si="188"/>
        <v>0</v>
      </c>
      <c r="J301" s="344">
        <f>+J302+J305+J309</f>
        <v>1400000</v>
      </c>
      <c r="K301" s="344">
        <f>+K302+K305+K309</f>
        <v>42278817</v>
      </c>
      <c r="L301" s="344">
        <f t="shared" si="192"/>
        <v>43678817</v>
      </c>
      <c r="M301" s="344">
        <f t="shared" si="193"/>
        <v>43678817</v>
      </c>
      <c r="N301" s="337">
        <f t="shared" si="194"/>
        <v>646321183</v>
      </c>
      <c r="P301" s="340"/>
      <c r="S301" s="347"/>
      <c r="T301" s="347"/>
      <c r="U301" s="382"/>
    </row>
    <row r="302" spans="1:21" s="339" customFormat="1" ht="18" customHeight="1" x14ac:dyDescent="0.25">
      <c r="A302" s="334"/>
      <c r="B302" s="335"/>
      <c r="C302" s="335"/>
      <c r="D302" s="365" t="s">
        <v>263</v>
      </c>
      <c r="E302" s="335" t="s">
        <v>264</v>
      </c>
      <c r="F302" s="337">
        <f>+F303</f>
        <v>435000000</v>
      </c>
      <c r="G302" s="344">
        <f>+G303</f>
        <v>0</v>
      </c>
      <c r="H302" s="344">
        <f>+H303</f>
        <v>0</v>
      </c>
      <c r="I302" s="344">
        <f t="shared" si="188"/>
        <v>0</v>
      </c>
      <c r="J302" s="344">
        <f>+J303</f>
        <v>0</v>
      </c>
      <c r="K302" s="344">
        <f>+K303</f>
        <v>14950117</v>
      </c>
      <c r="L302" s="344">
        <f t="shared" si="192"/>
        <v>14950117</v>
      </c>
      <c r="M302" s="344">
        <f t="shared" si="193"/>
        <v>14950117</v>
      </c>
      <c r="N302" s="337">
        <f t="shared" si="194"/>
        <v>420049883</v>
      </c>
      <c r="P302" s="340"/>
      <c r="S302" s="347"/>
      <c r="T302" s="347"/>
      <c r="U302" s="342"/>
    </row>
    <row r="303" spans="1:21" s="381" customFormat="1" ht="18" customHeight="1" x14ac:dyDescent="0.25">
      <c r="A303" s="384"/>
      <c r="B303" s="397"/>
      <c r="C303" s="384"/>
      <c r="D303" s="335" t="s">
        <v>64</v>
      </c>
      <c r="E303" s="335" t="s">
        <v>65</v>
      </c>
      <c r="F303" s="337">
        <f>F304</f>
        <v>435000000</v>
      </c>
      <c r="G303" s="344">
        <f>+G304</f>
        <v>0</v>
      </c>
      <c r="H303" s="344">
        <f>+H304</f>
        <v>0</v>
      </c>
      <c r="I303" s="344">
        <f t="shared" si="188"/>
        <v>0</v>
      </c>
      <c r="J303" s="344">
        <f>+J304</f>
        <v>0</v>
      </c>
      <c r="K303" s="344">
        <f>+K304</f>
        <v>14950117</v>
      </c>
      <c r="L303" s="344">
        <f t="shared" si="192"/>
        <v>14950117</v>
      </c>
      <c r="M303" s="344">
        <f t="shared" si="193"/>
        <v>14950117</v>
      </c>
      <c r="N303" s="337">
        <f t="shared" si="194"/>
        <v>420049883</v>
      </c>
      <c r="P303" s="340"/>
      <c r="S303" s="347"/>
      <c r="T303" s="347"/>
      <c r="U303" s="382"/>
    </row>
    <row r="304" spans="1:21" s="339" customFormat="1" ht="18" customHeight="1" x14ac:dyDescent="0.25">
      <c r="A304" s="384"/>
      <c r="B304" s="397"/>
      <c r="C304" s="334"/>
      <c r="D304" s="335" t="s">
        <v>129</v>
      </c>
      <c r="E304" s="335" t="s">
        <v>130</v>
      </c>
      <c r="F304" s="337">
        <v>435000000</v>
      </c>
      <c r="G304" s="398"/>
      <c r="H304" s="398"/>
      <c r="I304" s="398"/>
      <c r="J304" s="344"/>
      <c r="K304" s="344">
        <f>255000+150000+175405+550000+5311512+8508200</f>
        <v>14950117</v>
      </c>
      <c r="L304" s="344">
        <f t="shared" si="192"/>
        <v>14950117</v>
      </c>
      <c r="M304" s="344">
        <f t="shared" si="193"/>
        <v>14950117</v>
      </c>
      <c r="N304" s="337">
        <f t="shared" si="194"/>
        <v>420049883</v>
      </c>
      <c r="P304" s="340"/>
      <c r="S304" s="346">
        <f>255000+150000+175405+550000+750000+896000+883200+640000+268800+268800+794800+797800+798800+800800+802800+806400+268800+806400+793600+281600+281600+1100000+955962+554750+268800</f>
        <v>14950117</v>
      </c>
      <c r="T304" s="347"/>
      <c r="U304" s="342"/>
    </row>
    <row r="305" spans="1:21" s="339" customFormat="1" ht="20.25" x14ac:dyDescent="0.25">
      <c r="A305" s="334"/>
      <c r="B305" s="335"/>
      <c r="C305" s="335"/>
      <c r="D305" s="365" t="s">
        <v>271</v>
      </c>
      <c r="E305" s="335" t="s">
        <v>272</v>
      </c>
      <c r="F305" s="337">
        <f>+F306</f>
        <v>79500000</v>
      </c>
      <c r="G305" s="344">
        <f>+G306</f>
        <v>0</v>
      </c>
      <c r="H305" s="344">
        <f>+H306</f>
        <v>0</v>
      </c>
      <c r="I305" s="344">
        <f t="shared" ref="I305:I316" si="195">+G305+H305</f>
        <v>0</v>
      </c>
      <c r="J305" s="344">
        <f>+J306</f>
        <v>1400000</v>
      </c>
      <c r="K305" s="344">
        <f>+K306</f>
        <v>3088700</v>
      </c>
      <c r="L305" s="344">
        <f>+J305+K305</f>
        <v>4488700</v>
      </c>
      <c r="M305" s="344">
        <f t="shared" si="193"/>
        <v>4488700</v>
      </c>
      <c r="N305" s="337">
        <f t="shared" si="194"/>
        <v>75011300</v>
      </c>
      <c r="P305" s="340"/>
      <c r="S305" s="346"/>
      <c r="T305" s="347"/>
      <c r="U305" s="342"/>
    </row>
    <row r="306" spans="1:21" s="381" customFormat="1" ht="18" customHeight="1" x14ac:dyDescent="0.25">
      <c r="A306" s="334"/>
      <c r="B306" s="352"/>
      <c r="C306" s="334"/>
      <c r="D306" s="335" t="s">
        <v>81</v>
      </c>
      <c r="E306" s="335" t="s">
        <v>31</v>
      </c>
      <c r="F306" s="337">
        <f>F308+F307</f>
        <v>79500000</v>
      </c>
      <c r="G306" s="344">
        <f>SUM(G307:G308)</f>
        <v>0</v>
      </c>
      <c r="H306" s="344">
        <f>SUM(H307:H308)</f>
        <v>0</v>
      </c>
      <c r="I306" s="344">
        <f t="shared" si="195"/>
        <v>0</v>
      </c>
      <c r="J306" s="344">
        <f>SUM(J307:J308)</f>
        <v>1400000</v>
      </c>
      <c r="K306" s="344">
        <f>SUM(K307:K308)</f>
        <v>3088700</v>
      </c>
      <c r="L306" s="344">
        <f>+J306+K306</f>
        <v>4488700</v>
      </c>
      <c r="M306" s="344">
        <f t="shared" si="193"/>
        <v>4488700</v>
      </c>
      <c r="N306" s="337">
        <f t="shared" si="194"/>
        <v>75011300</v>
      </c>
      <c r="P306" s="340"/>
      <c r="R306" s="385"/>
      <c r="S306" s="346"/>
      <c r="T306" s="347"/>
      <c r="U306" s="382"/>
    </row>
    <row r="307" spans="1:21" s="381" customFormat="1" ht="18" customHeight="1" x14ac:dyDescent="0.25">
      <c r="A307" s="334"/>
      <c r="B307" s="352"/>
      <c r="C307" s="334"/>
      <c r="D307" s="335" t="s">
        <v>82</v>
      </c>
      <c r="E307" s="335" t="s">
        <v>83</v>
      </c>
      <c r="F307" s="337">
        <v>18000000</v>
      </c>
      <c r="G307" s="344"/>
      <c r="H307" s="344"/>
      <c r="I307" s="344">
        <f t="shared" si="195"/>
        <v>0</v>
      </c>
      <c r="J307" s="344">
        <v>1400000</v>
      </c>
      <c r="K307" s="344">
        <v>1400000</v>
      </c>
      <c r="L307" s="344">
        <f>J307+K307</f>
        <v>2800000</v>
      </c>
      <c r="M307" s="344">
        <f t="shared" si="193"/>
        <v>2800000</v>
      </c>
      <c r="N307" s="337">
        <f t="shared" si="194"/>
        <v>15200000</v>
      </c>
      <c r="P307" s="340"/>
      <c r="S307" s="346">
        <v>1400000</v>
      </c>
      <c r="T307" s="347"/>
      <c r="U307" s="382"/>
    </row>
    <row r="308" spans="1:21" s="381" customFormat="1" ht="18" customHeight="1" x14ac:dyDescent="0.25">
      <c r="A308" s="334"/>
      <c r="B308" s="352"/>
      <c r="C308" s="334"/>
      <c r="D308" s="335" t="s">
        <v>343</v>
      </c>
      <c r="E308" s="335" t="s">
        <v>344</v>
      </c>
      <c r="F308" s="337">
        <v>61500000</v>
      </c>
      <c r="G308" s="344"/>
      <c r="H308" s="344"/>
      <c r="I308" s="344">
        <f t="shared" si="195"/>
        <v>0</v>
      </c>
      <c r="J308" s="344"/>
      <c r="K308" s="344">
        <v>1688700</v>
      </c>
      <c r="L308" s="344">
        <f>J308+K308</f>
        <v>1688700</v>
      </c>
      <c r="M308" s="344">
        <f t="shared" si="193"/>
        <v>1688700</v>
      </c>
      <c r="N308" s="337">
        <f t="shared" si="194"/>
        <v>59811300</v>
      </c>
      <c r="P308" s="340"/>
      <c r="S308" s="346">
        <v>1688700</v>
      </c>
      <c r="T308" s="347"/>
      <c r="U308" s="382"/>
    </row>
    <row r="309" spans="1:21" s="339" customFormat="1" ht="20.25" x14ac:dyDescent="0.25">
      <c r="A309" s="334"/>
      <c r="B309" s="335"/>
      <c r="C309" s="334"/>
      <c r="D309" s="365" t="s">
        <v>275</v>
      </c>
      <c r="E309" s="335" t="s">
        <v>276</v>
      </c>
      <c r="F309" s="337">
        <f>+F310</f>
        <v>175500000</v>
      </c>
      <c r="G309" s="344">
        <f>+G310</f>
        <v>0</v>
      </c>
      <c r="H309" s="344">
        <f>+H310</f>
        <v>0</v>
      </c>
      <c r="I309" s="344">
        <f t="shared" si="195"/>
        <v>0</v>
      </c>
      <c r="J309" s="344">
        <f>+J310</f>
        <v>0</v>
      </c>
      <c r="K309" s="344">
        <f>+K310</f>
        <v>24240000</v>
      </c>
      <c r="L309" s="344">
        <f>+J309+K309</f>
        <v>24240000</v>
      </c>
      <c r="M309" s="344">
        <f t="shared" si="193"/>
        <v>24240000</v>
      </c>
      <c r="N309" s="337">
        <f t="shared" si="194"/>
        <v>151260000</v>
      </c>
      <c r="P309" s="340"/>
      <c r="S309" s="346"/>
      <c r="T309" s="347"/>
      <c r="U309" s="342"/>
    </row>
    <row r="310" spans="1:21" s="381" customFormat="1" ht="18" customHeight="1" x14ac:dyDescent="0.25">
      <c r="A310" s="334"/>
      <c r="B310" s="352"/>
      <c r="C310" s="334"/>
      <c r="D310" s="335" t="s">
        <v>114</v>
      </c>
      <c r="E310" s="335" t="s">
        <v>43</v>
      </c>
      <c r="F310" s="337">
        <f>+F311</f>
        <v>175500000</v>
      </c>
      <c r="G310" s="344">
        <f>SUM(G311)</f>
        <v>0</v>
      </c>
      <c r="H310" s="344">
        <f>SUM(H311)</f>
        <v>0</v>
      </c>
      <c r="I310" s="344">
        <f t="shared" si="195"/>
        <v>0</v>
      </c>
      <c r="J310" s="344">
        <f>SUM(J311)</f>
        <v>0</v>
      </c>
      <c r="K310" s="344">
        <f>SUM(K311)</f>
        <v>24240000</v>
      </c>
      <c r="L310" s="344">
        <f>+J310+K310</f>
        <v>24240000</v>
      </c>
      <c r="M310" s="344">
        <f t="shared" si="193"/>
        <v>24240000</v>
      </c>
      <c r="N310" s="337">
        <f t="shared" si="194"/>
        <v>151260000</v>
      </c>
      <c r="P310" s="340"/>
      <c r="R310" s="385"/>
      <c r="S310" s="346"/>
      <c r="T310" s="347"/>
      <c r="U310" s="382"/>
    </row>
    <row r="311" spans="1:21" s="388" customFormat="1" ht="33.75" customHeight="1" x14ac:dyDescent="0.25">
      <c r="A311" s="372"/>
      <c r="B311" s="153"/>
      <c r="C311" s="372"/>
      <c r="D311" s="373" t="s">
        <v>345</v>
      </c>
      <c r="E311" s="375" t="s">
        <v>346</v>
      </c>
      <c r="F311" s="376">
        <v>175500000</v>
      </c>
      <c r="G311" s="377"/>
      <c r="H311" s="377"/>
      <c r="I311" s="371">
        <f t="shared" si="195"/>
        <v>0</v>
      </c>
      <c r="J311" s="377"/>
      <c r="K311" s="377">
        <f>1760000+1855000+1860000+8215000+2440000+1750000+1440000+2845000+2075000</f>
        <v>24240000</v>
      </c>
      <c r="L311" s="377">
        <f>J311+K311</f>
        <v>24240000</v>
      </c>
      <c r="M311" s="377">
        <f t="shared" si="193"/>
        <v>24240000</v>
      </c>
      <c r="N311" s="376">
        <f t="shared" si="194"/>
        <v>151260000</v>
      </c>
      <c r="P311" s="200"/>
      <c r="S311" s="358">
        <f>740000+740000+740000+840000+860000+860000+440000+680000+715000+1600000+1760000+1855000+1860000+2440000+1750000+1440000+2845000+2075000</f>
        <v>24240000</v>
      </c>
      <c r="T311" s="221"/>
      <c r="U311" s="389"/>
    </row>
    <row r="312" spans="1:21" s="319" customFormat="1" ht="22.5" customHeight="1" x14ac:dyDescent="0.25">
      <c r="A312" s="275">
        <v>17</v>
      </c>
      <c r="B312" s="314"/>
      <c r="C312" s="314" t="s">
        <v>143</v>
      </c>
      <c r="D312" s="315"/>
      <c r="E312" s="348" t="s">
        <v>144</v>
      </c>
      <c r="F312" s="317">
        <f t="shared" ref="F312:H313" si="196">+F313</f>
        <v>1024733000</v>
      </c>
      <c r="G312" s="318">
        <f t="shared" si="196"/>
        <v>0</v>
      </c>
      <c r="H312" s="318">
        <f t="shared" si="196"/>
        <v>0</v>
      </c>
      <c r="I312" s="318">
        <f t="shared" si="195"/>
        <v>0</v>
      </c>
      <c r="J312" s="318">
        <f>+J313</f>
        <v>1600000</v>
      </c>
      <c r="K312" s="318">
        <f>+K313</f>
        <v>38085000</v>
      </c>
      <c r="L312" s="318">
        <f>+J312+K312</f>
        <v>39685000</v>
      </c>
      <c r="M312" s="318">
        <f>+I312+L312</f>
        <v>39685000</v>
      </c>
      <c r="N312" s="317">
        <f>+F312-M312</f>
        <v>985048000</v>
      </c>
      <c r="P312" s="320"/>
      <c r="R312" s="321"/>
      <c r="S312" s="349"/>
      <c r="T312" s="349"/>
      <c r="U312" s="350"/>
    </row>
    <row r="313" spans="1:21" s="329" customFormat="1" ht="18" customHeight="1" x14ac:dyDescent="0.25">
      <c r="A313" s="323"/>
      <c r="B313" s="324"/>
      <c r="C313" s="324"/>
      <c r="D313" s="325" t="s">
        <v>207</v>
      </c>
      <c r="E313" s="326" t="s">
        <v>262</v>
      </c>
      <c r="F313" s="327">
        <f t="shared" si="196"/>
        <v>1024733000</v>
      </c>
      <c r="G313" s="328">
        <f t="shared" si="196"/>
        <v>0</v>
      </c>
      <c r="H313" s="328">
        <f t="shared" si="196"/>
        <v>0</v>
      </c>
      <c r="I313" s="328">
        <f t="shared" si="195"/>
        <v>0</v>
      </c>
      <c r="J313" s="328">
        <f>+J314</f>
        <v>1600000</v>
      </c>
      <c r="K313" s="328">
        <f>+K314</f>
        <v>38085000</v>
      </c>
      <c r="L313" s="328">
        <f>+J313+K313</f>
        <v>39685000</v>
      </c>
      <c r="M313" s="328">
        <f t="shared" ref="M313:M330" si="197">+I313+L313</f>
        <v>39685000</v>
      </c>
      <c r="N313" s="327">
        <f t="shared" ref="N313:N330" si="198">+F313-M313</f>
        <v>985048000</v>
      </c>
      <c r="P313" s="330"/>
      <c r="R313" s="331"/>
      <c r="S313" s="351"/>
      <c r="T313" s="351"/>
      <c r="U313" s="333"/>
    </row>
    <row r="314" spans="1:21" s="381" customFormat="1" ht="18" customHeight="1" x14ac:dyDescent="0.25">
      <c r="A314" s="384"/>
      <c r="B314" s="397"/>
      <c r="C314" s="384"/>
      <c r="D314" s="335" t="s">
        <v>63</v>
      </c>
      <c r="E314" s="335" t="s">
        <v>30</v>
      </c>
      <c r="F314" s="337">
        <f>+F315+F319+F322</f>
        <v>1024733000</v>
      </c>
      <c r="G314" s="344">
        <f>+G315+G319+G322</f>
        <v>0</v>
      </c>
      <c r="H314" s="344">
        <f>+H315+H319+H322</f>
        <v>0</v>
      </c>
      <c r="I314" s="344">
        <f t="shared" si="195"/>
        <v>0</v>
      </c>
      <c r="J314" s="344">
        <f>+J315+J319+J322</f>
        <v>1600000</v>
      </c>
      <c r="K314" s="344">
        <f>+K315+K319+K322</f>
        <v>38085000</v>
      </c>
      <c r="L314" s="344">
        <f>+J314+K314</f>
        <v>39685000</v>
      </c>
      <c r="M314" s="344">
        <f t="shared" si="197"/>
        <v>39685000</v>
      </c>
      <c r="N314" s="337">
        <f t="shared" si="198"/>
        <v>985048000</v>
      </c>
      <c r="P314" s="340"/>
      <c r="S314" s="347"/>
      <c r="T314" s="347"/>
      <c r="U314" s="382"/>
    </row>
    <row r="315" spans="1:21" s="339" customFormat="1" ht="18" customHeight="1" x14ac:dyDescent="0.25">
      <c r="A315" s="334"/>
      <c r="B315" s="335"/>
      <c r="C315" s="335"/>
      <c r="D315" s="365" t="s">
        <v>263</v>
      </c>
      <c r="E315" s="335" t="s">
        <v>264</v>
      </c>
      <c r="F315" s="337">
        <f>+F316</f>
        <v>160643000</v>
      </c>
      <c r="G315" s="344">
        <f>+G316</f>
        <v>0</v>
      </c>
      <c r="H315" s="344">
        <f>+H316</f>
        <v>0</v>
      </c>
      <c r="I315" s="344">
        <f t="shared" si="195"/>
        <v>0</v>
      </c>
      <c r="J315" s="344">
        <f>+J316</f>
        <v>0</v>
      </c>
      <c r="K315" s="344">
        <f>+K316</f>
        <v>11830000</v>
      </c>
      <c r="L315" s="344">
        <f>+J315+K315</f>
        <v>11830000</v>
      </c>
      <c r="M315" s="344">
        <f t="shared" si="197"/>
        <v>11830000</v>
      </c>
      <c r="N315" s="337">
        <f t="shared" si="198"/>
        <v>148813000</v>
      </c>
      <c r="P315" s="340"/>
      <c r="S315" s="347"/>
      <c r="T315" s="347"/>
      <c r="U315" s="342"/>
    </row>
    <row r="316" spans="1:21" s="381" customFormat="1" ht="18" customHeight="1" x14ac:dyDescent="0.25">
      <c r="A316" s="384"/>
      <c r="B316" s="397"/>
      <c r="C316" s="384"/>
      <c r="D316" s="335" t="s">
        <v>64</v>
      </c>
      <c r="E316" s="335" t="s">
        <v>65</v>
      </c>
      <c r="F316" s="337">
        <f>F317+F318</f>
        <v>160643000</v>
      </c>
      <c r="G316" s="344">
        <f>+G317</f>
        <v>0</v>
      </c>
      <c r="H316" s="344">
        <f>+H317</f>
        <v>0</v>
      </c>
      <c r="I316" s="344">
        <f t="shared" si="195"/>
        <v>0</v>
      </c>
      <c r="J316" s="344">
        <f>+J317</f>
        <v>0</v>
      </c>
      <c r="K316" s="344">
        <f>+K317</f>
        <v>11830000</v>
      </c>
      <c r="L316" s="344">
        <f>+J316+K316</f>
        <v>11830000</v>
      </c>
      <c r="M316" s="344">
        <f t="shared" si="197"/>
        <v>11830000</v>
      </c>
      <c r="N316" s="337">
        <f t="shared" si="198"/>
        <v>148813000</v>
      </c>
      <c r="P316" s="340"/>
      <c r="S316" s="347"/>
      <c r="T316" s="347"/>
      <c r="U316" s="382"/>
    </row>
    <row r="317" spans="1:21" s="339" customFormat="1" ht="18" customHeight="1" x14ac:dyDescent="0.25">
      <c r="A317" s="384"/>
      <c r="B317" s="397"/>
      <c r="C317" s="334"/>
      <c r="D317" s="335" t="s">
        <v>339</v>
      </c>
      <c r="E317" s="335" t="s">
        <v>340</v>
      </c>
      <c r="F317" s="337">
        <v>99000000</v>
      </c>
      <c r="G317" s="398"/>
      <c r="H317" s="398"/>
      <c r="I317" s="398"/>
      <c r="J317" s="344"/>
      <c r="K317" s="344">
        <v>11830000</v>
      </c>
      <c r="L317" s="344">
        <f t="shared" ref="L317:L330" si="199">+J317+K317</f>
        <v>11830000</v>
      </c>
      <c r="M317" s="344">
        <f t="shared" si="197"/>
        <v>11830000</v>
      </c>
      <c r="N317" s="337">
        <f t="shared" si="198"/>
        <v>87170000</v>
      </c>
      <c r="P317" s="343"/>
      <c r="S317" s="346">
        <f>900000+940000+810000+930000+970000+950000+750000+840000+960000+950000+940000+990000+900000</f>
        <v>11830000</v>
      </c>
      <c r="T317" s="347"/>
      <c r="U317" s="342"/>
    </row>
    <row r="318" spans="1:21" s="339" customFormat="1" ht="18" customHeight="1" x14ac:dyDescent="0.25">
      <c r="A318" s="384"/>
      <c r="B318" s="397"/>
      <c r="C318" s="334"/>
      <c r="D318" s="335" t="s">
        <v>361</v>
      </c>
      <c r="E318" s="335" t="s">
        <v>362</v>
      </c>
      <c r="F318" s="337">
        <v>61643000</v>
      </c>
      <c r="G318" s="398"/>
      <c r="H318" s="398"/>
      <c r="I318" s="398"/>
      <c r="J318" s="344"/>
      <c r="K318" s="344"/>
      <c r="L318" s="344">
        <f t="shared" si="199"/>
        <v>0</v>
      </c>
      <c r="M318" s="344">
        <f t="shared" si="197"/>
        <v>0</v>
      </c>
      <c r="N318" s="337">
        <f t="shared" si="198"/>
        <v>61643000</v>
      </c>
      <c r="P318" s="343"/>
      <c r="S318" s="346"/>
      <c r="T318" s="347"/>
      <c r="U318" s="342"/>
    </row>
    <row r="319" spans="1:21" s="339" customFormat="1" ht="18" customHeight="1" x14ac:dyDescent="0.25">
      <c r="A319" s="334"/>
      <c r="B319" s="335"/>
      <c r="C319" s="335"/>
      <c r="D319" s="365" t="s">
        <v>271</v>
      </c>
      <c r="E319" s="335" t="s">
        <v>272</v>
      </c>
      <c r="F319" s="337">
        <f>+F320</f>
        <v>36480000</v>
      </c>
      <c r="G319" s="344">
        <f>+G320</f>
        <v>0</v>
      </c>
      <c r="H319" s="344">
        <f>+H320</f>
        <v>0</v>
      </c>
      <c r="I319" s="344">
        <f>+G319+H319</f>
        <v>0</v>
      </c>
      <c r="J319" s="344">
        <f>+J320</f>
        <v>1600000</v>
      </c>
      <c r="K319" s="344">
        <f>+K320</f>
        <v>1600000</v>
      </c>
      <c r="L319" s="344">
        <f t="shared" si="199"/>
        <v>3200000</v>
      </c>
      <c r="M319" s="344">
        <f t="shared" si="197"/>
        <v>3200000</v>
      </c>
      <c r="N319" s="337">
        <f t="shared" si="198"/>
        <v>33280000</v>
      </c>
      <c r="P319" s="343"/>
      <c r="S319" s="346"/>
      <c r="T319" s="347"/>
      <c r="U319" s="342"/>
    </row>
    <row r="320" spans="1:21" s="381" customFormat="1" ht="18" customHeight="1" x14ac:dyDescent="0.25">
      <c r="A320" s="384"/>
      <c r="B320" s="397"/>
      <c r="C320" s="384"/>
      <c r="D320" s="335" t="s">
        <v>81</v>
      </c>
      <c r="E320" s="335" t="s">
        <v>31</v>
      </c>
      <c r="F320" s="337">
        <f>F321</f>
        <v>36480000</v>
      </c>
      <c r="G320" s="344">
        <f>+G321</f>
        <v>0</v>
      </c>
      <c r="H320" s="344">
        <f>+H321</f>
        <v>0</v>
      </c>
      <c r="I320" s="344">
        <f>+G320+H320</f>
        <v>0</v>
      </c>
      <c r="J320" s="344">
        <f>+J321</f>
        <v>1600000</v>
      </c>
      <c r="K320" s="344">
        <f>+K321</f>
        <v>1600000</v>
      </c>
      <c r="L320" s="344">
        <f t="shared" si="199"/>
        <v>3200000</v>
      </c>
      <c r="M320" s="344">
        <f t="shared" si="197"/>
        <v>3200000</v>
      </c>
      <c r="N320" s="337">
        <f t="shared" si="198"/>
        <v>33280000</v>
      </c>
      <c r="P320" s="343"/>
      <c r="S320" s="346"/>
      <c r="T320" s="347"/>
      <c r="U320" s="382"/>
    </row>
    <row r="321" spans="1:21" s="339" customFormat="1" ht="18" customHeight="1" x14ac:dyDescent="0.25">
      <c r="A321" s="384"/>
      <c r="B321" s="397"/>
      <c r="C321" s="334"/>
      <c r="D321" s="335" t="s">
        <v>82</v>
      </c>
      <c r="E321" s="335" t="s">
        <v>83</v>
      </c>
      <c r="F321" s="337">
        <v>36480000</v>
      </c>
      <c r="G321" s="398"/>
      <c r="H321" s="344"/>
      <c r="I321" s="398"/>
      <c r="J321" s="344">
        <v>1600000</v>
      </c>
      <c r="K321" s="344">
        <v>1600000</v>
      </c>
      <c r="L321" s="344">
        <f t="shared" si="199"/>
        <v>3200000</v>
      </c>
      <c r="M321" s="344">
        <f t="shared" si="197"/>
        <v>3200000</v>
      </c>
      <c r="N321" s="337">
        <f t="shared" si="198"/>
        <v>33280000</v>
      </c>
      <c r="P321" s="343"/>
      <c r="S321" s="346">
        <v>1600000</v>
      </c>
      <c r="T321" s="347"/>
      <c r="U321" s="342"/>
    </row>
    <row r="322" spans="1:21" s="339" customFormat="1" ht="18" customHeight="1" x14ac:dyDescent="0.25">
      <c r="A322" s="334"/>
      <c r="B322" s="335"/>
      <c r="C322" s="335"/>
      <c r="D322" s="365" t="s">
        <v>275</v>
      </c>
      <c r="E322" s="335" t="s">
        <v>276</v>
      </c>
      <c r="F322" s="337">
        <f>+F323</f>
        <v>827610000</v>
      </c>
      <c r="G322" s="344">
        <f>+G323</f>
        <v>0</v>
      </c>
      <c r="H322" s="344">
        <f>+H323</f>
        <v>0</v>
      </c>
      <c r="I322" s="344">
        <f>+G322+H322</f>
        <v>0</v>
      </c>
      <c r="J322" s="344">
        <f>+J323</f>
        <v>0</v>
      </c>
      <c r="K322" s="344">
        <f>+K323</f>
        <v>24655000</v>
      </c>
      <c r="L322" s="344">
        <f>+J322+K322</f>
        <v>24655000</v>
      </c>
      <c r="M322" s="344">
        <f t="shared" si="197"/>
        <v>24655000</v>
      </c>
      <c r="N322" s="337">
        <f t="shared" si="198"/>
        <v>802955000</v>
      </c>
      <c r="P322" s="343"/>
      <c r="S322" s="347"/>
      <c r="T322" s="347"/>
      <c r="U322" s="342"/>
    </row>
    <row r="323" spans="1:21" s="381" customFormat="1" ht="18" customHeight="1" x14ac:dyDescent="0.25">
      <c r="A323" s="384"/>
      <c r="B323" s="397"/>
      <c r="C323" s="384"/>
      <c r="D323" s="335" t="s">
        <v>114</v>
      </c>
      <c r="E323" s="335" t="s">
        <v>43</v>
      </c>
      <c r="F323" s="337">
        <f>SUM(F324:F330)</f>
        <v>827610000</v>
      </c>
      <c r="G323" s="344">
        <f>SUM(G325:G330)</f>
        <v>0</v>
      </c>
      <c r="H323" s="344">
        <f>SUM(H325:H330)</f>
        <v>0</v>
      </c>
      <c r="I323" s="344">
        <f>+G323+H323</f>
        <v>0</v>
      </c>
      <c r="J323" s="344">
        <f>SUM(J325:J330)</f>
        <v>0</v>
      </c>
      <c r="K323" s="344">
        <f>SUM(K325:K330)</f>
        <v>24655000</v>
      </c>
      <c r="L323" s="344">
        <f>+J323+K323</f>
        <v>24655000</v>
      </c>
      <c r="M323" s="344">
        <f t="shared" si="197"/>
        <v>24655000</v>
      </c>
      <c r="N323" s="337">
        <f t="shared" si="198"/>
        <v>802955000</v>
      </c>
      <c r="P323" s="343"/>
      <c r="S323" s="347"/>
      <c r="T323" s="347"/>
      <c r="U323" s="382"/>
    </row>
    <row r="324" spans="1:21" s="339" customFormat="1" ht="35.25" customHeight="1" x14ac:dyDescent="0.25">
      <c r="A324" s="399"/>
      <c r="B324" s="381"/>
      <c r="C324" s="366"/>
      <c r="D324" s="367" t="s">
        <v>478</v>
      </c>
      <c r="E324" s="369" t="s">
        <v>479</v>
      </c>
      <c r="F324" s="370">
        <v>31700000</v>
      </c>
      <c r="G324" s="400"/>
      <c r="H324" s="400"/>
      <c r="I324" s="400"/>
      <c r="J324" s="371"/>
      <c r="K324" s="371"/>
      <c r="L324" s="371">
        <f t="shared" ref="L324" si="200">+J324+K324</f>
        <v>0</v>
      </c>
      <c r="M324" s="371">
        <f t="shared" si="197"/>
        <v>0</v>
      </c>
      <c r="N324" s="370">
        <f t="shared" si="198"/>
        <v>31700000</v>
      </c>
      <c r="P324" s="343"/>
      <c r="S324" s="347"/>
      <c r="T324" s="347"/>
      <c r="U324" s="342"/>
    </row>
    <row r="325" spans="1:21" s="339" customFormat="1" ht="35.25" customHeight="1" x14ac:dyDescent="0.25">
      <c r="A325" s="399"/>
      <c r="B325" s="381"/>
      <c r="C325" s="366"/>
      <c r="D325" s="367" t="s">
        <v>347</v>
      </c>
      <c r="E325" s="369" t="s">
        <v>348</v>
      </c>
      <c r="F325" s="370">
        <v>8500000</v>
      </c>
      <c r="G325" s="400"/>
      <c r="H325" s="400"/>
      <c r="I325" s="400"/>
      <c r="J325" s="371"/>
      <c r="K325" s="371"/>
      <c r="L325" s="371">
        <f t="shared" si="199"/>
        <v>0</v>
      </c>
      <c r="M325" s="371">
        <f t="shared" si="197"/>
        <v>0</v>
      </c>
      <c r="N325" s="370">
        <f t="shared" si="198"/>
        <v>8500000</v>
      </c>
      <c r="P325" s="343"/>
      <c r="S325" s="347"/>
      <c r="T325" s="347"/>
      <c r="U325" s="342"/>
    </row>
    <row r="326" spans="1:21" s="339" customFormat="1" ht="35.25" customHeight="1" x14ac:dyDescent="0.25">
      <c r="A326" s="399"/>
      <c r="B326" s="381"/>
      <c r="C326" s="367"/>
      <c r="D326" s="367" t="s">
        <v>349</v>
      </c>
      <c r="E326" s="369" t="s">
        <v>350</v>
      </c>
      <c r="F326" s="370">
        <v>99960000</v>
      </c>
      <c r="G326" s="400"/>
      <c r="H326" s="400"/>
      <c r="I326" s="400"/>
      <c r="J326" s="371"/>
      <c r="K326" s="371">
        <f>149000+306000+13515000</f>
        <v>13970000</v>
      </c>
      <c r="L326" s="371">
        <f t="shared" si="199"/>
        <v>13970000</v>
      </c>
      <c r="M326" s="371">
        <f t="shared" si="197"/>
        <v>13970000</v>
      </c>
      <c r="N326" s="370">
        <f>+F326-M326</f>
        <v>85990000</v>
      </c>
      <c r="P326" s="343"/>
      <c r="S326" s="346">
        <f>55000+165000+130000+1000000+450000+900000+200000+950000+850000+1700000+315000+1000000+4920000+880000+149000+306000</f>
        <v>13970000</v>
      </c>
      <c r="T326" s="347"/>
      <c r="U326" s="342"/>
    </row>
    <row r="327" spans="1:21" s="339" customFormat="1" ht="35.25" customHeight="1" x14ac:dyDescent="0.25">
      <c r="A327" s="399"/>
      <c r="B327" s="381"/>
      <c r="C327" s="367"/>
      <c r="D327" s="367" t="s">
        <v>145</v>
      </c>
      <c r="E327" s="369" t="s">
        <v>351</v>
      </c>
      <c r="F327" s="370">
        <v>73200000</v>
      </c>
      <c r="G327" s="400"/>
      <c r="H327" s="400"/>
      <c r="I327" s="400"/>
      <c r="J327" s="371"/>
      <c r="K327" s="371">
        <f>675000+775000+6525000</f>
        <v>7975000</v>
      </c>
      <c r="L327" s="371">
        <f t="shared" si="199"/>
        <v>7975000</v>
      </c>
      <c r="M327" s="371">
        <f t="shared" si="197"/>
        <v>7975000</v>
      </c>
      <c r="N327" s="370">
        <f>+F327-M327</f>
        <v>65225000</v>
      </c>
      <c r="P327" s="343"/>
      <c r="S327" s="346">
        <f>900000+975000+650000+575000+1800000+900000+725000+675000+775000</f>
        <v>7975000</v>
      </c>
      <c r="T327" s="347"/>
      <c r="U327" s="342"/>
    </row>
    <row r="328" spans="1:21" s="339" customFormat="1" ht="26.25" customHeight="1" x14ac:dyDescent="0.25">
      <c r="A328" s="399"/>
      <c r="B328" s="381"/>
      <c r="C328" s="367"/>
      <c r="D328" s="367" t="s">
        <v>115</v>
      </c>
      <c r="E328" s="369" t="s">
        <v>116</v>
      </c>
      <c r="F328" s="370">
        <v>109500000</v>
      </c>
      <c r="G328" s="400"/>
      <c r="H328" s="400"/>
      <c r="I328" s="400"/>
      <c r="J328" s="371"/>
      <c r="K328" s="371">
        <f>230000+140000+550000</f>
        <v>920000</v>
      </c>
      <c r="L328" s="371">
        <f t="shared" si="199"/>
        <v>920000</v>
      </c>
      <c r="M328" s="371">
        <f t="shared" si="197"/>
        <v>920000</v>
      </c>
      <c r="N328" s="370">
        <f>+F328-M328</f>
        <v>108580000</v>
      </c>
      <c r="P328" s="340"/>
      <c r="S328" s="346">
        <f>230000+140000+550000</f>
        <v>920000</v>
      </c>
      <c r="T328" s="347"/>
      <c r="U328" s="342"/>
    </row>
    <row r="329" spans="1:21" s="339" customFormat="1" ht="33.75" customHeight="1" x14ac:dyDescent="0.25">
      <c r="A329" s="399"/>
      <c r="B329" s="381"/>
      <c r="C329" s="367"/>
      <c r="D329" s="367" t="s">
        <v>352</v>
      </c>
      <c r="E329" s="369" t="s">
        <v>353</v>
      </c>
      <c r="F329" s="370">
        <v>108500000</v>
      </c>
      <c r="G329" s="400"/>
      <c r="H329" s="400"/>
      <c r="I329" s="400"/>
      <c r="J329" s="371"/>
      <c r="K329" s="371">
        <f>850000+940000</f>
        <v>1790000</v>
      </c>
      <c r="L329" s="371">
        <f t="shared" si="199"/>
        <v>1790000</v>
      </c>
      <c r="M329" s="371">
        <f t="shared" si="197"/>
        <v>1790000</v>
      </c>
      <c r="N329" s="370">
        <f t="shared" si="198"/>
        <v>106710000</v>
      </c>
      <c r="P329" s="340"/>
      <c r="S329" s="346">
        <f>850000+940000</f>
        <v>1790000</v>
      </c>
      <c r="T329" s="347"/>
      <c r="U329" s="342"/>
    </row>
    <row r="330" spans="1:21" s="153" customFormat="1" ht="18" customHeight="1" x14ac:dyDescent="0.25">
      <c r="A330" s="393"/>
      <c r="B330" s="401"/>
      <c r="C330" s="355"/>
      <c r="D330" s="355" t="s">
        <v>354</v>
      </c>
      <c r="E330" s="402" t="s">
        <v>355</v>
      </c>
      <c r="F330" s="356">
        <v>396250000</v>
      </c>
      <c r="G330" s="357"/>
      <c r="H330" s="357"/>
      <c r="I330" s="357">
        <f t="shared" ref="I330:I347" si="201">+G330+H330</f>
        <v>0</v>
      </c>
      <c r="J330" s="357"/>
      <c r="K330" s="357"/>
      <c r="L330" s="357">
        <f t="shared" si="199"/>
        <v>0</v>
      </c>
      <c r="M330" s="357">
        <f t="shared" si="197"/>
        <v>0</v>
      </c>
      <c r="N330" s="356">
        <f t="shared" si="198"/>
        <v>396250000</v>
      </c>
      <c r="P330" s="200"/>
      <c r="S330" s="221"/>
      <c r="T330" s="358"/>
      <c r="U330" s="254"/>
    </row>
    <row r="331" spans="1:21" s="319" customFormat="1" ht="22.5" customHeight="1" x14ac:dyDescent="0.25">
      <c r="A331" s="275">
        <v>18</v>
      </c>
      <c r="B331" s="314"/>
      <c r="C331" s="314" t="s">
        <v>146</v>
      </c>
      <c r="D331" s="315"/>
      <c r="E331" s="348" t="s">
        <v>356</v>
      </c>
      <c r="F331" s="317">
        <f t="shared" ref="F331:H334" si="202">+F332</f>
        <v>399988000</v>
      </c>
      <c r="G331" s="318">
        <f t="shared" si="202"/>
        <v>0</v>
      </c>
      <c r="H331" s="318">
        <f t="shared" si="202"/>
        <v>0</v>
      </c>
      <c r="I331" s="318">
        <f t="shared" si="201"/>
        <v>0</v>
      </c>
      <c r="J331" s="318">
        <f t="shared" ref="J331:K335" si="203">+J332</f>
        <v>0</v>
      </c>
      <c r="K331" s="318">
        <f t="shared" si="203"/>
        <v>0</v>
      </c>
      <c r="L331" s="318">
        <f>+J331+K331</f>
        <v>0</v>
      </c>
      <c r="M331" s="318">
        <f>+I331+L331</f>
        <v>0</v>
      </c>
      <c r="N331" s="317">
        <f>+F331-M331</f>
        <v>399988000</v>
      </c>
      <c r="P331" s="320"/>
      <c r="R331" s="321"/>
      <c r="S331" s="349"/>
      <c r="T331" s="349"/>
      <c r="U331" s="350"/>
    </row>
    <row r="332" spans="1:21" s="329" customFormat="1" ht="18" customHeight="1" x14ac:dyDescent="0.25">
      <c r="A332" s="323"/>
      <c r="B332" s="324"/>
      <c r="C332" s="324"/>
      <c r="D332" s="325" t="s">
        <v>207</v>
      </c>
      <c r="E332" s="326" t="s">
        <v>262</v>
      </c>
      <c r="F332" s="327">
        <f t="shared" si="202"/>
        <v>399988000</v>
      </c>
      <c r="G332" s="328">
        <f t="shared" si="202"/>
        <v>0</v>
      </c>
      <c r="H332" s="328">
        <f t="shared" si="202"/>
        <v>0</v>
      </c>
      <c r="I332" s="328">
        <f t="shared" si="201"/>
        <v>0</v>
      </c>
      <c r="J332" s="328">
        <f t="shared" si="203"/>
        <v>0</v>
      </c>
      <c r="K332" s="328">
        <f t="shared" si="203"/>
        <v>0</v>
      </c>
      <c r="L332" s="328">
        <f>+J332+K332</f>
        <v>0</v>
      </c>
      <c r="M332" s="328">
        <f t="shared" ref="M332:M336" si="204">+I332+L332</f>
        <v>0</v>
      </c>
      <c r="N332" s="327">
        <f>+F332-M332</f>
        <v>399988000</v>
      </c>
      <c r="P332" s="330"/>
      <c r="R332" s="331"/>
      <c r="S332" s="351"/>
      <c r="T332" s="351"/>
      <c r="U332" s="333"/>
    </row>
    <row r="333" spans="1:21" s="381" customFormat="1" ht="18" customHeight="1" x14ac:dyDescent="0.25">
      <c r="A333" s="384"/>
      <c r="B333" s="397"/>
      <c r="C333" s="384"/>
      <c r="D333" s="335" t="s">
        <v>63</v>
      </c>
      <c r="E333" s="335" t="s">
        <v>30</v>
      </c>
      <c r="F333" s="337">
        <f t="shared" si="202"/>
        <v>399988000</v>
      </c>
      <c r="G333" s="344">
        <f t="shared" si="202"/>
        <v>0</v>
      </c>
      <c r="H333" s="344">
        <f t="shared" si="202"/>
        <v>0</v>
      </c>
      <c r="I333" s="344">
        <f t="shared" si="201"/>
        <v>0</v>
      </c>
      <c r="J333" s="344">
        <f t="shared" si="203"/>
        <v>0</v>
      </c>
      <c r="K333" s="344">
        <f t="shared" si="203"/>
        <v>0</v>
      </c>
      <c r="L333" s="344">
        <f>+J333+K333</f>
        <v>0</v>
      </c>
      <c r="M333" s="344">
        <f t="shared" si="204"/>
        <v>0</v>
      </c>
      <c r="N333" s="337">
        <f t="shared" ref="N333:N336" si="205">+F333-M333</f>
        <v>399988000</v>
      </c>
      <c r="P333" s="340"/>
      <c r="S333" s="347"/>
      <c r="T333" s="347"/>
      <c r="U333" s="382"/>
    </row>
    <row r="334" spans="1:21" s="339" customFormat="1" ht="18" customHeight="1" x14ac:dyDescent="0.25">
      <c r="A334" s="334"/>
      <c r="B334" s="335"/>
      <c r="C334" s="335"/>
      <c r="D334" s="365" t="s">
        <v>275</v>
      </c>
      <c r="E334" s="335" t="s">
        <v>276</v>
      </c>
      <c r="F334" s="337">
        <f t="shared" si="202"/>
        <v>399988000</v>
      </c>
      <c r="G334" s="344">
        <f t="shared" si="202"/>
        <v>0</v>
      </c>
      <c r="H334" s="344">
        <f t="shared" si="202"/>
        <v>0</v>
      </c>
      <c r="I334" s="344">
        <f t="shared" si="201"/>
        <v>0</v>
      </c>
      <c r="J334" s="344">
        <f t="shared" si="203"/>
        <v>0</v>
      </c>
      <c r="K334" s="344">
        <f t="shared" si="203"/>
        <v>0</v>
      </c>
      <c r="L334" s="344">
        <f>+J334+K334</f>
        <v>0</v>
      </c>
      <c r="M334" s="344">
        <f t="shared" si="204"/>
        <v>0</v>
      </c>
      <c r="N334" s="337">
        <f t="shared" si="205"/>
        <v>399988000</v>
      </c>
      <c r="P334" s="340"/>
      <c r="S334" s="347"/>
      <c r="T334" s="347"/>
      <c r="U334" s="342"/>
    </row>
    <row r="335" spans="1:21" s="381" customFormat="1" ht="18" customHeight="1" x14ac:dyDescent="0.25">
      <c r="A335" s="384"/>
      <c r="B335" s="397"/>
      <c r="C335" s="384"/>
      <c r="D335" s="335" t="s">
        <v>147</v>
      </c>
      <c r="E335" s="335" t="s">
        <v>35</v>
      </c>
      <c r="F335" s="337">
        <f>F336</f>
        <v>399988000</v>
      </c>
      <c r="G335" s="344">
        <f>+G336</f>
        <v>0</v>
      </c>
      <c r="H335" s="344">
        <f>+H336</f>
        <v>0</v>
      </c>
      <c r="I335" s="344">
        <f t="shared" si="201"/>
        <v>0</v>
      </c>
      <c r="J335" s="344">
        <f t="shared" si="203"/>
        <v>0</v>
      </c>
      <c r="K335" s="344">
        <f t="shared" si="203"/>
        <v>0</v>
      </c>
      <c r="L335" s="344">
        <f>+J335+K335</f>
        <v>0</v>
      </c>
      <c r="M335" s="344">
        <f t="shared" si="204"/>
        <v>0</v>
      </c>
      <c r="N335" s="337">
        <f t="shared" si="205"/>
        <v>399988000</v>
      </c>
      <c r="P335" s="340"/>
      <c r="S335" s="347"/>
      <c r="T335" s="347"/>
      <c r="U335" s="382"/>
    </row>
    <row r="336" spans="1:21" s="153" customFormat="1" ht="33.75" customHeight="1" x14ac:dyDescent="0.25">
      <c r="A336" s="403"/>
      <c r="B336" s="388"/>
      <c r="C336" s="372"/>
      <c r="D336" s="373" t="s">
        <v>148</v>
      </c>
      <c r="E336" s="375" t="s">
        <v>149</v>
      </c>
      <c r="F336" s="376">
        <v>399988000</v>
      </c>
      <c r="G336" s="404"/>
      <c r="H336" s="377"/>
      <c r="I336" s="377">
        <f t="shared" si="201"/>
        <v>0</v>
      </c>
      <c r="J336" s="377"/>
      <c r="K336" s="377"/>
      <c r="L336" s="377">
        <f t="shared" ref="L336" si="206">+J336+K336</f>
        <v>0</v>
      </c>
      <c r="M336" s="377">
        <f t="shared" si="204"/>
        <v>0</v>
      </c>
      <c r="N336" s="376">
        <f t="shared" si="205"/>
        <v>399988000</v>
      </c>
      <c r="P336" s="200"/>
      <c r="S336" s="221"/>
      <c r="T336" s="358"/>
      <c r="U336" s="254"/>
    </row>
    <row r="337" spans="1:21" s="319" customFormat="1" ht="34.5" customHeight="1" x14ac:dyDescent="0.25">
      <c r="A337" s="275">
        <v>19</v>
      </c>
      <c r="B337" s="314"/>
      <c r="C337" s="314" t="s">
        <v>151</v>
      </c>
      <c r="D337" s="315"/>
      <c r="E337" s="348" t="s">
        <v>152</v>
      </c>
      <c r="F337" s="317">
        <f t="shared" ref="F337:H340" si="207">+F338</f>
        <v>200000000</v>
      </c>
      <c r="G337" s="318">
        <f t="shared" si="207"/>
        <v>0</v>
      </c>
      <c r="H337" s="318">
        <f t="shared" si="207"/>
        <v>0</v>
      </c>
      <c r="I337" s="318">
        <f t="shared" si="201"/>
        <v>0</v>
      </c>
      <c r="J337" s="318">
        <f t="shared" ref="J337:K341" si="208">+J338</f>
        <v>0</v>
      </c>
      <c r="K337" s="318">
        <f t="shared" si="208"/>
        <v>0</v>
      </c>
      <c r="L337" s="318">
        <f>+J337+K337</f>
        <v>0</v>
      </c>
      <c r="M337" s="318">
        <f>+I337+L337</f>
        <v>0</v>
      </c>
      <c r="N337" s="317">
        <f>+F337-M337</f>
        <v>200000000</v>
      </c>
      <c r="P337" s="320"/>
      <c r="R337" s="321"/>
      <c r="S337" s="349"/>
      <c r="T337" s="349"/>
      <c r="U337" s="350"/>
    </row>
    <row r="338" spans="1:21" s="329" customFormat="1" ht="18" customHeight="1" x14ac:dyDescent="0.25">
      <c r="A338" s="323"/>
      <c r="B338" s="324"/>
      <c r="C338" s="324"/>
      <c r="D338" s="325" t="s">
        <v>207</v>
      </c>
      <c r="E338" s="326" t="s">
        <v>262</v>
      </c>
      <c r="F338" s="327">
        <f t="shared" si="207"/>
        <v>200000000</v>
      </c>
      <c r="G338" s="328">
        <f t="shared" si="207"/>
        <v>0</v>
      </c>
      <c r="H338" s="328">
        <f t="shared" si="207"/>
        <v>0</v>
      </c>
      <c r="I338" s="328">
        <f t="shared" si="201"/>
        <v>0</v>
      </c>
      <c r="J338" s="328">
        <f t="shared" si="208"/>
        <v>0</v>
      </c>
      <c r="K338" s="328">
        <f t="shared" si="208"/>
        <v>0</v>
      </c>
      <c r="L338" s="328">
        <f>+J338+K338</f>
        <v>0</v>
      </c>
      <c r="M338" s="328">
        <f t="shared" ref="M338:M342" si="209">+I338+L338</f>
        <v>0</v>
      </c>
      <c r="N338" s="327">
        <f t="shared" ref="N338:N342" si="210">+F338-M338</f>
        <v>200000000</v>
      </c>
      <c r="P338" s="330"/>
      <c r="R338" s="331"/>
      <c r="S338" s="351"/>
      <c r="T338" s="351"/>
      <c r="U338" s="333"/>
    </row>
    <row r="339" spans="1:21" s="381" customFormat="1" ht="18" customHeight="1" x14ac:dyDescent="0.25">
      <c r="A339" s="384"/>
      <c r="B339" s="397"/>
      <c r="C339" s="384"/>
      <c r="D339" s="335" t="s">
        <v>63</v>
      </c>
      <c r="E339" s="335" t="s">
        <v>30</v>
      </c>
      <c r="F339" s="337">
        <f t="shared" si="207"/>
        <v>200000000</v>
      </c>
      <c r="G339" s="344">
        <f t="shared" si="207"/>
        <v>0</v>
      </c>
      <c r="H339" s="344">
        <f t="shared" si="207"/>
        <v>0</v>
      </c>
      <c r="I339" s="344">
        <f t="shared" si="201"/>
        <v>0</v>
      </c>
      <c r="J339" s="344">
        <f t="shared" si="208"/>
        <v>0</v>
      </c>
      <c r="K339" s="344">
        <f t="shared" si="208"/>
        <v>0</v>
      </c>
      <c r="L339" s="344">
        <f>+J339+K339</f>
        <v>0</v>
      </c>
      <c r="M339" s="344">
        <f t="shared" si="209"/>
        <v>0</v>
      </c>
      <c r="N339" s="337">
        <f t="shared" si="210"/>
        <v>200000000</v>
      </c>
      <c r="P339" s="340"/>
      <c r="S339" s="347"/>
      <c r="T339" s="347"/>
      <c r="U339" s="382"/>
    </row>
    <row r="340" spans="1:21" s="339" customFormat="1" ht="18" customHeight="1" x14ac:dyDescent="0.25">
      <c r="A340" s="334"/>
      <c r="B340" s="335"/>
      <c r="C340" s="335"/>
      <c r="D340" s="365" t="s">
        <v>275</v>
      </c>
      <c r="E340" s="335" t="s">
        <v>276</v>
      </c>
      <c r="F340" s="337">
        <f t="shared" si="207"/>
        <v>200000000</v>
      </c>
      <c r="G340" s="344">
        <f t="shared" si="207"/>
        <v>0</v>
      </c>
      <c r="H340" s="344">
        <f t="shared" si="207"/>
        <v>0</v>
      </c>
      <c r="I340" s="344">
        <f t="shared" si="201"/>
        <v>0</v>
      </c>
      <c r="J340" s="344">
        <f t="shared" si="208"/>
        <v>0</v>
      </c>
      <c r="K340" s="344">
        <f t="shared" si="208"/>
        <v>0</v>
      </c>
      <c r="L340" s="344">
        <f>+J340+K340</f>
        <v>0</v>
      </c>
      <c r="M340" s="344">
        <f t="shared" si="209"/>
        <v>0</v>
      </c>
      <c r="N340" s="337">
        <f t="shared" si="210"/>
        <v>200000000</v>
      </c>
      <c r="P340" s="340"/>
      <c r="S340" s="347"/>
      <c r="T340" s="347"/>
      <c r="U340" s="342"/>
    </row>
    <row r="341" spans="1:21" s="381" customFormat="1" ht="18" customHeight="1" x14ac:dyDescent="0.25">
      <c r="A341" s="384"/>
      <c r="B341" s="397"/>
      <c r="C341" s="384"/>
      <c r="D341" s="335" t="s">
        <v>147</v>
      </c>
      <c r="E341" s="335" t="s">
        <v>35</v>
      </c>
      <c r="F341" s="337">
        <f>F342</f>
        <v>200000000</v>
      </c>
      <c r="G341" s="344">
        <f>+G342</f>
        <v>0</v>
      </c>
      <c r="H341" s="344">
        <f>+H342</f>
        <v>0</v>
      </c>
      <c r="I341" s="344">
        <f t="shared" si="201"/>
        <v>0</v>
      </c>
      <c r="J341" s="344">
        <f t="shared" si="208"/>
        <v>0</v>
      </c>
      <c r="K341" s="344">
        <f t="shared" si="208"/>
        <v>0</v>
      </c>
      <c r="L341" s="344">
        <f>+J341+K341</f>
        <v>0</v>
      </c>
      <c r="M341" s="344">
        <f t="shared" si="209"/>
        <v>0</v>
      </c>
      <c r="N341" s="337">
        <f t="shared" si="210"/>
        <v>200000000</v>
      </c>
      <c r="P341" s="340"/>
      <c r="S341" s="347"/>
      <c r="T341" s="347"/>
      <c r="U341" s="382"/>
    </row>
    <row r="342" spans="1:21" s="153" customFormat="1" ht="33.75" customHeight="1" x14ac:dyDescent="0.25">
      <c r="A342" s="403"/>
      <c r="B342" s="388"/>
      <c r="C342" s="372"/>
      <c r="D342" s="373" t="s">
        <v>148</v>
      </c>
      <c r="E342" s="375" t="s">
        <v>149</v>
      </c>
      <c r="F342" s="376">
        <v>200000000</v>
      </c>
      <c r="G342" s="404"/>
      <c r="H342" s="377"/>
      <c r="I342" s="377">
        <f t="shared" si="201"/>
        <v>0</v>
      </c>
      <c r="J342" s="377"/>
      <c r="K342" s="377"/>
      <c r="L342" s="377">
        <f t="shared" ref="L342" si="211">+J342+K342</f>
        <v>0</v>
      </c>
      <c r="M342" s="377">
        <f t="shared" si="209"/>
        <v>0</v>
      </c>
      <c r="N342" s="376">
        <f t="shared" si="210"/>
        <v>200000000</v>
      </c>
      <c r="P342" s="200"/>
      <c r="S342" s="221"/>
      <c r="T342" s="358"/>
      <c r="U342" s="254"/>
    </row>
    <row r="343" spans="1:21" s="319" customFormat="1" ht="34.5" customHeight="1" x14ac:dyDescent="0.25">
      <c r="A343" s="275">
        <v>20</v>
      </c>
      <c r="B343" s="314"/>
      <c r="C343" s="314" t="s">
        <v>153</v>
      </c>
      <c r="D343" s="315"/>
      <c r="E343" s="348" t="s">
        <v>154</v>
      </c>
      <c r="F343" s="317">
        <f t="shared" ref="F343:H346" si="212">+F344</f>
        <v>80000000</v>
      </c>
      <c r="G343" s="318">
        <f t="shared" si="212"/>
        <v>0</v>
      </c>
      <c r="H343" s="318">
        <f t="shared" si="212"/>
        <v>0</v>
      </c>
      <c r="I343" s="318">
        <f t="shared" si="201"/>
        <v>0</v>
      </c>
      <c r="J343" s="318">
        <f t="shared" ref="J343:K347" si="213">+J344</f>
        <v>0</v>
      </c>
      <c r="K343" s="318">
        <f t="shared" si="213"/>
        <v>0</v>
      </c>
      <c r="L343" s="318">
        <f>+J343+K343</f>
        <v>0</v>
      </c>
      <c r="M343" s="318">
        <f>+I343+L343</f>
        <v>0</v>
      </c>
      <c r="N343" s="317">
        <f>+F343-M343</f>
        <v>80000000</v>
      </c>
      <c r="P343" s="320"/>
      <c r="R343" s="321"/>
      <c r="S343" s="349"/>
      <c r="T343" s="349"/>
      <c r="U343" s="350"/>
    </row>
    <row r="344" spans="1:21" s="329" customFormat="1" ht="18" customHeight="1" x14ac:dyDescent="0.25">
      <c r="A344" s="323"/>
      <c r="B344" s="324"/>
      <c r="C344" s="324"/>
      <c r="D344" s="325" t="s">
        <v>207</v>
      </c>
      <c r="E344" s="326" t="s">
        <v>262</v>
      </c>
      <c r="F344" s="327">
        <f t="shared" si="212"/>
        <v>80000000</v>
      </c>
      <c r="G344" s="328">
        <f t="shared" si="212"/>
        <v>0</v>
      </c>
      <c r="H344" s="328">
        <f t="shared" si="212"/>
        <v>0</v>
      </c>
      <c r="I344" s="328">
        <f t="shared" si="201"/>
        <v>0</v>
      </c>
      <c r="J344" s="328">
        <f t="shared" si="213"/>
        <v>0</v>
      </c>
      <c r="K344" s="328">
        <f t="shared" si="213"/>
        <v>0</v>
      </c>
      <c r="L344" s="328">
        <f>+J344+K344</f>
        <v>0</v>
      </c>
      <c r="M344" s="328">
        <f t="shared" ref="M344:M348" si="214">+I344+L344</f>
        <v>0</v>
      </c>
      <c r="N344" s="327">
        <f t="shared" ref="N344:N348" si="215">+F344-M344</f>
        <v>80000000</v>
      </c>
      <c r="P344" s="330"/>
      <c r="R344" s="331"/>
      <c r="S344" s="351"/>
      <c r="T344" s="351"/>
      <c r="U344" s="333"/>
    </row>
    <row r="345" spans="1:21" s="381" customFormat="1" ht="18" customHeight="1" x14ac:dyDescent="0.25">
      <c r="A345" s="384"/>
      <c r="B345" s="397"/>
      <c r="C345" s="384"/>
      <c r="D345" s="335" t="s">
        <v>63</v>
      </c>
      <c r="E345" s="335" t="s">
        <v>30</v>
      </c>
      <c r="F345" s="337">
        <f t="shared" si="212"/>
        <v>80000000</v>
      </c>
      <c r="G345" s="344">
        <f t="shared" si="212"/>
        <v>0</v>
      </c>
      <c r="H345" s="344">
        <f t="shared" si="212"/>
        <v>0</v>
      </c>
      <c r="I345" s="344">
        <f t="shared" si="201"/>
        <v>0</v>
      </c>
      <c r="J345" s="344">
        <f t="shared" si="213"/>
        <v>0</v>
      </c>
      <c r="K345" s="344">
        <f t="shared" si="213"/>
        <v>0</v>
      </c>
      <c r="L345" s="344">
        <f>+J345+K345</f>
        <v>0</v>
      </c>
      <c r="M345" s="344">
        <f t="shared" si="214"/>
        <v>0</v>
      </c>
      <c r="N345" s="337">
        <f t="shared" si="215"/>
        <v>80000000</v>
      </c>
      <c r="P345" s="340"/>
      <c r="S345" s="347"/>
      <c r="T345" s="347"/>
      <c r="U345" s="382"/>
    </row>
    <row r="346" spans="1:21" s="339" customFormat="1" ht="18" customHeight="1" x14ac:dyDescent="0.25">
      <c r="A346" s="334"/>
      <c r="B346" s="335"/>
      <c r="C346" s="335"/>
      <c r="D346" s="365" t="s">
        <v>275</v>
      </c>
      <c r="E346" s="335" t="s">
        <v>276</v>
      </c>
      <c r="F346" s="337">
        <f t="shared" si="212"/>
        <v>80000000</v>
      </c>
      <c r="G346" s="344">
        <f t="shared" si="212"/>
        <v>0</v>
      </c>
      <c r="H346" s="344">
        <f t="shared" si="212"/>
        <v>0</v>
      </c>
      <c r="I346" s="344">
        <f t="shared" si="201"/>
        <v>0</v>
      </c>
      <c r="J346" s="344">
        <f t="shared" si="213"/>
        <v>0</v>
      </c>
      <c r="K346" s="344">
        <f t="shared" si="213"/>
        <v>0</v>
      </c>
      <c r="L346" s="344">
        <f>+J346+K346</f>
        <v>0</v>
      </c>
      <c r="M346" s="344">
        <f t="shared" si="214"/>
        <v>0</v>
      </c>
      <c r="N346" s="337">
        <f t="shared" si="215"/>
        <v>80000000</v>
      </c>
      <c r="P346" s="340"/>
      <c r="S346" s="347"/>
      <c r="T346" s="347"/>
      <c r="U346" s="342"/>
    </row>
    <row r="347" spans="1:21" s="381" customFormat="1" ht="18" customHeight="1" x14ac:dyDescent="0.25">
      <c r="A347" s="384"/>
      <c r="B347" s="397"/>
      <c r="C347" s="384"/>
      <c r="D347" s="335" t="s">
        <v>114</v>
      </c>
      <c r="E347" s="335" t="s">
        <v>43</v>
      </c>
      <c r="F347" s="337">
        <f>F348</f>
        <v>80000000</v>
      </c>
      <c r="G347" s="344">
        <f>+G348</f>
        <v>0</v>
      </c>
      <c r="H347" s="344">
        <f>+H348</f>
        <v>0</v>
      </c>
      <c r="I347" s="344">
        <f t="shared" si="201"/>
        <v>0</v>
      </c>
      <c r="J347" s="344">
        <f t="shared" si="213"/>
        <v>0</v>
      </c>
      <c r="K347" s="344">
        <f t="shared" si="213"/>
        <v>0</v>
      </c>
      <c r="L347" s="344">
        <f>+J347+K347</f>
        <v>0</v>
      </c>
      <c r="M347" s="344">
        <f t="shared" si="214"/>
        <v>0</v>
      </c>
      <c r="N347" s="337">
        <f t="shared" si="215"/>
        <v>80000000</v>
      </c>
      <c r="P347" s="340"/>
      <c r="S347" s="347"/>
      <c r="T347" s="347"/>
      <c r="U347" s="382"/>
    </row>
    <row r="348" spans="1:21" s="339" customFormat="1" ht="20.25" customHeight="1" x14ac:dyDescent="0.25">
      <c r="A348" s="399"/>
      <c r="B348" s="381"/>
      <c r="C348" s="366"/>
      <c r="D348" s="367" t="s">
        <v>349</v>
      </c>
      <c r="E348" s="369" t="s">
        <v>350</v>
      </c>
      <c r="F348" s="370">
        <v>80000000</v>
      </c>
      <c r="G348" s="400"/>
      <c r="H348" s="400"/>
      <c r="I348" s="400"/>
      <c r="J348" s="371"/>
      <c r="K348" s="371"/>
      <c r="L348" s="371">
        <f t="shared" ref="L348" si="216">+J348+K348</f>
        <v>0</v>
      </c>
      <c r="M348" s="371">
        <f t="shared" si="214"/>
        <v>0</v>
      </c>
      <c r="N348" s="370">
        <f t="shared" si="215"/>
        <v>80000000</v>
      </c>
      <c r="P348" s="340"/>
      <c r="S348" s="347"/>
      <c r="T348" s="347"/>
      <c r="U348" s="342"/>
    </row>
    <row r="349" spans="1:21" s="153" customFormat="1" ht="18" customHeight="1" x14ac:dyDescent="0.25">
      <c r="A349" s="353"/>
      <c r="B349" s="355"/>
      <c r="C349" s="355"/>
      <c r="D349" s="355"/>
      <c r="E349" s="355"/>
      <c r="F349" s="356"/>
      <c r="G349" s="357"/>
      <c r="H349" s="357"/>
      <c r="I349" s="357"/>
      <c r="J349" s="357"/>
      <c r="K349" s="357"/>
      <c r="L349" s="357"/>
      <c r="M349" s="357"/>
      <c r="N349" s="356"/>
      <c r="P349" s="200"/>
      <c r="S349" s="221"/>
      <c r="T349" s="221"/>
      <c r="U349" s="254"/>
    </row>
    <row r="350" spans="1:21" s="319" customFormat="1" ht="18.75" customHeight="1" x14ac:dyDescent="0.25">
      <c r="A350" s="276"/>
      <c r="B350" s="305" t="s">
        <v>410</v>
      </c>
      <c r="C350" s="305"/>
      <c r="D350" s="305"/>
      <c r="E350" s="396" t="s">
        <v>411</v>
      </c>
      <c r="F350" s="359">
        <f>+F351+F357+F369+F375</f>
        <v>352609205400</v>
      </c>
      <c r="G350" s="308">
        <f>G351+G357+G369+G375</f>
        <v>6155127800</v>
      </c>
      <c r="H350" s="308">
        <f>+H351+H357+H369+H375</f>
        <v>6258106200</v>
      </c>
      <c r="I350" s="360">
        <f>+G350+H350</f>
        <v>12413234000</v>
      </c>
      <c r="J350" s="308">
        <f>J351+J357+J369+J375</f>
        <v>0</v>
      </c>
      <c r="K350" s="308">
        <f>+K352</f>
        <v>0</v>
      </c>
      <c r="L350" s="360">
        <f t="shared" ref="L350:L364" si="217">+J350+K350</f>
        <v>0</v>
      </c>
      <c r="M350" s="360">
        <f t="shared" ref="M350:M364" si="218">+I350+L350</f>
        <v>12413234000</v>
      </c>
      <c r="N350" s="359">
        <f t="shared" ref="N350:N355" si="219">+F350-M350</f>
        <v>340195971400</v>
      </c>
      <c r="P350" s="361"/>
      <c r="R350" s="321"/>
      <c r="S350" s="362"/>
      <c r="T350" s="362"/>
      <c r="U350" s="350"/>
    </row>
    <row r="351" spans="1:21" s="319" customFormat="1" ht="32.25" hidden="1" customHeight="1" x14ac:dyDescent="0.25">
      <c r="A351" s="275">
        <v>21</v>
      </c>
      <c r="B351" s="314"/>
      <c r="C351" s="314" t="s">
        <v>280</v>
      </c>
      <c r="D351" s="315"/>
      <c r="E351" s="348" t="s">
        <v>279</v>
      </c>
      <c r="F351" s="317">
        <f t="shared" ref="F351:H355" si="220">+F352</f>
        <v>0</v>
      </c>
      <c r="G351" s="318">
        <f t="shared" si="220"/>
        <v>0</v>
      </c>
      <c r="H351" s="318">
        <f>+H352</f>
        <v>0</v>
      </c>
      <c r="I351" s="318">
        <f>+G351+H351</f>
        <v>0</v>
      </c>
      <c r="J351" s="318">
        <f>+J352</f>
        <v>0</v>
      </c>
      <c r="K351" s="318">
        <f>+K352</f>
        <v>0</v>
      </c>
      <c r="L351" s="318">
        <f t="shared" si="217"/>
        <v>0</v>
      </c>
      <c r="M351" s="318">
        <f>+I351+L351</f>
        <v>0</v>
      </c>
      <c r="N351" s="317">
        <f>+F351-M351</f>
        <v>0</v>
      </c>
      <c r="P351" s="320"/>
      <c r="R351" s="321"/>
      <c r="S351" s="349"/>
      <c r="T351" s="349"/>
      <c r="U351" s="350"/>
    </row>
    <row r="352" spans="1:21" s="329" customFormat="1" ht="18" hidden="1" customHeight="1" x14ac:dyDescent="0.25">
      <c r="A352" s="323"/>
      <c r="B352" s="324"/>
      <c r="C352" s="324"/>
      <c r="D352" s="325" t="s">
        <v>207</v>
      </c>
      <c r="E352" s="326" t="s">
        <v>262</v>
      </c>
      <c r="F352" s="327">
        <f t="shared" si="220"/>
        <v>0</v>
      </c>
      <c r="G352" s="328">
        <f t="shared" si="220"/>
        <v>0</v>
      </c>
      <c r="H352" s="328">
        <f t="shared" si="220"/>
        <v>0</v>
      </c>
      <c r="I352" s="328">
        <f t="shared" ref="I352:I368" si="221">+G352+H352</f>
        <v>0</v>
      </c>
      <c r="J352" s="328">
        <f>+J353</f>
        <v>0</v>
      </c>
      <c r="K352" s="328">
        <f>+K353</f>
        <v>0</v>
      </c>
      <c r="L352" s="328">
        <f t="shared" si="217"/>
        <v>0</v>
      </c>
      <c r="M352" s="328">
        <f t="shared" si="218"/>
        <v>0</v>
      </c>
      <c r="N352" s="327">
        <f t="shared" si="219"/>
        <v>0</v>
      </c>
      <c r="P352" s="330"/>
      <c r="R352" s="331"/>
      <c r="S352" s="351"/>
      <c r="T352" s="351"/>
      <c r="U352" s="333"/>
    </row>
    <row r="353" spans="1:21" s="381" customFormat="1" ht="18" hidden="1" customHeight="1" x14ac:dyDescent="0.25">
      <c r="A353" s="384"/>
      <c r="B353" s="335"/>
      <c r="C353" s="335"/>
      <c r="D353" s="335" t="s">
        <v>281</v>
      </c>
      <c r="E353" s="335" t="s">
        <v>282</v>
      </c>
      <c r="F353" s="337">
        <f t="shared" si="220"/>
        <v>0</v>
      </c>
      <c r="G353" s="338">
        <f t="shared" si="220"/>
        <v>0</v>
      </c>
      <c r="H353" s="338">
        <f t="shared" si="220"/>
        <v>0</v>
      </c>
      <c r="I353" s="338">
        <f>+G353+H353</f>
        <v>0</v>
      </c>
      <c r="J353" s="338">
        <f>+J354+J363</f>
        <v>0</v>
      </c>
      <c r="K353" s="338">
        <f>+K354+K363</f>
        <v>0</v>
      </c>
      <c r="L353" s="338">
        <f t="shared" si="217"/>
        <v>0</v>
      </c>
      <c r="M353" s="338">
        <f>+I353+L353</f>
        <v>0</v>
      </c>
      <c r="N353" s="405">
        <f t="shared" si="219"/>
        <v>0</v>
      </c>
      <c r="P353" s="340"/>
      <c r="S353" s="347"/>
      <c r="T353" s="347"/>
      <c r="U353" s="382"/>
    </row>
    <row r="354" spans="1:21" s="339" customFormat="1" ht="18" hidden="1" customHeight="1" x14ac:dyDescent="0.25">
      <c r="A354" s="334"/>
      <c r="B354" s="335"/>
      <c r="C354" s="335"/>
      <c r="D354" s="335" t="s">
        <v>283</v>
      </c>
      <c r="E354" s="336" t="s">
        <v>284</v>
      </c>
      <c r="F354" s="337">
        <f t="shared" si="220"/>
        <v>0</v>
      </c>
      <c r="G354" s="338">
        <f t="shared" si="220"/>
        <v>0</v>
      </c>
      <c r="H354" s="338">
        <f t="shared" si="220"/>
        <v>0</v>
      </c>
      <c r="I354" s="338">
        <f t="shared" si="221"/>
        <v>0</v>
      </c>
      <c r="J354" s="338">
        <f>+J355</f>
        <v>0</v>
      </c>
      <c r="K354" s="338">
        <f>+K355</f>
        <v>0</v>
      </c>
      <c r="L354" s="338">
        <f t="shared" si="217"/>
        <v>0</v>
      </c>
      <c r="M354" s="338">
        <f t="shared" si="218"/>
        <v>0</v>
      </c>
      <c r="N354" s="337">
        <f t="shared" si="219"/>
        <v>0</v>
      </c>
      <c r="P354" s="340"/>
      <c r="S354" s="347"/>
      <c r="T354" s="347"/>
      <c r="U354" s="342"/>
    </row>
    <row r="355" spans="1:21" s="339" customFormat="1" ht="31.5" hidden="1" customHeight="1" x14ac:dyDescent="0.25">
      <c r="A355" s="334"/>
      <c r="B355" s="335"/>
      <c r="C355" s="335"/>
      <c r="D355" s="335" t="s">
        <v>412</v>
      </c>
      <c r="E355" s="391" t="s">
        <v>413</v>
      </c>
      <c r="F355" s="337">
        <f t="shared" si="220"/>
        <v>0</v>
      </c>
      <c r="G355" s="344">
        <f t="shared" si="220"/>
        <v>0</v>
      </c>
      <c r="H355" s="344">
        <f t="shared" si="220"/>
        <v>0</v>
      </c>
      <c r="I355" s="344">
        <f t="shared" si="221"/>
        <v>0</v>
      </c>
      <c r="J355" s="344">
        <f>+J356</f>
        <v>0</v>
      </c>
      <c r="K355" s="344">
        <f>+K356</f>
        <v>0</v>
      </c>
      <c r="L355" s="344">
        <f t="shared" si="217"/>
        <v>0</v>
      </c>
      <c r="M355" s="344">
        <f t="shared" si="218"/>
        <v>0</v>
      </c>
      <c r="N355" s="337">
        <f t="shared" si="219"/>
        <v>0</v>
      </c>
      <c r="P355" s="340"/>
      <c r="S355" s="347"/>
      <c r="T355" s="347"/>
      <c r="U355" s="342"/>
    </row>
    <row r="356" spans="1:21" s="153" customFormat="1" ht="33.75" hidden="1" customHeight="1" x14ac:dyDescent="0.25">
      <c r="A356" s="353"/>
      <c r="B356" s="355"/>
      <c r="C356" s="355"/>
      <c r="D356" s="355" t="s">
        <v>414</v>
      </c>
      <c r="E356" s="402" t="s">
        <v>413</v>
      </c>
      <c r="F356" s="356"/>
      <c r="G356" s="406"/>
      <c r="H356" s="406"/>
      <c r="I356" s="406">
        <f t="shared" si="221"/>
        <v>0</v>
      </c>
      <c r="J356" s="357"/>
      <c r="K356" s="406"/>
      <c r="L356" s="406">
        <f t="shared" si="217"/>
        <v>0</v>
      </c>
      <c r="M356" s="406">
        <f t="shared" si="218"/>
        <v>0</v>
      </c>
      <c r="N356" s="356">
        <f>+F356-M356</f>
        <v>0</v>
      </c>
      <c r="P356" s="200"/>
      <c r="S356" s="221"/>
      <c r="T356" s="221"/>
      <c r="U356" s="254"/>
    </row>
    <row r="357" spans="1:21" s="319" customFormat="1" ht="18" customHeight="1" x14ac:dyDescent="0.25">
      <c r="A357" s="276">
        <v>21</v>
      </c>
      <c r="B357" s="305"/>
      <c r="C357" s="305" t="s">
        <v>285</v>
      </c>
      <c r="D357" s="363"/>
      <c r="E357" s="364" t="s">
        <v>286</v>
      </c>
      <c r="F357" s="307">
        <f>+F358</f>
        <v>325031788200</v>
      </c>
      <c r="G357" s="308">
        <f t="shared" ref="G357:H358" si="222">+G358</f>
        <v>6155127800</v>
      </c>
      <c r="H357" s="308">
        <f>+H358</f>
        <v>6258106200</v>
      </c>
      <c r="I357" s="308">
        <f t="shared" si="221"/>
        <v>12413234000</v>
      </c>
      <c r="J357" s="308">
        <f t="shared" ref="J357:K358" si="223">+J358</f>
        <v>0</v>
      </c>
      <c r="K357" s="308">
        <f t="shared" si="223"/>
        <v>0</v>
      </c>
      <c r="L357" s="308">
        <f t="shared" si="217"/>
        <v>0</v>
      </c>
      <c r="M357" s="308">
        <f>+I357+L357</f>
        <v>12413234000</v>
      </c>
      <c r="N357" s="307">
        <f>+F357-M357</f>
        <v>312618554200</v>
      </c>
      <c r="P357" s="320"/>
      <c r="R357" s="321"/>
      <c r="S357" s="349"/>
      <c r="T357" s="349"/>
      <c r="U357" s="350"/>
    </row>
    <row r="358" spans="1:21" s="329" customFormat="1" ht="18" customHeight="1" x14ac:dyDescent="0.25">
      <c r="A358" s="323"/>
      <c r="B358" s="324"/>
      <c r="C358" s="324"/>
      <c r="D358" s="325" t="s">
        <v>287</v>
      </c>
      <c r="E358" s="326" t="s">
        <v>288</v>
      </c>
      <c r="F358" s="327">
        <f>+F359</f>
        <v>325031788200</v>
      </c>
      <c r="G358" s="328">
        <f t="shared" si="222"/>
        <v>6155127800</v>
      </c>
      <c r="H358" s="328">
        <f t="shared" si="222"/>
        <v>6258106200</v>
      </c>
      <c r="I358" s="328">
        <f t="shared" si="221"/>
        <v>12413234000</v>
      </c>
      <c r="J358" s="328">
        <f t="shared" si="223"/>
        <v>0</v>
      </c>
      <c r="K358" s="328">
        <f t="shared" si="223"/>
        <v>0</v>
      </c>
      <c r="L358" s="328">
        <f t="shared" si="217"/>
        <v>0</v>
      </c>
      <c r="M358" s="328">
        <f t="shared" ref="M358" si="224">+I358+L358</f>
        <v>12413234000</v>
      </c>
      <c r="N358" s="327">
        <f t="shared" ref="N358:N366" si="225">+F358-M358</f>
        <v>312618554200</v>
      </c>
      <c r="P358" s="330"/>
      <c r="R358" s="331"/>
      <c r="S358" s="351"/>
      <c r="T358" s="351"/>
      <c r="U358" s="333"/>
    </row>
    <row r="359" spans="1:21" s="381" customFormat="1" ht="18" customHeight="1" x14ac:dyDescent="0.25">
      <c r="A359" s="384"/>
      <c r="B359" s="335"/>
      <c r="C359" s="335"/>
      <c r="D359" s="335" t="s">
        <v>289</v>
      </c>
      <c r="E359" s="335" t="s">
        <v>290</v>
      </c>
      <c r="F359" s="337">
        <f>+F363+F360</f>
        <v>325031788200</v>
      </c>
      <c r="G359" s="338">
        <f>+G363+G360</f>
        <v>6155127800</v>
      </c>
      <c r="H359" s="338">
        <f>+H363+H360</f>
        <v>6258106200</v>
      </c>
      <c r="I359" s="338">
        <f t="shared" si="221"/>
        <v>12413234000</v>
      </c>
      <c r="J359" s="338">
        <f>+J363+J360</f>
        <v>0</v>
      </c>
      <c r="K359" s="338">
        <f>+K363+K360</f>
        <v>0</v>
      </c>
      <c r="L359" s="338">
        <f>+J359+K359</f>
        <v>0</v>
      </c>
      <c r="M359" s="338">
        <f>+I359+L359</f>
        <v>12413234000</v>
      </c>
      <c r="N359" s="405">
        <f t="shared" si="225"/>
        <v>312618554200</v>
      </c>
      <c r="P359" s="340"/>
      <c r="S359" s="347"/>
      <c r="T359" s="347"/>
      <c r="U359" s="382"/>
    </row>
    <row r="360" spans="1:21" s="339" customFormat="1" ht="18" customHeight="1" x14ac:dyDescent="0.25">
      <c r="A360" s="366"/>
      <c r="B360" s="367"/>
      <c r="C360" s="367"/>
      <c r="D360" s="367" t="s">
        <v>291</v>
      </c>
      <c r="E360" s="407" t="s">
        <v>292</v>
      </c>
      <c r="F360" s="370">
        <f t="shared" ref="F360:H361" si="226">+F361</f>
        <v>540000000</v>
      </c>
      <c r="G360" s="408">
        <f t="shared" si="226"/>
        <v>0</v>
      </c>
      <c r="H360" s="408">
        <f t="shared" si="226"/>
        <v>0</v>
      </c>
      <c r="I360" s="408">
        <f t="shared" si="221"/>
        <v>0</v>
      </c>
      <c r="J360" s="408">
        <f>+J361</f>
        <v>0</v>
      </c>
      <c r="K360" s="408">
        <f>+K361</f>
        <v>0</v>
      </c>
      <c r="L360" s="408">
        <f>+J360+K360</f>
        <v>0</v>
      </c>
      <c r="M360" s="408">
        <f>+I360+L360</f>
        <v>0</v>
      </c>
      <c r="N360" s="370">
        <f t="shared" si="225"/>
        <v>540000000</v>
      </c>
      <c r="P360" s="340"/>
      <c r="S360" s="347"/>
      <c r="T360" s="347"/>
      <c r="U360" s="342"/>
    </row>
    <row r="361" spans="1:21" s="339" customFormat="1" ht="32.25" customHeight="1" x14ac:dyDescent="0.25">
      <c r="A361" s="366"/>
      <c r="B361" s="367"/>
      <c r="C361" s="367"/>
      <c r="D361" s="367" t="s">
        <v>293</v>
      </c>
      <c r="E361" s="369" t="s">
        <v>295</v>
      </c>
      <c r="F361" s="370">
        <f t="shared" si="226"/>
        <v>540000000</v>
      </c>
      <c r="G361" s="371">
        <f t="shared" si="226"/>
        <v>0</v>
      </c>
      <c r="H361" s="371">
        <f t="shared" si="226"/>
        <v>0</v>
      </c>
      <c r="I361" s="371">
        <f t="shared" si="221"/>
        <v>0</v>
      </c>
      <c r="J361" s="371">
        <f>+J362</f>
        <v>0</v>
      </c>
      <c r="K361" s="371">
        <f>+K362</f>
        <v>0</v>
      </c>
      <c r="L361" s="371">
        <f>+J361+K361</f>
        <v>0</v>
      </c>
      <c r="M361" s="371">
        <f>+I361+L361</f>
        <v>0</v>
      </c>
      <c r="N361" s="370">
        <f t="shared" si="225"/>
        <v>540000000</v>
      </c>
      <c r="P361" s="340"/>
      <c r="S361" s="347"/>
      <c r="T361" s="347"/>
      <c r="U361" s="342"/>
    </row>
    <row r="362" spans="1:21" s="339" customFormat="1" ht="29.25" customHeight="1" x14ac:dyDescent="0.25">
      <c r="A362" s="366"/>
      <c r="B362" s="367"/>
      <c r="C362" s="367"/>
      <c r="D362" s="367" t="s">
        <v>294</v>
      </c>
      <c r="E362" s="369" t="s">
        <v>295</v>
      </c>
      <c r="F362" s="370">
        <v>540000000</v>
      </c>
      <c r="G362" s="408"/>
      <c r="H362" s="408"/>
      <c r="I362" s="408">
        <f t="shared" si="221"/>
        <v>0</v>
      </c>
      <c r="J362" s="371"/>
      <c r="K362" s="408"/>
      <c r="L362" s="408">
        <f>+J362+K362</f>
        <v>0</v>
      </c>
      <c r="M362" s="408">
        <f>+I362+L362</f>
        <v>0</v>
      </c>
      <c r="N362" s="409">
        <f t="shared" si="225"/>
        <v>540000000</v>
      </c>
      <c r="P362" s="340"/>
      <c r="S362" s="347"/>
      <c r="T362" s="347"/>
      <c r="U362" s="342"/>
    </row>
    <row r="363" spans="1:21" s="339" customFormat="1" ht="18" customHeight="1" x14ac:dyDescent="0.25">
      <c r="A363" s="334"/>
      <c r="B363" s="335"/>
      <c r="C363" s="335"/>
      <c r="D363" s="335" t="s">
        <v>296</v>
      </c>
      <c r="E363" s="336" t="s">
        <v>298</v>
      </c>
      <c r="F363" s="337">
        <f>+F364+F366</f>
        <v>324491788200</v>
      </c>
      <c r="G363" s="338">
        <f>+G364+G366</f>
        <v>6155127800</v>
      </c>
      <c r="H363" s="338">
        <f>+H364+H366</f>
        <v>6258106200</v>
      </c>
      <c r="I363" s="338">
        <f t="shared" si="221"/>
        <v>12413234000</v>
      </c>
      <c r="J363" s="338">
        <f>+J364+J366</f>
        <v>0</v>
      </c>
      <c r="K363" s="338">
        <f>+K364+K366</f>
        <v>0</v>
      </c>
      <c r="L363" s="338">
        <f t="shared" si="217"/>
        <v>0</v>
      </c>
      <c r="M363" s="338">
        <f t="shared" si="218"/>
        <v>12413234000</v>
      </c>
      <c r="N363" s="337">
        <f t="shared" si="225"/>
        <v>312078554200</v>
      </c>
      <c r="P363" s="340"/>
      <c r="S363" s="347"/>
      <c r="T363" s="347"/>
      <c r="U363" s="342"/>
    </row>
    <row r="364" spans="1:21" s="339" customFormat="1" ht="32.25" customHeight="1" x14ac:dyDescent="0.25">
      <c r="A364" s="334"/>
      <c r="B364" s="335"/>
      <c r="C364" s="335"/>
      <c r="D364" s="335" t="s">
        <v>297</v>
      </c>
      <c r="E364" s="391" t="s">
        <v>300</v>
      </c>
      <c r="F364" s="337">
        <f>F365</f>
        <v>268985638200</v>
      </c>
      <c r="G364" s="344">
        <f>+G365</f>
        <v>6155127800</v>
      </c>
      <c r="H364" s="344">
        <f>+H365</f>
        <v>6258106200</v>
      </c>
      <c r="I364" s="338">
        <f t="shared" si="221"/>
        <v>12413234000</v>
      </c>
      <c r="J364" s="344">
        <f>+J365</f>
        <v>0</v>
      </c>
      <c r="K364" s="344">
        <f>+K365</f>
        <v>0</v>
      </c>
      <c r="L364" s="338">
        <f t="shared" si="217"/>
        <v>0</v>
      </c>
      <c r="M364" s="344">
        <f t="shared" si="218"/>
        <v>12413234000</v>
      </c>
      <c r="N364" s="337">
        <f t="shared" si="225"/>
        <v>256572404200</v>
      </c>
      <c r="P364" s="340"/>
      <c r="S364" s="347"/>
      <c r="T364" s="347"/>
      <c r="U364" s="342"/>
    </row>
    <row r="365" spans="1:21" s="339" customFormat="1" ht="29.25" customHeight="1" x14ac:dyDescent="0.25">
      <c r="A365" s="334"/>
      <c r="B365" s="335"/>
      <c r="C365" s="335"/>
      <c r="D365" s="335" t="s">
        <v>299</v>
      </c>
      <c r="E365" s="391" t="s">
        <v>300</v>
      </c>
      <c r="F365" s="337">
        <v>268985638200</v>
      </c>
      <c r="G365" s="338">
        <v>6155127800</v>
      </c>
      <c r="H365" s="338">
        <v>6258106200</v>
      </c>
      <c r="I365" s="338">
        <f t="shared" si="221"/>
        <v>12413234000</v>
      </c>
      <c r="J365" s="344"/>
      <c r="K365" s="338"/>
      <c r="L365" s="338">
        <f>J365+K365</f>
        <v>0</v>
      </c>
      <c r="M365" s="338">
        <f>+I365+L365</f>
        <v>12413234000</v>
      </c>
      <c r="N365" s="405">
        <f t="shared" si="225"/>
        <v>256572404200</v>
      </c>
      <c r="P365" s="340"/>
      <c r="S365" s="345"/>
      <c r="T365" s="455">
        <v>6258106200</v>
      </c>
      <c r="U365" s="342"/>
    </row>
    <row r="366" spans="1:21" s="339" customFormat="1" ht="32.25" customHeight="1" x14ac:dyDescent="0.25">
      <c r="A366" s="334"/>
      <c r="B366" s="335"/>
      <c r="C366" s="335"/>
      <c r="D366" s="335" t="s">
        <v>301</v>
      </c>
      <c r="E366" s="391" t="s">
        <v>303</v>
      </c>
      <c r="F366" s="337">
        <f>F367+F368</f>
        <v>55506150000</v>
      </c>
      <c r="G366" s="344">
        <f>+G367</f>
        <v>0</v>
      </c>
      <c r="H366" s="338">
        <f>+H367</f>
        <v>0</v>
      </c>
      <c r="I366" s="338">
        <f>+G366+H366</f>
        <v>0</v>
      </c>
      <c r="J366" s="344">
        <f>+J367</f>
        <v>0</v>
      </c>
      <c r="K366" s="344">
        <f>+K367</f>
        <v>0</v>
      </c>
      <c r="L366" s="344">
        <f>+J366+K366</f>
        <v>0</v>
      </c>
      <c r="M366" s="344">
        <f t="shared" ref="M366" si="227">+I366+L366</f>
        <v>0</v>
      </c>
      <c r="N366" s="337">
        <f t="shared" si="225"/>
        <v>55506150000</v>
      </c>
      <c r="P366" s="340"/>
      <c r="S366" s="345"/>
      <c r="T366" s="345"/>
      <c r="U366" s="342"/>
    </row>
    <row r="367" spans="1:21" s="153" customFormat="1" ht="29.25" customHeight="1" x14ac:dyDescent="0.25">
      <c r="A367" s="353"/>
      <c r="B367" s="355"/>
      <c r="C367" s="355"/>
      <c r="D367" s="355" t="s">
        <v>480</v>
      </c>
      <c r="E367" s="402" t="s">
        <v>481</v>
      </c>
      <c r="F367" s="356">
        <v>70000000</v>
      </c>
      <c r="G367" s="406"/>
      <c r="H367" s="406"/>
      <c r="I367" s="406">
        <f t="shared" si="221"/>
        <v>0</v>
      </c>
      <c r="J367" s="357"/>
      <c r="K367" s="406"/>
      <c r="L367" s="406">
        <f>J367+K367</f>
        <v>0</v>
      </c>
      <c r="M367" s="406">
        <f>+I367+L367</f>
        <v>0</v>
      </c>
      <c r="N367" s="405">
        <f>+F367-M367</f>
        <v>70000000</v>
      </c>
      <c r="P367" s="200"/>
      <c r="S367" s="410"/>
      <c r="T367" s="410"/>
      <c r="U367" s="254"/>
    </row>
    <row r="368" spans="1:21" s="153" customFormat="1" ht="29.25" customHeight="1" x14ac:dyDescent="0.25">
      <c r="A368" s="353"/>
      <c r="B368" s="355"/>
      <c r="C368" s="355"/>
      <c r="D368" s="355" t="s">
        <v>482</v>
      </c>
      <c r="E368" s="402" t="s">
        <v>483</v>
      </c>
      <c r="F368" s="356">
        <v>55436150000</v>
      </c>
      <c r="G368" s="406"/>
      <c r="H368" s="406"/>
      <c r="I368" s="406">
        <f t="shared" si="221"/>
        <v>0</v>
      </c>
      <c r="J368" s="357"/>
      <c r="K368" s="406"/>
      <c r="L368" s="406">
        <f>J368+K368</f>
        <v>0</v>
      </c>
      <c r="M368" s="406">
        <f>+I368+L368</f>
        <v>0</v>
      </c>
      <c r="N368" s="405">
        <f>+F368-M368</f>
        <v>55436150000</v>
      </c>
      <c r="P368" s="200"/>
      <c r="S368" s="410"/>
      <c r="T368" s="410"/>
      <c r="U368" s="254"/>
    </row>
    <row r="369" spans="1:21" s="319" customFormat="1" ht="18" customHeight="1" x14ac:dyDescent="0.25">
      <c r="A369" s="276">
        <v>22</v>
      </c>
      <c r="B369" s="305"/>
      <c r="C369" s="305" t="s">
        <v>304</v>
      </c>
      <c r="D369" s="363"/>
      <c r="E369" s="364" t="s">
        <v>305</v>
      </c>
      <c r="F369" s="307">
        <f t="shared" ref="F369:H372" si="228">+F370</f>
        <v>8000000000</v>
      </c>
      <c r="G369" s="308">
        <f t="shared" si="228"/>
        <v>0</v>
      </c>
      <c r="H369" s="308">
        <f t="shared" si="228"/>
        <v>0</v>
      </c>
      <c r="I369" s="308">
        <f>+G369+H369</f>
        <v>0</v>
      </c>
      <c r="J369" s="308">
        <f t="shared" ref="J369:K373" si="229">+J370</f>
        <v>0</v>
      </c>
      <c r="K369" s="308">
        <f t="shared" si="229"/>
        <v>0</v>
      </c>
      <c r="L369" s="308">
        <f>+J369+K369</f>
        <v>0</v>
      </c>
      <c r="M369" s="308">
        <f>+I369+L369</f>
        <v>0</v>
      </c>
      <c r="N369" s="307">
        <f>+F369-M369</f>
        <v>8000000000</v>
      </c>
      <c r="P369" s="320"/>
      <c r="R369" s="321"/>
      <c r="S369" s="411"/>
      <c r="T369" s="411"/>
      <c r="U369" s="350"/>
    </row>
    <row r="370" spans="1:21" s="329" customFormat="1" ht="18" customHeight="1" x14ac:dyDescent="0.25">
      <c r="A370" s="323"/>
      <c r="B370" s="324"/>
      <c r="C370" s="324"/>
      <c r="D370" s="325" t="s">
        <v>306</v>
      </c>
      <c r="E370" s="326" t="s">
        <v>307</v>
      </c>
      <c r="F370" s="327">
        <f t="shared" si="228"/>
        <v>8000000000</v>
      </c>
      <c r="G370" s="328">
        <f t="shared" si="228"/>
        <v>0</v>
      </c>
      <c r="H370" s="328">
        <f t="shared" si="228"/>
        <v>0</v>
      </c>
      <c r="I370" s="328">
        <f>+G370+H370</f>
        <v>0</v>
      </c>
      <c r="J370" s="328">
        <f t="shared" si="229"/>
        <v>0</v>
      </c>
      <c r="K370" s="328">
        <f t="shared" si="229"/>
        <v>0</v>
      </c>
      <c r="L370" s="328">
        <f>+J370+K370</f>
        <v>0</v>
      </c>
      <c r="M370" s="328">
        <f t="shared" ref="M370:M373" si="230">+I370+L370</f>
        <v>0</v>
      </c>
      <c r="N370" s="327">
        <f t="shared" ref="N370:N373" si="231">+F370-M370</f>
        <v>8000000000</v>
      </c>
      <c r="P370" s="330"/>
      <c r="R370" s="331"/>
      <c r="S370" s="332"/>
      <c r="T370" s="332"/>
      <c r="U370" s="333"/>
    </row>
    <row r="371" spans="1:21" s="381" customFormat="1" ht="18" customHeight="1" x14ac:dyDescent="0.25">
      <c r="A371" s="384"/>
      <c r="B371" s="335"/>
      <c r="C371" s="335"/>
      <c r="D371" s="335" t="s">
        <v>308</v>
      </c>
      <c r="E371" s="335" t="s">
        <v>307</v>
      </c>
      <c r="F371" s="337">
        <f t="shared" si="228"/>
        <v>8000000000</v>
      </c>
      <c r="G371" s="338">
        <f t="shared" si="228"/>
        <v>0</v>
      </c>
      <c r="H371" s="338">
        <f t="shared" si="228"/>
        <v>0</v>
      </c>
      <c r="I371" s="338">
        <f>+G371+H371</f>
        <v>0</v>
      </c>
      <c r="J371" s="338">
        <f t="shared" si="229"/>
        <v>0</v>
      </c>
      <c r="K371" s="338">
        <f t="shared" si="229"/>
        <v>0</v>
      </c>
      <c r="L371" s="338">
        <f>+J371+K371</f>
        <v>0</v>
      </c>
      <c r="M371" s="338">
        <f t="shared" si="230"/>
        <v>0</v>
      </c>
      <c r="N371" s="405">
        <f t="shared" si="231"/>
        <v>8000000000</v>
      </c>
      <c r="P371" s="340"/>
      <c r="S371" s="412"/>
      <c r="T371" s="412"/>
      <c r="U371" s="382"/>
    </row>
    <row r="372" spans="1:21" s="339" customFormat="1" ht="18" customHeight="1" x14ac:dyDescent="0.25">
      <c r="A372" s="334"/>
      <c r="B372" s="335"/>
      <c r="C372" s="335"/>
      <c r="D372" s="335" t="s">
        <v>309</v>
      </c>
      <c r="E372" s="336" t="s">
        <v>307</v>
      </c>
      <c r="F372" s="337">
        <f t="shared" si="228"/>
        <v>8000000000</v>
      </c>
      <c r="G372" s="338">
        <f t="shared" si="228"/>
        <v>0</v>
      </c>
      <c r="H372" s="338">
        <f t="shared" si="228"/>
        <v>0</v>
      </c>
      <c r="I372" s="338">
        <f>+G372+H372</f>
        <v>0</v>
      </c>
      <c r="J372" s="338">
        <f t="shared" si="229"/>
        <v>0</v>
      </c>
      <c r="K372" s="338">
        <f t="shared" si="229"/>
        <v>0</v>
      </c>
      <c r="L372" s="338">
        <f>+J372+K372</f>
        <v>0</v>
      </c>
      <c r="M372" s="338">
        <f t="shared" si="230"/>
        <v>0</v>
      </c>
      <c r="N372" s="337">
        <f t="shared" si="231"/>
        <v>8000000000</v>
      </c>
      <c r="P372" s="340"/>
      <c r="S372" s="341"/>
      <c r="T372" s="341"/>
      <c r="U372" s="342"/>
    </row>
    <row r="373" spans="1:21" s="339" customFormat="1" ht="17.25" customHeight="1" x14ac:dyDescent="0.25">
      <c r="A373" s="334"/>
      <c r="B373" s="335"/>
      <c r="C373" s="335"/>
      <c r="D373" s="335" t="s">
        <v>310</v>
      </c>
      <c r="E373" s="391" t="s">
        <v>307</v>
      </c>
      <c r="F373" s="337">
        <f>F374</f>
        <v>8000000000</v>
      </c>
      <c r="G373" s="344">
        <f>+G374</f>
        <v>0</v>
      </c>
      <c r="H373" s="344">
        <f>+H374</f>
        <v>0</v>
      </c>
      <c r="I373" s="338">
        <f>+G373+H373</f>
        <v>0</v>
      </c>
      <c r="J373" s="344">
        <f t="shared" si="229"/>
        <v>0</v>
      </c>
      <c r="K373" s="344">
        <f t="shared" si="229"/>
        <v>0</v>
      </c>
      <c r="L373" s="338">
        <f>+J373+K373</f>
        <v>0</v>
      </c>
      <c r="M373" s="344">
        <f t="shared" si="230"/>
        <v>0</v>
      </c>
      <c r="N373" s="337">
        <f t="shared" si="231"/>
        <v>8000000000</v>
      </c>
      <c r="P373" s="340"/>
      <c r="S373" s="345"/>
      <c r="T373" s="345"/>
      <c r="U373" s="342"/>
    </row>
    <row r="374" spans="1:21" s="153" customFormat="1" ht="20.25" customHeight="1" x14ac:dyDescent="0.25">
      <c r="A374" s="353"/>
      <c r="B374" s="355"/>
      <c r="C374" s="355"/>
      <c r="D374" s="355" t="s">
        <v>311</v>
      </c>
      <c r="E374" s="402" t="s">
        <v>307</v>
      </c>
      <c r="F374" s="356">
        <v>8000000000</v>
      </c>
      <c r="G374" s="406"/>
      <c r="H374" s="406"/>
      <c r="I374" s="406">
        <f t="shared" ref="I374:I383" si="232">+G374+H374</f>
        <v>0</v>
      </c>
      <c r="J374" s="357"/>
      <c r="K374" s="406"/>
      <c r="L374" s="406">
        <f>J374+K374</f>
        <v>0</v>
      </c>
      <c r="M374" s="406">
        <f>+I374+L374</f>
        <v>0</v>
      </c>
      <c r="N374" s="405">
        <f>+F374-M374</f>
        <v>8000000000</v>
      </c>
      <c r="P374" s="200"/>
      <c r="S374" s="410"/>
      <c r="T374" s="410"/>
      <c r="U374" s="254"/>
    </row>
    <row r="375" spans="1:21" s="319" customFormat="1" ht="18" customHeight="1" x14ac:dyDescent="0.25">
      <c r="A375" s="276">
        <v>23</v>
      </c>
      <c r="B375" s="305"/>
      <c r="C375" s="305" t="s">
        <v>320</v>
      </c>
      <c r="D375" s="363"/>
      <c r="E375" s="364" t="s">
        <v>312</v>
      </c>
      <c r="F375" s="307">
        <f t="shared" ref="F375:H376" si="233">+F376</f>
        <v>19577417200</v>
      </c>
      <c r="G375" s="308">
        <f t="shared" si="233"/>
        <v>0</v>
      </c>
      <c r="H375" s="308">
        <f t="shared" si="233"/>
        <v>0</v>
      </c>
      <c r="I375" s="308">
        <f t="shared" si="232"/>
        <v>0</v>
      </c>
      <c r="J375" s="308">
        <f>+J376</f>
        <v>0</v>
      </c>
      <c r="K375" s="308">
        <f>+K376</f>
        <v>0</v>
      </c>
      <c r="L375" s="308">
        <f>+J375+K375</f>
        <v>0</v>
      </c>
      <c r="M375" s="308">
        <f>+I375+L375</f>
        <v>0</v>
      </c>
      <c r="N375" s="307">
        <f>+F375-M375</f>
        <v>19577417200</v>
      </c>
      <c r="P375" s="320"/>
      <c r="R375" s="321"/>
      <c r="S375" s="411"/>
      <c r="T375" s="411"/>
      <c r="U375" s="350"/>
    </row>
    <row r="376" spans="1:21" s="329" customFormat="1" ht="18" customHeight="1" x14ac:dyDescent="0.25">
      <c r="A376" s="323"/>
      <c r="B376" s="324"/>
      <c r="C376" s="324"/>
      <c r="D376" s="325" t="s">
        <v>287</v>
      </c>
      <c r="E376" s="326" t="s">
        <v>288</v>
      </c>
      <c r="F376" s="327">
        <f t="shared" si="233"/>
        <v>19577417200</v>
      </c>
      <c r="G376" s="328">
        <f t="shared" si="233"/>
        <v>0</v>
      </c>
      <c r="H376" s="328">
        <f t="shared" si="233"/>
        <v>0</v>
      </c>
      <c r="I376" s="328">
        <f t="shared" si="232"/>
        <v>0</v>
      </c>
      <c r="J376" s="328">
        <f>+J377</f>
        <v>0</v>
      </c>
      <c r="K376" s="328">
        <f>+K377</f>
        <v>0</v>
      </c>
      <c r="L376" s="328">
        <f>+J376+K376</f>
        <v>0</v>
      </c>
      <c r="M376" s="328">
        <f t="shared" ref="M376:M379" si="234">+I376+L376</f>
        <v>0</v>
      </c>
      <c r="N376" s="327">
        <f t="shared" ref="N376:N379" si="235">+F376-M376</f>
        <v>19577417200</v>
      </c>
      <c r="P376" s="330"/>
      <c r="R376" s="331"/>
      <c r="S376" s="332"/>
      <c r="T376" s="332"/>
      <c r="U376" s="333"/>
    </row>
    <row r="377" spans="1:21" s="381" customFormat="1" ht="18" customHeight="1" x14ac:dyDescent="0.25">
      <c r="A377" s="384"/>
      <c r="B377" s="335"/>
      <c r="C377" s="335"/>
      <c r="D377" s="335" t="s">
        <v>313</v>
      </c>
      <c r="E377" s="335" t="s">
        <v>415</v>
      </c>
      <c r="F377" s="337">
        <f>+F378+F381</f>
        <v>19577417200</v>
      </c>
      <c r="G377" s="338">
        <f>+G378+G381</f>
        <v>0</v>
      </c>
      <c r="H377" s="338">
        <f>+H378+H381</f>
        <v>0</v>
      </c>
      <c r="I377" s="338">
        <f t="shared" si="232"/>
        <v>0</v>
      </c>
      <c r="J377" s="338">
        <f>+J378+J381</f>
        <v>0</v>
      </c>
      <c r="K377" s="338">
        <f>+K378+K381</f>
        <v>0</v>
      </c>
      <c r="L377" s="338">
        <f>+J377+K377</f>
        <v>0</v>
      </c>
      <c r="M377" s="338">
        <f t="shared" si="234"/>
        <v>0</v>
      </c>
      <c r="N377" s="405">
        <f t="shared" si="235"/>
        <v>19577417200</v>
      </c>
      <c r="P377" s="340"/>
      <c r="S377" s="412"/>
      <c r="T377" s="412"/>
      <c r="U377" s="382"/>
    </row>
    <row r="378" spans="1:21" s="339" customFormat="1" ht="31.5" customHeight="1" x14ac:dyDescent="0.25">
      <c r="A378" s="334"/>
      <c r="B378" s="335"/>
      <c r="C378" s="335"/>
      <c r="D378" s="335" t="s">
        <v>314</v>
      </c>
      <c r="E378" s="413" t="s">
        <v>416</v>
      </c>
      <c r="F378" s="337">
        <f>+F379</f>
        <v>18835000000</v>
      </c>
      <c r="G378" s="338">
        <f>+G379</f>
        <v>0</v>
      </c>
      <c r="H378" s="338">
        <f>+H379</f>
        <v>0</v>
      </c>
      <c r="I378" s="338">
        <f t="shared" si="232"/>
        <v>0</v>
      </c>
      <c r="J378" s="338">
        <f>+J379</f>
        <v>0</v>
      </c>
      <c r="K378" s="338">
        <f>+K379</f>
        <v>0</v>
      </c>
      <c r="L378" s="338">
        <f>+J378+K378</f>
        <v>0</v>
      </c>
      <c r="M378" s="338">
        <f t="shared" si="234"/>
        <v>0</v>
      </c>
      <c r="N378" s="337">
        <f t="shared" si="235"/>
        <v>18835000000</v>
      </c>
      <c r="P378" s="340"/>
      <c r="S378" s="341"/>
      <c r="T378" s="341"/>
      <c r="U378" s="342"/>
    </row>
    <row r="379" spans="1:21" s="339" customFormat="1" ht="17.25" customHeight="1" x14ac:dyDescent="0.25">
      <c r="A379" s="334"/>
      <c r="B379" s="335"/>
      <c r="C379" s="335"/>
      <c r="D379" s="335" t="s">
        <v>315</v>
      </c>
      <c r="E379" s="391" t="s">
        <v>417</v>
      </c>
      <c r="F379" s="337">
        <f>F380</f>
        <v>18835000000</v>
      </c>
      <c r="G379" s="344">
        <f>+G380</f>
        <v>0</v>
      </c>
      <c r="H379" s="344">
        <f>+H380</f>
        <v>0</v>
      </c>
      <c r="I379" s="338">
        <f t="shared" si="232"/>
        <v>0</v>
      </c>
      <c r="J379" s="344">
        <f>+J380</f>
        <v>0</v>
      </c>
      <c r="K379" s="344">
        <f>+K380</f>
        <v>0</v>
      </c>
      <c r="L379" s="338">
        <f>+J379+K379</f>
        <v>0</v>
      </c>
      <c r="M379" s="344">
        <f t="shared" si="234"/>
        <v>0</v>
      </c>
      <c r="N379" s="337">
        <f t="shared" si="235"/>
        <v>18835000000</v>
      </c>
      <c r="P379" s="340"/>
      <c r="S379" s="345"/>
      <c r="T379" s="345"/>
      <c r="U379" s="342"/>
    </row>
    <row r="380" spans="1:21" s="339" customFormat="1" ht="20.25" customHeight="1" x14ac:dyDescent="0.25">
      <c r="A380" s="334"/>
      <c r="B380" s="335"/>
      <c r="C380" s="335"/>
      <c r="D380" s="335" t="s">
        <v>316</v>
      </c>
      <c r="E380" s="391" t="s">
        <v>417</v>
      </c>
      <c r="F380" s="337">
        <v>18835000000</v>
      </c>
      <c r="G380" s="338"/>
      <c r="H380" s="338"/>
      <c r="I380" s="338">
        <f t="shared" si="232"/>
        <v>0</v>
      </c>
      <c r="J380" s="344"/>
      <c r="K380" s="338"/>
      <c r="L380" s="338">
        <f>J380+K380</f>
        <v>0</v>
      </c>
      <c r="M380" s="338">
        <f>+I380+L380</f>
        <v>0</v>
      </c>
      <c r="N380" s="405">
        <f>+F380-M380</f>
        <v>18835000000</v>
      </c>
      <c r="P380" s="340"/>
      <c r="S380" s="345"/>
      <c r="T380" s="345"/>
      <c r="U380" s="342"/>
    </row>
    <row r="381" spans="1:21" s="339" customFormat="1" ht="20.25" customHeight="1" x14ac:dyDescent="0.25">
      <c r="A381" s="334"/>
      <c r="B381" s="335"/>
      <c r="C381" s="335"/>
      <c r="D381" s="335" t="s">
        <v>317</v>
      </c>
      <c r="E381" s="413" t="s">
        <v>418</v>
      </c>
      <c r="F381" s="337">
        <f>+F382</f>
        <v>742417200</v>
      </c>
      <c r="G381" s="338">
        <f>+G382</f>
        <v>0</v>
      </c>
      <c r="H381" s="338">
        <f>+H382</f>
        <v>0</v>
      </c>
      <c r="I381" s="338">
        <f t="shared" si="232"/>
        <v>0</v>
      </c>
      <c r="J381" s="338">
        <f>+J382</f>
        <v>0</v>
      </c>
      <c r="K381" s="338">
        <f>+K382</f>
        <v>0</v>
      </c>
      <c r="L381" s="338">
        <f>+J381+K381</f>
        <v>0</v>
      </c>
      <c r="M381" s="338">
        <f t="shared" ref="M381:M382" si="236">+I381+L381</f>
        <v>0</v>
      </c>
      <c r="N381" s="337">
        <f t="shared" ref="N381:N382" si="237">+F381-M381</f>
        <v>742417200</v>
      </c>
      <c r="P381" s="340"/>
      <c r="S381" s="341"/>
      <c r="T381" s="341"/>
      <c r="U381" s="342"/>
    </row>
    <row r="382" spans="1:21" s="339" customFormat="1" ht="17.25" customHeight="1" x14ac:dyDescent="0.25">
      <c r="A382" s="334"/>
      <c r="B382" s="335"/>
      <c r="C382" s="335"/>
      <c r="D382" s="335" t="s">
        <v>318</v>
      </c>
      <c r="E382" s="391" t="s">
        <v>418</v>
      </c>
      <c r="F382" s="337">
        <f>F383</f>
        <v>742417200</v>
      </c>
      <c r="G382" s="344">
        <f>+G383</f>
        <v>0</v>
      </c>
      <c r="H382" s="344">
        <f>+H383</f>
        <v>0</v>
      </c>
      <c r="I382" s="338">
        <f t="shared" si="232"/>
        <v>0</v>
      </c>
      <c r="J382" s="344">
        <f>+J383</f>
        <v>0</v>
      </c>
      <c r="K382" s="344">
        <f>+K383</f>
        <v>0</v>
      </c>
      <c r="L382" s="338">
        <f>+J382+K382</f>
        <v>0</v>
      </c>
      <c r="M382" s="344">
        <f t="shared" si="236"/>
        <v>0</v>
      </c>
      <c r="N382" s="337">
        <f t="shared" si="237"/>
        <v>742417200</v>
      </c>
      <c r="P382" s="340"/>
      <c r="S382" s="345"/>
      <c r="T382" s="345"/>
      <c r="U382" s="342"/>
    </row>
    <row r="383" spans="1:21" ht="20.25" customHeight="1" x14ac:dyDescent="0.25">
      <c r="A383" s="301"/>
      <c r="B383" s="414"/>
      <c r="C383" s="414"/>
      <c r="D383" s="414" t="s">
        <v>319</v>
      </c>
      <c r="E383" s="415" t="s">
        <v>418</v>
      </c>
      <c r="F383" s="416">
        <v>742417200</v>
      </c>
      <c r="G383" s="417"/>
      <c r="H383" s="417"/>
      <c r="I383" s="417">
        <f t="shared" si="232"/>
        <v>0</v>
      </c>
      <c r="J383" s="35"/>
      <c r="K383" s="417"/>
      <c r="L383" s="417">
        <f>J383+K383</f>
        <v>0</v>
      </c>
      <c r="M383" s="417">
        <f>+I383+L383</f>
        <v>0</v>
      </c>
      <c r="N383" s="418">
        <f>+F383-M383</f>
        <v>742417200</v>
      </c>
      <c r="S383" s="419"/>
      <c r="T383" s="419"/>
      <c r="U383" s="420"/>
    </row>
    <row r="384" spans="1:21" ht="18" customHeight="1" x14ac:dyDescent="0.25">
      <c r="A384" s="302"/>
      <c r="B384" s="421"/>
      <c r="C384" s="421"/>
      <c r="D384" s="421"/>
      <c r="E384" s="421"/>
      <c r="F384" s="422"/>
      <c r="G384" s="423"/>
      <c r="H384" s="423"/>
      <c r="I384" s="423"/>
      <c r="J384" s="423"/>
      <c r="K384" s="423"/>
      <c r="L384" s="423"/>
      <c r="M384" s="423"/>
      <c r="N384" s="422"/>
      <c r="U384" s="420"/>
    </row>
    <row r="385" spans="1:21" ht="18" customHeight="1" x14ac:dyDescent="0.25">
      <c r="A385" s="301"/>
      <c r="B385" s="414"/>
      <c r="C385" s="414"/>
      <c r="D385" s="414"/>
      <c r="E385" s="414" t="s">
        <v>41</v>
      </c>
      <c r="F385" s="35"/>
      <c r="G385" s="35"/>
      <c r="H385" s="35"/>
      <c r="I385" s="35"/>
      <c r="J385" s="35"/>
      <c r="K385" s="35"/>
      <c r="L385" s="35"/>
      <c r="M385" s="35"/>
      <c r="N385" s="416"/>
      <c r="U385" s="420"/>
    </row>
    <row r="386" spans="1:21" ht="18" customHeight="1" x14ac:dyDescent="0.25">
      <c r="A386" s="301"/>
      <c r="B386" s="414"/>
      <c r="C386" s="414"/>
      <c r="D386" s="414"/>
      <c r="E386" s="414" t="s">
        <v>21</v>
      </c>
      <c r="F386" s="35"/>
      <c r="G386" s="35">
        <f>+G17</f>
        <v>9805797967</v>
      </c>
      <c r="H386" s="35">
        <f>+H17</f>
        <v>9782812369</v>
      </c>
      <c r="I386" s="35">
        <f>+I17</f>
        <v>19588610336</v>
      </c>
      <c r="J386" s="35">
        <f>+J17</f>
        <v>114284700</v>
      </c>
      <c r="K386" s="35">
        <f>+K17</f>
        <v>345746731</v>
      </c>
      <c r="L386" s="35">
        <f t="shared" ref="L386:L391" si="238">+J386+K386</f>
        <v>460031431</v>
      </c>
      <c r="M386" s="35">
        <f>+I386+L386</f>
        <v>20048641767</v>
      </c>
      <c r="N386" s="416"/>
      <c r="U386" s="420"/>
    </row>
    <row r="387" spans="1:21" ht="18" customHeight="1" x14ac:dyDescent="0.25">
      <c r="A387" s="301"/>
      <c r="B387" s="414"/>
      <c r="C387" s="414"/>
      <c r="D387" s="414"/>
      <c r="E387" s="414" t="s">
        <v>42</v>
      </c>
      <c r="F387" s="35"/>
      <c r="G387" s="35">
        <f>+SUM(G388:G401)</f>
        <v>69770614</v>
      </c>
      <c r="H387" s="35">
        <f>+SUM(H388:H401)</f>
        <v>146259456</v>
      </c>
      <c r="I387" s="35">
        <f>+G387+H387</f>
        <v>216030070</v>
      </c>
      <c r="J387" s="35">
        <f>+SUM(J388:J401)</f>
        <v>2165454</v>
      </c>
      <c r="K387" s="35">
        <f>+SUM(K388:K401)</f>
        <v>11391265</v>
      </c>
      <c r="L387" s="35">
        <f>+J387+K387</f>
        <v>13556719</v>
      </c>
      <c r="M387" s="424">
        <f>+I387+L387</f>
        <v>229586789</v>
      </c>
      <c r="N387" s="416"/>
      <c r="P387" s="294">
        <f>+M386+M387</f>
        <v>20278228556</v>
      </c>
      <c r="U387" s="420"/>
    </row>
    <row r="388" spans="1:21" ht="18" customHeight="1" x14ac:dyDescent="0.25">
      <c r="A388" s="301"/>
      <c r="B388" s="414"/>
      <c r="C388" s="414"/>
      <c r="D388" s="414"/>
      <c r="E388" s="425" t="s">
        <v>24</v>
      </c>
      <c r="F388" s="35"/>
      <c r="G388" s="35">
        <v>0</v>
      </c>
      <c r="H388" s="35">
        <v>1563375</v>
      </c>
      <c r="I388" s="35">
        <f>+G388+H388</f>
        <v>1563375</v>
      </c>
      <c r="J388" s="35">
        <v>1804545</v>
      </c>
      <c r="K388" s="35">
        <f>1804545+241802+281937+205631+1672297+541854+748644</f>
        <v>5496710</v>
      </c>
      <c r="L388" s="35">
        <f t="shared" si="238"/>
        <v>7301255</v>
      </c>
      <c r="M388" s="35">
        <f t="shared" ref="M388:M391" si="239">+I388+L388</f>
        <v>8864630</v>
      </c>
      <c r="N388" s="416"/>
      <c r="U388" s="420"/>
    </row>
    <row r="389" spans="1:21" ht="18" customHeight="1" x14ac:dyDescent="0.25">
      <c r="A389" s="301"/>
      <c r="B389" s="414"/>
      <c r="C389" s="414"/>
      <c r="D389" s="414"/>
      <c r="E389" s="425" t="s">
        <v>22</v>
      </c>
      <c r="F389" s="35"/>
      <c r="G389" s="35">
        <v>22804617</v>
      </c>
      <c r="H389" s="35">
        <f>277647</f>
        <v>277647</v>
      </c>
      <c r="I389" s="35">
        <f>+G389+H389</f>
        <v>23082264</v>
      </c>
      <c r="J389" s="35">
        <v>0</v>
      </c>
      <c r="K389" s="35"/>
      <c r="L389" s="35">
        <f t="shared" si="238"/>
        <v>0</v>
      </c>
      <c r="M389" s="35">
        <f t="shared" si="239"/>
        <v>23082264</v>
      </c>
      <c r="N389" s="416"/>
      <c r="U389" s="420"/>
    </row>
    <row r="390" spans="1:21" ht="18" customHeight="1" x14ac:dyDescent="0.25">
      <c r="A390" s="299"/>
      <c r="B390" s="426"/>
      <c r="C390" s="426"/>
      <c r="D390" s="426"/>
      <c r="E390" s="427" t="s">
        <v>25</v>
      </c>
      <c r="F390" s="236"/>
      <c r="G390" s="236">
        <v>0</v>
      </c>
      <c r="H390" s="236"/>
      <c r="I390" s="236">
        <f>+G390+H390</f>
        <v>0</v>
      </c>
      <c r="J390" s="236">
        <v>0</v>
      </c>
      <c r="K390" s="236">
        <f>187500+234000+37500+37500+50250+30000+22500+228041+98519+102088</f>
        <v>1027898</v>
      </c>
      <c r="L390" s="236">
        <f t="shared" si="238"/>
        <v>1027898</v>
      </c>
      <c r="M390" s="236">
        <f t="shared" si="239"/>
        <v>1027898</v>
      </c>
      <c r="N390" s="428"/>
      <c r="Q390" s="298"/>
      <c r="U390" s="420"/>
    </row>
    <row r="391" spans="1:21" ht="18" customHeight="1" x14ac:dyDescent="0.25">
      <c r="A391" s="301"/>
      <c r="B391" s="414"/>
      <c r="C391" s="414"/>
      <c r="D391" s="414"/>
      <c r="E391" s="425" t="s">
        <v>26</v>
      </c>
      <c r="F391" s="35"/>
      <c r="G391" s="35">
        <v>0</v>
      </c>
      <c r="H391" s="35">
        <v>2842500</v>
      </c>
      <c r="I391" s="35">
        <f>+G391+H391</f>
        <v>2842500</v>
      </c>
      <c r="J391" s="35">
        <v>360909</v>
      </c>
      <c r="K391" s="35">
        <f>35200+37100+37200+360909+48800+35000+28800+51261+37387</f>
        <v>671657</v>
      </c>
      <c r="L391" s="35">
        <f t="shared" si="238"/>
        <v>1032566</v>
      </c>
      <c r="M391" s="35">
        <f t="shared" si="239"/>
        <v>3875066</v>
      </c>
      <c r="N391" s="416"/>
      <c r="U391" s="420"/>
    </row>
    <row r="392" spans="1:21" ht="18" customHeight="1" x14ac:dyDescent="0.25">
      <c r="A392" s="301"/>
      <c r="B392" s="414"/>
      <c r="C392" s="414"/>
      <c r="D392" s="414"/>
      <c r="E392" s="425" t="s">
        <v>40</v>
      </c>
      <c r="F392" s="35"/>
      <c r="G392" s="35"/>
      <c r="H392" s="35"/>
      <c r="I392" s="35"/>
      <c r="J392" s="35"/>
      <c r="K392" s="35"/>
      <c r="L392" s="35"/>
      <c r="M392" s="35"/>
      <c r="N392" s="416"/>
      <c r="U392" s="420"/>
    </row>
    <row r="393" spans="1:21" ht="18" customHeight="1" x14ac:dyDescent="0.25">
      <c r="A393" s="301"/>
      <c r="B393" s="414"/>
      <c r="C393" s="414"/>
      <c r="D393" s="414"/>
      <c r="E393" s="425" t="s">
        <v>321</v>
      </c>
      <c r="F393" s="35"/>
      <c r="G393" s="35">
        <v>0</v>
      </c>
      <c r="H393" s="35"/>
      <c r="I393" s="35">
        <f>+G393+H393</f>
        <v>0</v>
      </c>
      <c r="J393" s="35">
        <v>0</v>
      </c>
      <c r="K393" s="35"/>
      <c r="L393" s="35">
        <f>+J393+K393</f>
        <v>0</v>
      </c>
      <c r="M393" s="35">
        <f>+I393+L393</f>
        <v>0</v>
      </c>
      <c r="N393" s="416"/>
      <c r="U393" s="420"/>
    </row>
    <row r="394" spans="1:21" ht="18" customHeight="1" x14ac:dyDescent="0.25">
      <c r="A394" s="301"/>
      <c r="B394" s="414"/>
      <c r="C394" s="414"/>
      <c r="D394" s="414"/>
      <c r="E394" s="425" t="s">
        <v>322</v>
      </c>
      <c r="F394" s="35"/>
      <c r="G394" s="35">
        <v>4666566</v>
      </c>
      <c r="H394" s="35">
        <f>103141200+2940178</f>
        <v>106081378</v>
      </c>
      <c r="I394" s="35">
        <f t="shared" ref="I394:I400" si="240">+G394+H394</f>
        <v>110747944</v>
      </c>
      <c r="J394" s="35">
        <v>0</v>
      </c>
      <c r="K394" s="35"/>
      <c r="L394" s="35">
        <f>+J394+K394</f>
        <v>0</v>
      </c>
      <c r="M394" s="35">
        <f t="shared" ref="M394:M400" si="241">+I394+L394</f>
        <v>110747944</v>
      </c>
      <c r="N394" s="416"/>
      <c r="U394" s="420"/>
    </row>
    <row r="395" spans="1:21" ht="18" customHeight="1" x14ac:dyDescent="0.25">
      <c r="A395" s="301"/>
      <c r="B395" s="414"/>
      <c r="C395" s="414"/>
      <c r="D395" s="414"/>
      <c r="E395" s="425" t="s">
        <v>323</v>
      </c>
      <c r="F395" s="35"/>
      <c r="G395" s="35">
        <v>18666278</v>
      </c>
      <c r="H395" s="35">
        <f>11760731</f>
        <v>11760731</v>
      </c>
      <c r="I395" s="35">
        <f t="shared" si="240"/>
        <v>30427009</v>
      </c>
      <c r="J395" s="35"/>
      <c r="K395" s="35"/>
      <c r="L395" s="35"/>
      <c r="M395" s="35">
        <f t="shared" si="241"/>
        <v>30427009</v>
      </c>
      <c r="N395" s="416"/>
      <c r="U395" s="420"/>
    </row>
    <row r="396" spans="1:21" ht="18" customHeight="1" x14ac:dyDescent="0.25">
      <c r="A396" s="301"/>
      <c r="B396" s="414"/>
      <c r="C396" s="414"/>
      <c r="D396" s="414"/>
      <c r="E396" s="425" t="s">
        <v>324</v>
      </c>
      <c r="F396" s="35"/>
      <c r="G396" s="35">
        <v>580644</v>
      </c>
      <c r="H396" s="35">
        <f>583091</f>
        <v>583091</v>
      </c>
      <c r="I396" s="35">
        <f t="shared" si="240"/>
        <v>1163735</v>
      </c>
      <c r="J396" s="35"/>
      <c r="K396" s="35"/>
      <c r="L396" s="35"/>
      <c r="M396" s="35">
        <f t="shared" si="241"/>
        <v>1163735</v>
      </c>
      <c r="N396" s="416"/>
      <c r="U396" s="420"/>
    </row>
    <row r="397" spans="1:21" ht="18" customHeight="1" x14ac:dyDescent="0.25">
      <c r="A397" s="301"/>
      <c r="B397" s="414"/>
      <c r="C397" s="414"/>
      <c r="D397" s="414"/>
      <c r="E397" s="425" t="s">
        <v>325</v>
      </c>
      <c r="F397" s="35"/>
      <c r="G397" s="35">
        <v>1741930</v>
      </c>
      <c r="H397" s="35">
        <f>1749275</f>
        <v>1749275</v>
      </c>
      <c r="I397" s="35">
        <f t="shared" si="240"/>
        <v>3491205</v>
      </c>
      <c r="J397" s="35"/>
      <c r="K397" s="35"/>
      <c r="L397" s="35"/>
      <c r="M397" s="35">
        <f t="shared" si="241"/>
        <v>3491205</v>
      </c>
      <c r="N397" s="416"/>
      <c r="U397" s="420"/>
    </row>
    <row r="398" spans="1:21" ht="18" customHeight="1" x14ac:dyDescent="0.25">
      <c r="A398" s="301"/>
      <c r="B398" s="414"/>
      <c r="C398" s="414"/>
      <c r="D398" s="414"/>
      <c r="E398" s="425" t="s">
        <v>326</v>
      </c>
      <c r="F398" s="35"/>
      <c r="G398" s="35">
        <v>21310579</v>
      </c>
      <c r="H398" s="35">
        <f>21401459</f>
        <v>21401459</v>
      </c>
      <c r="I398" s="35">
        <f t="shared" si="240"/>
        <v>42712038</v>
      </c>
      <c r="J398" s="35"/>
      <c r="K398" s="35"/>
      <c r="L398" s="35"/>
      <c r="M398" s="35">
        <f t="shared" si="241"/>
        <v>42712038</v>
      </c>
      <c r="N398" s="416"/>
      <c r="U398" s="420"/>
    </row>
    <row r="399" spans="1:21" ht="18" customHeight="1" x14ac:dyDescent="0.25">
      <c r="A399" s="299"/>
      <c r="B399" s="426"/>
      <c r="C399" s="426"/>
      <c r="D399" s="426"/>
      <c r="E399" s="427" t="s">
        <v>327</v>
      </c>
      <c r="F399" s="236"/>
      <c r="G399" s="236"/>
      <c r="H399" s="236"/>
      <c r="I399" s="236"/>
      <c r="J399" s="236">
        <v>0</v>
      </c>
      <c r="K399" s="236">
        <f>200000+1250000+1560000+250000+250000+335000+200000+150000</f>
        <v>4195000</v>
      </c>
      <c r="L399" s="236">
        <f>+J399+K399</f>
        <v>4195000</v>
      </c>
      <c r="M399" s="236">
        <f t="shared" si="241"/>
        <v>4195000</v>
      </c>
      <c r="N399" s="428"/>
      <c r="U399" s="420"/>
    </row>
    <row r="400" spans="1:21" ht="18" customHeight="1" x14ac:dyDescent="0.25">
      <c r="A400" s="301"/>
      <c r="B400" s="414"/>
      <c r="C400" s="414"/>
      <c r="D400" s="414"/>
      <c r="E400" s="425" t="s">
        <v>426</v>
      </c>
      <c r="F400" s="35"/>
      <c r="G400" s="35"/>
      <c r="H400" s="35"/>
      <c r="I400" s="35">
        <f t="shared" si="240"/>
        <v>0</v>
      </c>
      <c r="J400" s="35"/>
      <c r="K400" s="35"/>
      <c r="L400" s="35"/>
      <c r="M400" s="35">
        <f t="shared" si="241"/>
        <v>0</v>
      </c>
      <c r="N400" s="416"/>
      <c r="U400" s="420"/>
    </row>
    <row r="401" spans="1:21" ht="18" customHeight="1" x14ac:dyDescent="0.25">
      <c r="A401" s="301"/>
      <c r="B401" s="414"/>
      <c r="C401" s="414"/>
      <c r="D401" s="414"/>
      <c r="E401" s="414" t="s">
        <v>23</v>
      </c>
      <c r="F401" s="35"/>
      <c r="G401" s="35"/>
      <c r="H401" s="35"/>
      <c r="I401" s="35"/>
      <c r="J401" s="35"/>
      <c r="K401" s="35"/>
      <c r="L401" s="35"/>
      <c r="M401" s="35"/>
      <c r="N401" s="416"/>
      <c r="U401" s="420"/>
    </row>
    <row r="402" spans="1:21" ht="18" customHeight="1" x14ac:dyDescent="0.25">
      <c r="A402" s="301"/>
      <c r="B402" s="414"/>
      <c r="C402" s="414"/>
      <c r="D402" s="414"/>
      <c r="E402" s="429" t="s">
        <v>27</v>
      </c>
      <c r="F402" s="423"/>
      <c r="G402" s="430"/>
      <c r="H402" s="430">
        <v>0</v>
      </c>
      <c r="I402" s="430">
        <v>0</v>
      </c>
      <c r="J402" s="430">
        <v>0</v>
      </c>
      <c r="K402" s="430">
        <v>0</v>
      </c>
      <c r="L402" s="430">
        <v>0</v>
      </c>
      <c r="M402" s="430">
        <v>0</v>
      </c>
      <c r="N402" s="422"/>
      <c r="Q402" s="298"/>
      <c r="U402" s="420"/>
    </row>
    <row r="403" spans="1:21" ht="9.75" customHeight="1" x14ac:dyDescent="0.25">
      <c r="A403" s="301"/>
      <c r="B403" s="414"/>
      <c r="C403" s="414"/>
      <c r="D403" s="414"/>
      <c r="E403" s="414"/>
      <c r="F403" s="35"/>
      <c r="G403" s="35"/>
      <c r="H403" s="35"/>
      <c r="I403" s="35"/>
      <c r="J403" s="35"/>
      <c r="K403" s="35"/>
      <c r="L403" s="35"/>
      <c r="M403" s="35"/>
      <c r="N403" s="416"/>
      <c r="U403" s="420"/>
    </row>
    <row r="404" spans="1:21" ht="12.75" customHeight="1" x14ac:dyDescent="0.25">
      <c r="A404" s="299"/>
      <c r="B404" s="426"/>
      <c r="C404" s="426"/>
      <c r="D404" s="426"/>
      <c r="E404" s="426" t="s">
        <v>328</v>
      </c>
      <c r="F404" s="236"/>
      <c r="G404" s="236"/>
      <c r="H404" s="236"/>
      <c r="I404" s="236"/>
      <c r="J404" s="236"/>
      <c r="K404" s="236"/>
      <c r="L404" s="236"/>
      <c r="M404" s="236"/>
      <c r="N404" s="428"/>
      <c r="U404" s="420"/>
    </row>
    <row r="405" spans="1:21" ht="12.75" customHeight="1" x14ac:dyDescent="0.25">
      <c r="A405" s="299"/>
      <c r="B405" s="426"/>
      <c r="C405" s="426"/>
      <c r="D405" s="426"/>
      <c r="E405" s="426" t="s">
        <v>21</v>
      </c>
      <c r="F405" s="236"/>
      <c r="G405" s="236">
        <f>+G386</f>
        <v>9805797967</v>
      </c>
      <c r="H405" s="457">
        <f>+H386</f>
        <v>9782812369</v>
      </c>
      <c r="I405" s="236">
        <f t="shared" ref="I405:L405" si="242">+I386</f>
        <v>19588610336</v>
      </c>
      <c r="J405" s="236">
        <f t="shared" si="242"/>
        <v>114284700</v>
      </c>
      <c r="K405" s="236">
        <f t="shared" si="242"/>
        <v>345746731</v>
      </c>
      <c r="L405" s="236">
        <f t="shared" si="242"/>
        <v>460031431</v>
      </c>
      <c r="M405" s="236">
        <f>+M386</f>
        <v>20048641767</v>
      </c>
      <c r="N405" s="428"/>
      <c r="O405" s="431"/>
      <c r="U405" s="420"/>
    </row>
    <row r="406" spans="1:21" ht="12.75" customHeight="1" x14ac:dyDescent="0.25">
      <c r="A406" s="299"/>
      <c r="B406" s="426"/>
      <c r="C406" s="426"/>
      <c r="D406" s="426"/>
      <c r="E406" s="426" t="s">
        <v>42</v>
      </c>
      <c r="F406" s="236"/>
      <c r="G406" s="236">
        <f>+SUM(G407:G420)</f>
        <v>69770614</v>
      </c>
      <c r="H406" s="236">
        <f>+SUM(H407:H420)</f>
        <v>146259456</v>
      </c>
      <c r="I406" s="236">
        <f>+G406+H406</f>
        <v>216030070</v>
      </c>
      <c r="J406" s="236">
        <f>+SUM(J407:J420)</f>
        <v>2165454</v>
      </c>
      <c r="K406" s="236">
        <f>+SUM(K407:K420)</f>
        <v>11391265</v>
      </c>
      <c r="L406" s="236">
        <f>+J406+K406</f>
        <v>13556719</v>
      </c>
      <c r="M406" s="457">
        <f>+I406+L406</f>
        <v>229586789</v>
      </c>
      <c r="N406" s="428"/>
      <c r="U406" s="420"/>
    </row>
    <row r="407" spans="1:21" ht="15" customHeight="1" x14ac:dyDescent="0.25">
      <c r="A407" s="299"/>
      <c r="B407" s="426"/>
      <c r="C407" s="426"/>
      <c r="D407" s="426"/>
      <c r="E407" s="427" t="s">
        <v>24</v>
      </c>
      <c r="F407" s="236"/>
      <c r="G407" s="236">
        <v>0</v>
      </c>
      <c r="H407" s="236">
        <v>1563375</v>
      </c>
      <c r="I407" s="236">
        <f>+G407+H407</f>
        <v>1563375</v>
      </c>
      <c r="J407" s="236">
        <v>1804545</v>
      </c>
      <c r="K407" s="236">
        <f>1804545+241802+281937+205631+1672297+541854+748644</f>
        <v>5496710</v>
      </c>
      <c r="L407" s="236">
        <f>+J407+K407</f>
        <v>7301255</v>
      </c>
      <c r="M407" s="236">
        <f>+I407+L407</f>
        <v>8864630</v>
      </c>
      <c r="N407" s="428"/>
      <c r="U407" s="420"/>
    </row>
    <row r="408" spans="1:21" ht="15" customHeight="1" x14ac:dyDescent="0.25">
      <c r="A408" s="299"/>
      <c r="B408" s="426"/>
      <c r="C408" s="426"/>
      <c r="D408" s="426"/>
      <c r="E408" s="427" t="s">
        <v>22</v>
      </c>
      <c r="F408" s="236"/>
      <c r="G408" s="236">
        <v>22804617</v>
      </c>
      <c r="H408" s="236">
        <f>277647</f>
        <v>277647</v>
      </c>
      <c r="I408" s="236">
        <f>+G408+H408</f>
        <v>23082264</v>
      </c>
      <c r="J408" s="236">
        <v>0</v>
      </c>
      <c r="K408" s="236"/>
      <c r="L408" s="236">
        <f>+J408+K408</f>
        <v>0</v>
      </c>
      <c r="M408" s="236">
        <f>+I408+L408</f>
        <v>23082264</v>
      </c>
      <c r="N408" s="428"/>
      <c r="U408" s="420"/>
    </row>
    <row r="409" spans="1:21" ht="15" customHeight="1" x14ac:dyDescent="0.25">
      <c r="A409" s="299"/>
      <c r="B409" s="426"/>
      <c r="C409" s="426"/>
      <c r="D409" s="426"/>
      <c r="E409" s="427" t="s">
        <v>25</v>
      </c>
      <c r="F409" s="236"/>
      <c r="G409" s="236">
        <v>0</v>
      </c>
      <c r="H409" s="236"/>
      <c r="I409" s="236">
        <f>+G409+H409</f>
        <v>0</v>
      </c>
      <c r="J409" s="236">
        <v>0</v>
      </c>
      <c r="K409" s="236">
        <f>187500+234000+37500+37500+50250+30000+22500+228041+98519+102088</f>
        <v>1027898</v>
      </c>
      <c r="L409" s="236">
        <f>+J409+K409</f>
        <v>1027898</v>
      </c>
      <c r="M409" s="236">
        <f>+I409+L409</f>
        <v>1027898</v>
      </c>
      <c r="N409" s="428"/>
      <c r="U409" s="420"/>
    </row>
    <row r="410" spans="1:21" ht="15" customHeight="1" x14ac:dyDescent="0.25">
      <c r="A410" s="299"/>
      <c r="B410" s="426"/>
      <c r="C410" s="426"/>
      <c r="D410" s="426"/>
      <c r="E410" s="427" t="s">
        <v>26</v>
      </c>
      <c r="F410" s="236"/>
      <c r="G410" s="236">
        <v>0</v>
      </c>
      <c r="H410" s="236">
        <v>2842500</v>
      </c>
      <c r="I410" s="236">
        <f>+G410+H410</f>
        <v>2842500</v>
      </c>
      <c r="J410" s="236">
        <v>360909</v>
      </c>
      <c r="K410" s="236">
        <f>35200+37100+37200+360909+48800+35000+28800+51261+37387</f>
        <v>671657</v>
      </c>
      <c r="L410" s="236">
        <f>+J410+K410</f>
        <v>1032566</v>
      </c>
      <c r="M410" s="236">
        <f>+I410+L410</f>
        <v>3875066</v>
      </c>
      <c r="N410" s="428"/>
      <c r="U410" s="420"/>
    </row>
    <row r="411" spans="1:21" ht="15" customHeight="1" x14ac:dyDescent="0.25">
      <c r="A411" s="299"/>
      <c r="B411" s="426"/>
      <c r="C411" s="426"/>
      <c r="D411" s="426"/>
      <c r="E411" s="427" t="s">
        <v>40</v>
      </c>
      <c r="F411" s="236"/>
      <c r="G411" s="236"/>
      <c r="H411" s="236"/>
      <c r="I411" s="236"/>
      <c r="J411" s="236"/>
      <c r="K411" s="236"/>
      <c r="L411" s="236"/>
      <c r="M411" s="236"/>
      <c r="N411" s="428"/>
      <c r="U411" s="420"/>
    </row>
    <row r="412" spans="1:21" ht="15" customHeight="1" x14ac:dyDescent="0.25">
      <c r="A412" s="299"/>
      <c r="B412" s="426"/>
      <c r="C412" s="426"/>
      <c r="D412" s="426"/>
      <c r="E412" s="427" t="s">
        <v>321</v>
      </c>
      <c r="F412" s="236"/>
      <c r="G412" s="236">
        <v>0</v>
      </c>
      <c r="H412" s="236"/>
      <c r="I412" s="236">
        <f>+G412+H412</f>
        <v>0</v>
      </c>
      <c r="J412" s="236">
        <v>0</v>
      </c>
      <c r="K412" s="236"/>
      <c r="L412" s="236">
        <f>+J412+K412</f>
        <v>0</v>
      </c>
      <c r="M412" s="236">
        <f t="shared" ref="M412:M419" si="243">+I412+L412</f>
        <v>0</v>
      </c>
      <c r="N412" s="428"/>
      <c r="U412" s="420"/>
    </row>
    <row r="413" spans="1:21" ht="15" customHeight="1" x14ac:dyDescent="0.25">
      <c r="A413" s="299"/>
      <c r="B413" s="426"/>
      <c r="C413" s="426"/>
      <c r="D413" s="426"/>
      <c r="E413" s="427" t="s">
        <v>322</v>
      </c>
      <c r="F413" s="236"/>
      <c r="G413" s="236">
        <v>4666566</v>
      </c>
      <c r="H413" s="236">
        <f>103141200+2940178</f>
        <v>106081378</v>
      </c>
      <c r="I413" s="236">
        <f t="shared" ref="I413:I419" si="244">+G413+H413</f>
        <v>110747944</v>
      </c>
      <c r="J413" s="236"/>
      <c r="K413" s="236"/>
      <c r="L413" s="236"/>
      <c r="M413" s="236">
        <f t="shared" si="243"/>
        <v>110747944</v>
      </c>
      <c r="N413" s="428"/>
      <c r="U413" s="420"/>
    </row>
    <row r="414" spans="1:21" ht="15" customHeight="1" x14ac:dyDescent="0.25">
      <c r="A414" s="299"/>
      <c r="B414" s="426"/>
      <c r="C414" s="426"/>
      <c r="D414" s="426"/>
      <c r="E414" s="427" t="s">
        <v>323</v>
      </c>
      <c r="F414" s="236"/>
      <c r="G414" s="236">
        <v>18666278</v>
      </c>
      <c r="H414" s="236">
        <f>11760731</f>
        <v>11760731</v>
      </c>
      <c r="I414" s="236">
        <f t="shared" si="244"/>
        <v>30427009</v>
      </c>
      <c r="J414" s="236"/>
      <c r="K414" s="236"/>
      <c r="L414" s="236"/>
      <c r="M414" s="236">
        <f t="shared" si="243"/>
        <v>30427009</v>
      </c>
      <c r="N414" s="428"/>
      <c r="U414" s="420"/>
    </row>
    <row r="415" spans="1:21" ht="15" customHeight="1" x14ac:dyDescent="0.25">
      <c r="A415" s="299"/>
      <c r="B415" s="426"/>
      <c r="C415" s="426"/>
      <c r="D415" s="426"/>
      <c r="E415" s="427" t="s">
        <v>324</v>
      </c>
      <c r="F415" s="236"/>
      <c r="G415" s="236">
        <v>580644</v>
      </c>
      <c r="H415" s="236">
        <f>583091</f>
        <v>583091</v>
      </c>
      <c r="I415" s="236">
        <f t="shared" si="244"/>
        <v>1163735</v>
      </c>
      <c r="J415" s="236"/>
      <c r="K415" s="236"/>
      <c r="L415" s="236"/>
      <c r="M415" s="236">
        <f t="shared" si="243"/>
        <v>1163735</v>
      </c>
      <c r="N415" s="428"/>
      <c r="U415" s="420"/>
    </row>
    <row r="416" spans="1:21" ht="15" customHeight="1" x14ac:dyDescent="0.25">
      <c r="A416" s="299"/>
      <c r="B416" s="426"/>
      <c r="C416" s="426"/>
      <c r="D416" s="426"/>
      <c r="E416" s="427" t="s">
        <v>325</v>
      </c>
      <c r="F416" s="236"/>
      <c r="G416" s="236">
        <v>1741930</v>
      </c>
      <c r="H416" s="236">
        <f>1749275</f>
        <v>1749275</v>
      </c>
      <c r="I416" s="236">
        <f t="shared" si="244"/>
        <v>3491205</v>
      </c>
      <c r="J416" s="236"/>
      <c r="K416" s="236"/>
      <c r="L416" s="236"/>
      <c r="M416" s="236">
        <f t="shared" si="243"/>
        <v>3491205</v>
      </c>
      <c r="N416" s="428"/>
      <c r="U416" s="420"/>
    </row>
    <row r="417" spans="1:21" ht="15" customHeight="1" x14ac:dyDescent="0.25">
      <c r="A417" s="299"/>
      <c r="B417" s="426"/>
      <c r="C417" s="426"/>
      <c r="D417" s="426"/>
      <c r="E417" s="427" t="s">
        <v>326</v>
      </c>
      <c r="F417" s="236"/>
      <c r="G417" s="236">
        <v>21310579</v>
      </c>
      <c r="H417" s="236">
        <f>21401459</f>
        <v>21401459</v>
      </c>
      <c r="I417" s="236">
        <f t="shared" si="244"/>
        <v>42712038</v>
      </c>
      <c r="J417" s="236"/>
      <c r="K417" s="236"/>
      <c r="L417" s="236"/>
      <c r="M417" s="236">
        <f t="shared" si="243"/>
        <v>42712038</v>
      </c>
      <c r="N417" s="428"/>
      <c r="U417" s="420"/>
    </row>
    <row r="418" spans="1:21" ht="15" customHeight="1" x14ac:dyDescent="0.25">
      <c r="A418" s="299"/>
      <c r="B418" s="426"/>
      <c r="C418" s="426"/>
      <c r="D418" s="426"/>
      <c r="E418" s="427" t="s">
        <v>327</v>
      </c>
      <c r="F418" s="236"/>
      <c r="G418" s="236"/>
      <c r="H418" s="236"/>
      <c r="I418" s="236"/>
      <c r="J418" s="236"/>
      <c r="K418" s="236">
        <f>200000+1250000+1560000+250000+250000+335000+200000+150000</f>
        <v>4195000</v>
      </c>
      <c r="L418" s="236">
        <f>+J418+K418</f>
        <v>4195000</v>
      </c>
      <c r="M418" s="236">
        <f t="shared" si="243"/>
        <v>4195000</v>
      </c>
      <c r="N418" s="428"/>
      <c r="U418" s="420"/>
    </row>
    <row r="419" spans="1:21" ht="15" customHeight="1" x14ac:dyDescent="0.25">
      <c r="A419" s="299"/>
      <c r="B419" s="426"/>
      <c r="C419" s="426"/>
      <c r="D419" s="426"/>
      <c r="E419" s="427" t="s">
        <v>426</v>
      </c>
      <c r="F419" s="236"/>
      <c r="G419" s="236"/>
      <c r="H419" s="236"/>
      <c r="I419" s="236">
        <f t="shared" si="244"/>
        <v>0</v>
      </c>
      <c r="J419" s="236"/>
      <c r="K419" s="236"/>
      <c r="L419" s="236"/>
      <c r="M419" s="236">
        <f t="shared" si="243"/>
        <v>0</v>
      </c>
      <c r="N419" s="428"/>
      <c r="U419" s="420"/>
    </row>
    <row r="420" spans="1:21" ht="15" customHeight="1" x14ac:dyDescent="0.25">
      <c r="A420" s="299"/>
      <c r="B420" s="426"/>
      <c r="C420" s="426"/>
      <c r="D420" s="426"/>
      <c r="E420" s="426" t="s">
        <v>23</v>
      </c>
      <c r="F420" s="236"/>
      <c r="G420" s="236"/>
      <c r="H420" s="236"/>
      <c r="I420" s="236"/>
      <c r="J420" s="236"/>
      <c r="K420" s="236"/>
      <c r="L420" s="236"/>
      <c r="M420" s="236"/>
      <c r="N420" s="428"/>
      <c r="U420" s="420"/>
    </row>
    <row r="421" spans="1:21" ht="18" customHeight="1" x14ac:dyDescent="0.25">
      <c r="A421" s="301"/>
      <c r="B421" s="414"/>
      <c r="C421" s="414"/>
      <c r="D421" s="414"/>
      <c r="E421" s="429" t="s">
        <v>27</v>
      </c>
      <c r="F421" s="423"/>
      <c r="G421" s="430" t="s">
        <v>49</v>
      </c>
      <c r="H421" s="430" t="s">
        <v>49</v>
      </c>
      <c r="I421" s="430" t="s">
        <v>49</v>
      </c>
      <c r="J421" s="430" t="s">
        <v>49</v>
      </c>
      <c r="K421" s="430" t="s">
        <v>49</v>
      </c>
      <c r="L421" s="430" t="s">
        <v>49</v>
      </c>
      <c r="M421" s="430" t="s">
        <v>49</v>
      </c>
      <c r="N421" s="422"/>
      <c r="U421" s="420"/>
    </row>
    <row r="422" spans="1:21" ht="18" customHeight="1" x14ac:dyDescent="0.25">
      <c r="A422" s="301"/>
      <c r="B422" s="414"/>
      <c r="C422" s="414"/>
      <c r="D422" s="414"/>
      <c r="E422" s="414"/>
      <c r="F422" s="416"/>
      <c r="G422" s="416"/>
      <c r="H422" s="416"/>
      <c r="I422" s="416"/>
      <c r="J422" s="416"/>
      <c r="K422" s="416"/>
      <c r="L422" s="416"/>
      <c r="M422" s="416"/>
      <c r="N422" s="416"/>
      <c r="U422" s="420"/>
    </row>
    <row r="423" spans="1:21" ht="18" customHeight="1" x14ac:dyDescent="0.25">
      <c r="A423" s="432"/>
      <c r="B423" s="432"/>
      <c r="C423" s="432"/>
      <c r="D423" s="432"/>
      <c r="E423" s="429" t="s">
        <v>28</v>
      </c>
      <c r="F423" s="422"/>
      <c r="G423" s="422">
        <v>0</v>
      </c>
      <c r="H423" s="422">
        <v>0</v>
      </c>
      <c r="I423" s="422">
        <v>0</v>
      </c>
      <c r="J423" s="422">
        <v>0</v>
      </c>
      <c r="K423" s="422">
        <v>0</v>
      </c>
      <c r="L423" s="422">
        <v>0</v>
      </c>
      <c r="M423" s="422">
        <v>0</v>
      </c>
      <c r="N423" s="422"/>
      <c r="U423" s="420"/>
    </row>
    <row r="424" spans="1:21" ht="18" customHeight="1" x14ac:dyDescent="0.25">
      <c r="U424" s="420"/>
    </row>
    <row r="425" spans="1:21" ht="18" customHeight="1" x14ac:dyDescent="0.25">
      <c r="A425" s="537" t="s">
        <v>52</v>
      </c>
      <c r="B425" s="537"/>
      <c r="C425" s="537"/>
      <c r="D425" s="537"/>
      <c r="L425" s="539" t="s">
        <v>486</v>
      </c>
      <c r="M425" s="539"/>
      <c r="N425" s="539"/>
      <c r="U425" s="420"/>
    </row>
    <row r="426" spans="1:21" ht="18" customHeight="1" x14ac:dyDescent="0.25">
      <c r="A426" s="537" t="s">
        <v>59</v>
      </c>
      <c r="B426" s="537"/>
      <c r="C426" s="537"/>
      <c r="D426" s="537"/>
      <c r="U426" s="420"/>
    </row>
    <row r="427" spans="1:21" ht="18" customHeight="1" x14ac:dyDescent="0.25">
      <c r="A427" s="537" t="s">
        <v>60</v>
      </c>
      <c r="B427" s="537"/>
      <c r="C427" s="537"/>
      <c r="D427" s="537"/>
      <c r="E427" s="434" t="s">
        <v>38</v>
      </c>
      <c r="F427" s="538" t="s">
        <v>39</v>
      </c>
      <c r="G427" s="538"/>
      <c r="H427" s="538"/>
      <c r="I427" s="435"/>
      <c r="J427" s="435"/>
      <c r="K427" s="435"/>
      <c r="L427" s="538" t="s">
        <v>422</v>
      </c>
      <c r="M427" s="538"/>
      <c r="N427" s="538"/>
      <c r="U427" s="420"/>
    </row>
    <row r="428" spans="1:21" ht="18" customHeight="1" x14ac:dyDescent="0.25">
      <c r="A428" s="537" t="s">
        <v>53</v>
      </c>
      <c r="B428" s="537"/>
      <c r="C428" s="537"/>
      <c r="D428" s="537"/>
      <c r="E428" s="434" t="s">
        <v>330</v>
      </c>
      <c r="F428" s="538" t="s">
        <v>54</v>
      </c>
      <c r="G428" s="538"/>
      <c r="H428" s="538"/>
      <c r="I428" s="435"/>
      <c r="J428" s="435"/>
      <c r="K428" s="435"/>
      <c r="L428" s="538" t="s">
        <v>330</v>
      </c>
      <c r="M428" s="538"/>
      <c r="N428" s="538"/>
      <c r="U428" s="420"/>
    </row>
    <row r="429" spans="1:21" ht="18" customHeight="1" x14ac:dyDescent="0.25">
      <c r="A429" s="458"/>
      <c r="B429" s="436"/>
      <c r="C429" s="436"/>
      <c r="D429" s="436"/>
      <c r="E429" s="458"/>
      <c r="G429" s="459"/>
      <c r="H429" s="438"/>
      <c r="I429" s="438"/>
      <c r="K429" s="438"/>
      <c r="L429" s="438"/>
      <c r="M429" s="438"/>
      <c r="N429" s="438"/>
      <c r="U429" s="420"/>
    </row>
    <row r="430" spans="1:21" ht="18" customHeight="1" x14ac:dyDescent="0.25">
      <c r="A430" s="458"/>
      <c r="B430" s="436"/>
      <c r="C430" s="436"/>
      <c r="D430" s="436"/>
      <c r="E430" s="458"/>
      <c r="G430" s="438"/>
      <c r="H430" s="438"/>
      <c r="K430" s="438"/>
      <c r="L430" s="438"/>
      <c r="M430" s="438"/>
    </row>
    <row r="431" spans="1:21" ht="18" customHeight="1" x14ac:dyDescent="0.25">
      <c r="A431" s="439"/>
      <c r="B431" s="436"/>
      <c r="C431" s="436"/>
      <c r="D431" s="436"/>
      <c r="E431" s="458"/>
      <c r="G431" s="438"/>
      <c r="H431" s="438"/>
      <c r="K431" s="438"/>
      <c r="L431" s="438"/>
      <c r="M431" s="438"/>
    </row>
    <row r="432" spans="1:21" ht="18" customHeight="1" x14ac:dyDescent="0.25">
      <c r="A432" s="537" t="s">
        <v>56</v>
      </c>
      <c r="B432" s="537"/>
      <c r="C432" s="537"/>
      <c r="D432" s="537"/>
      <c r="E432" s="458" t="s">
        <v>421</v>
      </c>
      <c r="F432" s="539" t="s">
        <v>51</v>
      </c>
      <c r="G432" s="539"/>
      <c r="H432" s="539"/>
      <c r="I432" s="161"/>
      <c r="J432" s="161"/>
      <c r="K432" s="161"/>
      <c r="L432" s="539" t="s">
        <v>423</v>
      </c>
      <c r="M432" s="539"/>
      <c r="N432" s="539"/>
    </row>
    <row r="433" spans="1:14" ht="18" customHeight="1" x14ac:dyDescent="0.25">
      <c r="A433" s="537" t="s">
        <v>29</v>
      </c>
      <c r="B433" s="537"/>
      <c r="C433" s="537"/>
      <c r="D433" s="537"/>
      <c r="E433" s="458" t="s">
        <v>419</v>
      </c>
      <c r="F433" s="540" t="s">
        <v>58</v>
      </c>
      <c r="G433" s="540"/>
      <c r="H433" s="540"/>
      <c r="I433" s="161"/>
      <c r="J433" s="161"/>
      <c r="K433" s="161"/>
      <c r="L433" s="540" t="s">
        <v>425</v>
      </c>
      <c r="M433" s="540"/>
      <c r="N433" s="540"/>
    </row>
    <row r="434" spans="1:14" ht="18" customHeight="1" x14ac:dyDescent="0.25">
      <c r="A434" s="537" t="s">
        <v>57</v>
      </c>
      <c r="B434" s="537"/>
      <c r="C434" s="537"/>
      <c r="D434" s="537"/>
      <c r="E434" s="458" t="s">
        <v>420</v>
      </c>
      <c r="F434" s="539" t="s">
        <v>47</v>
      </c>
      <c r="G434" s="539"/>
      <c r="H434" s="539"/>
      <c r="I434" s="161"/>
      <c r="J434" s="161"/>
      <c r="K434" s="161"/>
      <c r="L434" s="539" t="s">
        <v>424</v>
      </c>
      <c r="M434" s="539"/>
      <c r="N434" s="539"/>
    </row>
  </sheetData>
  <mergeCells count="33"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  <mergeCell ref="B17:D17"/>
    <mergeCell ref="A426:D426"/>
    <mergeCell ref="A427:D427"/>
    <mergeCell ref="F427:H427"/>
    <mergeCell ref="L427:N427"/>
    <mergeCell ref="A425:D425"/>
    <mergeCell ref="L425:N425"/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</mergeCells>
  <printOptions horizontalCentered="1"/>
  <pageMargins left="0.19685039370078741" right="0.19685039370078741" top="0.39370078740157483" bottom="0.19685039370078741" header="0.31496062992125984" footer="0.31496062992125984"/>
  <pageSetup paperSize="258" scale="56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34"/>
  <sheetViews>
    <sheetView showGridLines="0" view="pageBreakPreview" zoomScale="90" zoomScaleNormal="85" zoomScaleSheetLayoutView="90" workbookViewId="0">
      <pane xSplit="4" ySplit="16" topLeftCell="E422" activePane="bottomRight" state="frozen"/>
      <selection pane="topRight" activeCell="D1" sqref="D1"/>
      <selection pane="bottomLeft" activeCell="A17" sqref="A17"/>
      <selection pane="bottomRight" activeCell="E425" sqref="E425"/>
    </sheetView>
  </sheetViews>
  <sheetFormatPr defaultRowHeight="15" customHeight="1" x14ac:dyDescent="0.25"/>
  <cols>
    <col min="1" max="1" width="6" style="293" customWidth="1"/>
    <col min="2" max="2" width="11.5703125" style="293" customWidth="1"/>
    <col min="3" max="3" width="13.7109375" style="293" customWidth="1"/>
    <col min="4" max="4" width="15.85546875" style="293" customWidth="1"/>
    <col min="5" max="5" width="68.5703125" style="293" customWidth="1"/>
    <col min="6" max="6" width="18.140625" style="293" customWidth="1"/>
    <col min="7" max="7" width="16.85546875" style="293" customWidth="1"/>
    <col min="8" max="8" width="15.85546875" style="293" customWidth="1"/>
    <col min="9" max="9" width="18.7109375" style="293" customWidth="1"/>
    <col min="10" max="10" width="15" style="293" customWidth="1"/>
    <col min="11" max="11" width="14" style="293" customWidth="1"/>
    <col min="12" max="12" width="15.140625" style="293" customWidth="1"/>
    <col min="13" max="13" width="16.7109375" style="293" customWidth="1"/>
    <col min="14" max="14" width="19.28515625" style="293" customWidth="1"/>
    <col min="15" max="15" width="4.28515625" style="293" customWidth="1"/>
    <col min="16" max="16" width="18.42578125" style="294" customWidth="1"/>
    <col min="17" max="17" width="14.85546875" style="293" customWidth="1"/>
    <col min="18" max="18" width="15.42578125" style="293" customWidth="1"/>
    <col min="19" max="19" width="20.140625" style="295" customWidth="1"/>
    <col min="20" max="20" width="25.7109375" style="295" customWidth="1"/>
    <col min="21" max="21" width="26.140625" style="293" customWidth="1"/>
    <col min="22" max="16384" width="9.140625" style="293"/>
  </cols>
  <sheetData>
    <row r="1" spans="1:18" s="295" customFormat="1" ht="15" customHeight="1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293"/>
      <c r="P1" s="294"/>
      <c r="Q1" s="293"/>
      <c r="R1" s="293"/>
    </row>
    <row r="2" spans="1:18" s="295" customFormat="1" ht="15" customHeight="1" x14ac:dyDescent="0.25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293"/>
      <c r="P2" s="294"/>
      <c r="Q2" s="293"/>
      <c r="R2" s="293"/>
    </row>
    <row r="3" spans="1:18" s="295" customFormat="1" ht="15" customHeight="1" x14ac:dyDescent="0.25">
      <c r="A3" s="522" t="s">
        <v>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293"/>
      <c r="P3" s="294"/>
      <c r="Q3" s="293"/>
      <c r="R3" s="293"/>
    </row>
    <row r="4" spans="1:18" s="295" customFormat="1" ht="15" customHeight="1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  <c r="Q4" s="293"/>
      <c r="R4" s="293"/>
    </row>
    <row r="5" spans="1:18" s="295" customFormat="1" ht="15" customHeight="1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4"/>
      <c r="Q5" s="293"/>
      <c r="R5" s="293"/>
    </row>
    <row r="6" spans="1:18" s="295" customFormat="1" ht="15" customHeight="1" x14ac:dyDescent="0.25">
      <c r="A6" s="293" t="s">
        <v>3</v>
      </c>
      <c r="B6" s="293"/>
      <c r="C6" s="293"/>
      <c r="D6" s="293" t="s">
        <v>45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Q6" s="293"/>
      <c r="R6" s="293"/>
    </row>
    <row r="7" spans="1:18" s="295" customFormat="1" ht="15" customHeight="1" x14ac:dyDescent="0.25">
      <c r="A7" s="293" t="s">
        <v>4</v>
      </c>
      <c r="B7" s="293"/>
      <c r="C7" s="293"/>
      <c r="D7" s="293" t="s">
        <v>55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4"/>
      <c r="Q7" s="293"/>
      <c r="R7" s="293"/>
    </row>
    <row r="8" spans="1:18" s="295" customFormat="1" ht="15" customHeight="1" x14ac:dyDescent="0.25">
      <c r="A8" s="293" t="s">
        <v>5</v>
      </c>
      <c r="B8" s="293"/>
      <c r="C8" s="293"/>
      <c r="D8" s="504" t="s">
        <v>50</v>
      </c>
      <c r="E8" s="504"/>
      <c r="F8" s="504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293"/>
      <c r="R8" s="293"/>
    </row>
    <row r="9" spans="1:18" s="295" customFormat="1" ht="15" customHeight="1" x14ac:dyDescent="0.25">
      <c r="A9" s="293" t="s">
        <v>6</v>
      </c>
      <c r="B9" s="293"/>
      <c r="C9" s="293"/>
      <c r="D9" s="293" t="s">
        <v>449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4"/>
      <c r="Q9" s="293"/>
      <c r="R9" s="296"/>
    </row>
    <row r="10" spans="1:18" s="295" customFormat="1" ht="15" customHeight="1" x14ac:dyDescent="0.25">
      <c r="A10" s="293" t="s">
        <v>7</v>
      </c>
      <c r="B10" s="293"/>
      <c r="C10" s="293"/>
      <c r="D10" s="293" t="s">
        <v>485</v>
      </c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4"/>
      <c r="Q10" s="293"/>
      <c r="R10" s="296"/>
    </row>
    <row r="11" spans="1:18" s="295" customFormat="1" ht="15" customHeight="1" x14ac:dyDescent="0.25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4"/>
      <c r="Q11" s="293"/>
      <c r="R11" s="296"/>
    </row>
    <row r="12" spans="1:18" s="295" customFormat="1" ht="15" customHeight="1" x14ac:dyDescent="0.25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4"/>
      <c r="Q12" s="293"/>
      <c r="R12" s="296"/>
    </row>
    <row r="13" spans="1:18" s="295" customFormat="1" ht="15" customHeight="1" x14ac:dyDescent="0.25">
      <c r="A13" s="523" t="s">
        <v>37</v>
      </c>
      <c r="B13" s="525" t="s">
        <v>10</v>
      </c>
      <c r="C13" s="526"/>
      <c r="D13" s="527"/>
      <c r="E13" s="531" t="s">
        <v>8</v>
      </c>
      <c r="F13" s="531" t="s">
        <v>9</v>
      </c>
      <c r="G13" s="533" t="s">
        <v>14</v>
      </c>
      <c r="H13" s="533"/>
      <c r="I13" s="533"/>
      <c r="J13" s="533" t="s">
        <v>15</v>
      </c>
      <c r="K13" s="533"/>
      <c r="L13" s="533"/>
      <c r="M13" s="531" t="s">
        <v>17</v>
      </c>
      <c r="N13" s="531" t="s">
        <v>16</v>
      </c>
      <c r="O13" s="293"/>
      <c r="P13" s="294"/>
      <c r="Q13" s="293"/>
      <c r="R13" s="296"/>
    </row>
    <row r="14" spans="1:18" s="295" customFormat="1" ht="15" customHeight="1" x14ac:dyDescent="0.25">
      <c r="A14" s="524"/>
      <c r="B14" s="528"/>
      <c r="C14" s="529"/>
      <c r="D14" s="530"/>
      <c r="E14" s="531"/>
      <c r="F14" s="532"/>
      <c r="G14" s="449" t="s">
        <v>11</v>
      </c>
      <c r="H14" s="449" t="s">
        <v>12</v>
      </c>
      <c r="I14" s="449" t="s">
        <v>13</v>
      </c>
      <c r="J14" s="449" t="s">
        <v>11</v>
      </c>
      <c r="K14" s="449" t="s">
        <v>12</v>
      </c>
      <c r="L14" s="449" t="s">
        <v>13</v>
      </c>
      <c r="M14" s="531"/>
      <c r="N14" s="531"/>
      <c r="O14" s="293"/>
      <c r="P14" s="294"/>
      <c r="Q14" s="293"/>
      <c r="R14" s="298"/>
    </row>
    <row r="15" spans="1:18" s="295" customFormat="1" ht="15" customHeight="1" x14ac:dyDescent="0.25">
      <c r="A15" s="299"/>
      <c r="B15" s="516">
        <v>1</v>
      </c>
      <c r="C15" s="517"/>
      <c r="D15" s="518"/>
      <c r="E15" s="450">
        <v>2</v>
      </c>
      <c r="F15" s="450">
        <v>3</v>
      </c>
      <c r="G15" s="450">
        <v>7</v>
      </c>
      <c r="H15" s="450">
        <v>8</v>
      </c>
      <c r="I15" s="450" t="s">
        <v>18</v>
      </c>
      <c r="J15" s="450">
        <v>10</v>
      </c>
      <c r="K15" s="450">
        <v>11</v>
      </c>
      <c r="L15" s="450" t="s">
        <v>19</v>
      </c>
      <c r="M15" s="450" t="s">
        <v>155</v>
      </c>
      <c r="N15" s="450" t="s">
        <v>36</v>
      </c>
      <c r="O15" s="293"/>
      <c r="P15" s="294"/>
      <c r="Q15" s="293"/>
      <c r="R15" s="293"/>
    </row>
    <row r="16" spans="1:18" s="295" customFormat="1" ht="15" customHeight="1" x14ac:dyDescent="0.25">
      <c r="A16" s="301"/>
      <c r="B16" s="519"/>
      <c r="C16" s="520"/>
      <c r="D16" s="521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293"/>
      <c r="P16" s="294"/>
      <c r="Q16" s="293"/>
      <c r="R16" s="293"/>
    </row>
    <row r="17" spans="1:21" ht="17.100000000000001" customHeight="1" x14ac:dyDescent="0.25">
      <c r="A17" s="303"/>
      <c r="B17" s="534" t="s">
        <v>20</v>
      </c>
      <c r="C17" s="535"/>
      <c r="D17" s="536"/>
      <c r="E17" s="303"/>
      <c r="F17" s="304">
        <f>+F18+F47+F122+F138+F239+F247+F298+F350</f>
        <v>428263811167</v>
      </c>
      <c r="G17" s="304">
        <f>+G18+G47+G122+G138+G239+G247+G298+G350</f>
        <v>3650670167</v>
      </c>
      <c r="H17" s="304">
        <f>+H18+H47+H122+H138+H239+H247+H298+H350</f>
        <v>9782812369</v>
      </c>
      <c r="I17" s="304">
        <f>+G17+H17</f>
        <v>13433482536</v>
      </c>
      <c r="J17" s="304">
        <f>+J18+J47+J122+J138+J239+J247+J298+J350</f>
        <v>114284700</v>
      </c>
      <c r="K17" s="304">
        <f>+K18+K47+K122+K138+K239+K247+K298+K350</f>
        <v>345746731</v>
      </c>
      <c r="L17" s="304">
        <f>+J17+K17</f>
        <v>460031431</v>
      </c>
      <c r="M17" s="304">
        <f>+I17+L17</f>
        <v>13893513967</v>
      </c>
      <c r="N17" s="304">
        <f>+F17-M17</f>
        <v>414370297200</v>
      </c>
      <c r="R17" s="298"/>
      <c r="U17" s="294">
        <f>178000000+33460000+79728000+22342995000+29162378+3014333670+6242819000+179060000+4822000000+316799545+177216575</f>
        <v>37415574168</v>
      </c>
    </row>
    <row r="18" spans="1:21" s="309" customFormat="1" ht="18" customHeight="1" x14ac:dyDescent="0.25">
      <c r="A18" s="276"/>
      <c r="B18" s="305" t="s">
        <v>336</v>
      </c>
      <c r="C18" s="305"/>
      <c r="D18" s="305"/>
      <c r="E18" s="306" t="s">
        <v>335</v>
      </c>
      <c r="F18" s="307">
        <f>+F19+F32</f>
        <v>276269500</v>
      </c>
      <c r="G18" s="308">
        <f>+G19+G32</f>
        <v>0</v>
      </c>
      <c r="H18" s="308">
        <f>+H19+H32</f>
        <v>0</v>
      </c>
      <c r="I18" s="308">
        <f>+G18+H18</f>
        <v>0</v>
      </c>
      <c r="J18" s="308">
        <f>+J19+J32</f>
        <v>8490000</v>
      </c>
      <c r="K18" s="308">
        <f>+K19+K32</f>
        <v>40077500</v>
      </c>
      <c r="L18" s="308">
        <f>+J18+K18</f>
        <v>48567500</v>
      </c>
      <c r="M18" s="308">
        <f>+I18+L18</f>
        <v>48567500</v>
      </c>
      <c r="N18" s="307">
        <f>+F18-M18</f>
        <v>227702000</v>
      </c>
      <c r="P18" s="310">
        <f>+N19+N32+N48+N113+N123+N139+N165+N173+N184+N206+N240+N248+N256+N269+N278+N299+N312+N331+N337+N343+N351+N357+N369+N375</f>
        <v>414370297200</v>
      </c>
      <c r="Q18" s="309" t="s">
        <v>332</v>
      </c>
      <c r="R18" s="311"/>
      <c r="S18" s="312" t="s">
        <v>427</v>
      </c>
      <c r="T18" s="313"/>
    </row>
    <row r="19" spans="1:21" s="319" customFormat="1" ht="18" customHeight="1" x14ac:dyDescent="0.25">
      <c r="A19" s="275">
        <v>1</v>
      </c>
      <c r="B19" s="314"/>
      <c r="C19" s="314" t="s">
        <v>61</v>
      </c>
      <c r="D19" s="315"/>
      <c r="E19" s="316" t="s">
        <v>62</v>
      </c>
      <c r="F19" s="317">
        <f t="shared" ref="F19:H20" si="0">+F20</f>
        <v>117975500</v>
      </c>
      <c r="G19" s="318">
        <f t="shared" si="0"/>
        <v>0</v>
      </c>
      <c r="H19" s="318">
        <f t="shared" si="0"/>
        <v>0</v>
      </c>
      <c r="I19" s="318">
        <f>+G19+H19</f>
        <v>0</v>
      </c>
      <c r="J19" s="318">
        <f>+J20</f>
        <v>4190000</v>
      </c>
      <c r="K19" s="318">
        <f>+K20</f>
        <v>35777500</v>
      </c>
      <c r="L19" s="318">
        <f>+J19+K19</f>
        <v>39967500</v>
      </c>
      <c r="M19" s="318">
        <f>+I19+L19</f>
        <v>39967500</v>
      </c>
      <c r="N19" s="317">
        <f>+F19-M19</f>
        <v>78008000</v>
      </c>
      <c r="P19" s="320"/>
      <c r="R19" s="321"/>
      <c r="S19" s="322">
        <f>SUM(S24:S361)</f>
        <v>345746731</v>
      </c>
      <c r="T19" s="322">
        <f>SUM(T24:T434)</f>
        <v>9782812369</v>
      </c>
    </row>
    <row r="20" spans="1:21" s="329" customFormat="1" ht="18" customHeight="1" x14ac:dyDescent="0.25">
      <c r="A20" s="323"/>
      <c r="B20" s="324"/>
      <c r="C20" s="324"/>
      <c r="D20" s="325" t="s">
        <v>207</v>
      </c>
      <c r="E20" s="326" t="s">
        <v>262</v>
      </c>
      <c r="F20" s="327">
        <f t="shared" si="0"/>
        <v>117975500</v>
      </c>
      <c r="G20" s="328">
        <f t="shared" si="0"/>
        <v>0</v>
      </c>
      <c r="H20" s="328">
        <f t="shared" si="0"/>
        <v>0</v>
      </c>
      <c r="I20" s="328">
        <f>+G20+H20</f>
        <v>0</v>
      </c>
      <c r="J20" s="328">
        <f>+J21</f>
        <v>4190000</v>
      </c>
      <c r="K20" s="328">
        <f>+K21</f>
        <v>35777500</v>
      </c>
      <c r="L20" s="328">
        <f t="shared" ref="L20:L28" si="1">+J20+K20</f>
        <v>39967500</v>
      </c>
      <c r="M20" s="328">
        <f>+I20+L20</f>
        <v>39967500</v>
      </c>
      <c r="N20" s="327">
        <f>+F20-M20</f>
        <v>78008000</v>
      </c>
      <c r="P20" s="330"/>
      <c r="R20" s="331"/>
      <c r="S20" s="332"/>
      <c r="T20" s="332"/>
      <c r="U20" s="333"/>
    </row>
    <row r="21" spans="1:21" s="339" customFormat="1" ht="18" customHeight="1" x14ac:dyDescent="0.25">
      <c r="A21" s="334"/>
      <c r="B21" s="335"/>
      <c r="C21" s="335"/>
      <c r="D21" s="335" t="s">
        <v>63</v>
      </c>
      <c r="E21" s="336" t="s">
        <v>30</v>
      </c>
      <c r="F21" s="337">
        <f>+F22+F29</f>
        <v>117975500</v>
      </c>
      <c r="G21" s="338">
        <f>+G22+G29</f>
        <v>0</v>
      </c>
      <c r="H21" s="338">
        <f>+H22+H29</f>
        <v>0</v>
      </c>
      <c r="I21" s="338">
        <f>+G21+H21</f>
        <v>0</v>
      </c>
      <c r="J21" s="338">
        <f>+J22+J29</f>
        <v>4190000</v>
      </c>
      <c r="K21" s="338">
        <f>+K22+K29</f>
        <v>35777500</v>
      </c>
      <c r="L21" s="338">
        <f>+J21+K21</f>
        <v>39967500</v>
      </c>
      <c r="M21" s="338">
        <f>+I21+L21</f>
        <v>39967500</v>
      </c>
      <c r="N21" s="337">
        <f>+F21-M21</f>
        <v>78008000</v>
      </c>
      <c r="P21" s="340">
        <f>H386+H387+K386+K387</f>
        <v>10286209821</v>
      </c>
      <c r="Q21" s="339" t="s">
        <v>334</v>
      </c>
      <c r="S21" s="341"/>
      <c r="T21" s="341"/>
      <c r="U21" s="342"/>
    </row>
    <row r="22" spans="1:21" s="339" customFormat="1" ht="18" customHeight="1" x14ac:dyDescent="0.25">
      <c r="A22" s="334"/>
      <c r="B22" s="335"/>
      <c r="C22" s="335"/>
      <c r="D22" s="335" t="s">
        <v>263</v>
      </c>
      <c r="E22" s="336" t="s">
        <v>264</v>
      </c>
      <c r="F22" s="337">
        <f>+F23</f>
        <v>65295500</v>
      </c>
      <c r="G22" s="338">
        <f>+G23</f>
        <v>0</v>
      </c>
      <c r="H22" s="338">
        <f>+H23</f>
        <v>0</v>
      </c>
      <c r="I22" s="338">
        <f t="shared" ref="I22:I31" si="2">+G22+H22</f>
        <v>0</v>
      </c>
      <c r="J22" s="338">
        <f>+J23</f>
        <v>0</v>
      </c>
      <c r="K22" s="338">
        <f>+K23</f>
        <v>31587500</v>
      </c>
      <c r="L22" s="338">
        <f t="shared" si="1"/>
        <v>31587500</v>
      </c>
      <c r="M22" s="338">
        <f t="shared" ref="M22:M31" si="3">+I22+L22</f>
        <v>31587500</v>
      </c>
      <c r="N22" s="337">
        <f t="shared" ref="N22:N31" si="4">+F22-M22</f>
        <v>33708000</v>
      </c>
      <c r="P22" s="343">
        <f>+H17+K17</f>
        <v>10128559100</v>
      </c>
      <c r="Q22" s="339" t="s">
        <v>333</v>
      </c>
      <c r="S22" s="341"/>
      <c r="T22" s="341"/>
      <c r="U22" s="342"/>
    </row>
    <row r="23" spans="1:21" s="339" customFormat="1" ht="18" customHeight="1" x14ac:dyDescent="0.25">
      <c r="A23" s="334"/>
      <c r="B23" s="335"/>
      <c r="C23" s="335"/>
      <c r="D23" s="335" t="s">
        <v>64</v>
      </c>
      <c r="E23" s="335" t="s">
        <v>65</v>
      </c>
      <c r="F23" s="337">
        <f>SUM(F24:F28)</f>
        <v>65295500</v>
      </c>
      <c r="G23" s="344">
        <f>SUM(G24:G28)</f>
        <v>0</v>
      </c>
      <c r="H23" s="344">
        <f>SUM(H24:H28)</f>
        <v>0</v>
      </c>
      <c r="I23" s="338">
        <f>+G23+H23</f>
        <v>0</v>
      </c>
      <c r="J23" s="338">
        <f>+SUM(J24:J28)</f>
        <v>0</v>
      </c>
      <c r="K23" s="338">
        <f>+SUM(K24:K28)</f>
        <v>31587500</v>
      </c>
      <c r="L23" s="338">
        <f>+J23+K23</f>
        <v>31587500</v>
      </c>
      <c r="M23" s="338">
        <f>+I23+L23</f>
        <v>31587500</v>
      </c>
      <c r="N23" s="337">
        <f>+F23-M23</f>
        <v>33708000</v>
      </c>
      <c r="P23" s="340"/>
      <c r="S23" s="341"/>
      <c r="T23" s="341"/>
      <c r="U23" s="342"/>
    </row>
    <row r="24" spans="1:21" s="339" customFormat="1" ht="18" customHeight="1" x14ac:dyDescent="0.25">
      <c r="A24" s="334"/>
      <c r="B24" s="335"/>
      <c r="C24" s="335"/>
      <c r="D24" s="335" t="s">
        <v>66</v>
      </c>
      <c r="E24" s="335" t="s">
        <v>67</v>
      </c>
      <c r="F24" s="337">
        <v>7554500</v>
      </c>
      <c r="G24" s="338"/>
      <c r="H24" s="338"/>
      <c r="I24" s="338">
        <f t="shared" si="2"/>
        <v>0</v>
      </c>
      <c r="J24" s="338"/>
      <c r="K24" s="338">
        <v>7554500</v>
      </c>
      <c r="L24" s="338">
        <f t="shared" si="1"/>
        <v>7554500</v>
      </c>
      <c r="M24" s="338">
        <f>+I24+L24</f>
        <v>7554500</v>
      </c>
      <c r="N24" s="337">
        <f t="shared" si="4"/>
        <v>0</v>
      </c>
      <c r="P24" s="340"/>
      <c r="S24" s="455">
        <v>7554500</v>
      </c>
      <c r="T24" s="345"/>
      <c r="U24" s="342"/>
    </row>
    <row r="25" spans="1:21" s="339" customFormat="1" ht="18" customHeight="1" x14ac:dyDescent="0.25">
      <c r="A25" s="334"/>
      <c r="B25" s="335"/>
      <c r="C25" s="335"/>
      <c r="D25" s="335" t="s">
        <v>337</v>
      </c>
      <c r="E25" s="335" t="s">
        <v>338</v>
      </c>
      <c r="F25" s="337">
        <v>6408000</v>
      </c>
      <c r="G25" s="338"/>
      <c r="H25" s="338"/>
      <c r="I25" s="338">
        <f>+G25+H25</f>
        <v>0</v>
      </c>
      <c r="J25" s="338"/>
      <c r="K25" s="338">
        <v>6408000</v>
      </c>
      <c r="L25" s="338">
        <f t="shared" si="1"/>
        <v>6408000</v>
      </c>
      <c r="M25" s="338">
        <f t="shared" si="3"/>
        <v>6408000</v>
      </c>
      <c r="N25" s="337">
        <f t="shared" si="4"/>
        <v>0</v>
      </c>
      <c r="P25" s="340"/>
      <c r="S25" s="455">
        <v>6408000</v>
      </c>
      <c r="T25" s="345"/>
      <c r="U25" s="342"/>
    </row>
    <row r="26" spans="1:21" s="339" customFormat="1" ht="18" customHeight="1" x14ac:dyDescent="0.25">
      <c r="A26" s="334"/>
      <c r="B26" s="335"/>
      <c r="C26" s="335"/>
      <c r="D26" s="335" t="s">
        <v>68</v>
      </c>
      <c r="E26" s="335" t="s">
        <v>69</v>
      </c>
      <c r="F26" s="337">
        <v>44208000</v>
      </c>
      <c r="G26" s="338"/>
      <c r="H26" s="338"/>
      <c r="I26" s="338">
        <f t="shared" si="2"/>
        <v>0</v>
      </c>
      <c r="J26" s="338"/>
      <c r="K26" s="338">
        <f>16875000+750000</f>
        <v>17625000</v>
      </c>
      <c r="L26" s="338">
        <f t="shared" si="1"/>
        <v>17625000</v>
      </c>
      <c r="M26" s="338">
        <f t="shared" si="3"/>
        <v>17625000</v>
      </c>
      <c r="N26" s="337">
        <f t="shared" si="4"/>
        <v>26583000</v>
      </c>
      <c r="P26" s="340">
        <f>5440000000+63000000+730000000+7470000000+6242819000+3024665072+31328939+4570000000+12239500000+3046850000+197720000+310724118</f>
        <v>43366607129</v>
      </c>
      <c r="Q26" s="339" t="s">
        <v>428</v>
      </c>
      <c r="S26" s="455">
        <f>750000+16875000</f>
        <v>17625000</v>
      </c>
      <c r="T26" s="345"/>
      <c r="U26" s="342"/>
    </row>
    <row r="27" spans="1:21" s="339" customFormat="1" ht="18" customHeight="1" x14ac:dyDescent="0.25">
      <c r="A27" s="334"/>
      <c r="B27" s="335"/>
      <c r="C27" s="335"/>
      <c r="D27" s="335" t="s">
        <v>339</v>
      </c>
      <c r="E27" s="335" t="s">
        <v>340</v>
      </c>
      <c r="F27" s="337">
        <v>2125000</v>
      </c>
      <c r="G27" s="338"/>
      <c r="H27" s="338"/>
      <c r="I27" s="338"/>
      <c r="J27" s="338"/>
      <c r="K27" s="338"/>
      <c r="L27" s="338">
        <f t="shared" si="1"/>
        <v>0</v>
      </c>
      <c r="M27" s="338">
        <f t="shared" si="3"/>
        <v>0</v>
      </c>
      <c r="N27" s="337">
        <f t="shared" si="4"/>
        <v>2125000</v>
      </c>
      <c r="P27" s="340"/>
      <c r="S27" s="455"/>
      <c r="T27" s="345"/>
      <c r="U27" s="342"/>
    </row>
    <row r="28" spans="1:21" s="339" customFormat="1" ht="18" customHeight="1" x14ac:dyDescent="0.25">
      <c r="A28" s="334"/>
      <c r="B28" s="335"/>
      <c r="C28" s="335"/>
      <c r="D28" s="335" t="s">
        <v>70</v>
      </c>
      <c r="E28" s="335" t="s">
        <v>33</v>
      </c>
      <c r="F28" s="337">
        <v>5000000</v>
      </c>
      <c r="G28" s="338"/>
      <c r="H28" s="338"/>
      <c r="I28" s="338"/>
      <c r="J28" s="338"/>
      <c r="K28" s="338"/>
      <c r="L28" s="338">
        <f t="shared" si="1"/>
        <v>0</v>
      </c>
      <c r="M28" s="338">
        <f t="shared" si="3"/>
        <v>0</v>
      </c>
      <c r="N28" s="337">
        <f t="shared" si="4"/>
        <v>5000000</v>
      </c>
      <c r="P28" s="340"/>
      <c r="S28" s="455"/>
      <c r="T28" s="345"/>
      <c r="U28" s="342"/>
    </row>
    <row r="29" spans="1:21" s="339" customFormat="1" ht="18" customHeight="1" x14ac:dyDescent="0.25">
      <c r="A29" s="334"/>
      <c r="B29" s="335"/>
      <c r="C29" s="335"/>
      <c r="D29" s="335" t="s">
        <v>271</v>
      </c>
      <c r="E29" s="336" t="s">
        <v>272</v>
      </c>
      <c r="F29" s="337">
        <f>+F30</f>
        <v>52680000</v>
      </c>
      <c r="G29" s="338">
        <f>+G30</f>
        <v>0</v>
      </c>
      <c r="H29" s="338">
        <f>+H30</f>
        <v>0</v>
      </c>
      <c r="I29" s="338">
        <f>+G29+H29</f>
        <v>0</v>
      </c>
      <c r="J29" s="338">
        <f>+J30</f>
        <v>4190000</v>
      </c>
      <c r="K29" s="338">
        <f>+K30</f>
        <v>4190000</v>
      </c>
      <c r="L29" s="338">
        <f>+J29+K29</f>
        <v>8380000</v>
      </c>
      <c r="M29" s="338">
        <f>+I29+L29</f>
        <v>8380000</v>
      </c>
      <c r="N29" s="337">
        <f t="shared" si="4"/>
        <v>44300000</v>
      </c>
      <c r="P29" s="340"/>
      <c r="S29" s="456"/>
      <c r="T29" s="341"/>
      <c r="U29" s="342"/>
    </row>
    <row r="30" spans="1:21" s="339" customFormat="1" ht="18" customHeight="1" x14ac:dyDescent="0.25">
      <c r="A30" s="334"/>
      <c r="B30" s="335"/>
      <c r="C30" s="335"/>
      <c r="D30" s="335" t="s">
        <v>81</v>
      </c>
      <c r="E30" s="335" t="s">
        <v>31</v>
      </c>
      <c r="F30" s="337">
        <f>SUM(F31:F31)</f>
        <v>52680000</v>
      </c>
      <c r="G30" s="344">
        <f>+G31</f>
        <v>0</v>
      </c>
      <c r="H30" s="338">
        <f>+SUM(H31:H31)</f>
        <v>0</v>
      </c>
      <c r="I30" s="338">
        <f t="shared" si="2"/>
        <v>0</v>
      </c>
      <c r="J30" s="338">
        <f>+SUM(J31:J31)</f>
        <v>4190000</v>
      </c>
      <c r="K30" s="338">
        <f>+SUM(K31:K31)</f>
        <v>4190000</v>
      </c>
      <c r="L30" s="338">
        <f>+J30+K30</f>
        <v>8380000</v>
      </c>
      <c r="M30" s="338">
        <f t="shared" si="3"/>
        <v>8380000</v>
      </c>
      <c r="N30" s="337">
        <f t="shared" si="4"/>
        <v>44300000</v>
      </c>
      <c r="P30" s="340"/>
      <c r="S30" s="456"/>
      <c r="T30" s="341"/>
      <c r="U30" s="342"/>
    </row>
    <row r="31" spans="1:21" s="339" customFormat="1" ht="18" customHeight="1" x14ac:dyDescent="0.25">
      <c r="A31" s="334"/>
      <c r="B31" s="335"/>
      <c r="C31" s="335"/>
      <c r="D31" s="335" t="s">
        <v>82</v>
      </c>
      <c r="E31" s="335" t="s">
        <v>83</v>
      </c>
      <c r="F31" s="337">
        <v>52680000</v>
      </c>
      <c r="G31" s="338"/>
      <c r="H31" s="338"/>
      <c r="I31" s="338">
        <f t="shared" si="2"/>
        <v>0</v>
      </c>
      <c r="J31" s="338">
        <v>4190000</v>
      </c>
      <c r="K31" s="338">
        <v>4190000</v>
      </c>
      <c r="L31" s="338">
        <f t="shared" ref="L31" si="5">+J31+K31</f>
        <v>8380000</v>
      </c>
      <c r="M31" s="338">
        <f t="shared" si="3"/>
        <v>8380000</v>
      </c>
      <c r="N31" s="337">
        <f t="shared" si="4"/>
        <v>44300000</v>
      </c>
      <c r="P31" s="340"/>
      <c r="S31" s="455">
        <v>4190000</v>
      </c>
      <c r="T31" s="347"/>
      <c r="U31" s="342"/>
    </row>
    <row r="32" spans="1:21" s="319" customFormat="1" ht="32.25" customHeight="1" x14ac:dyDescent="0.25">
      <c r="A32" s="275">
        <v>2</v>
      </c>
      <c r="B32" s="314"/>
      <c r="C32" s="314" t="s">
        <v>79</v>
      </c>
      <c r="D32" s="315"/>
      <c r="E32" s="348" t="s">
        <v>80</v>
      </c>
      <c r="F32" s="317">
        <f t="shared" ref="F32:H33" si="6">+F33</f>
        <v>158294000</v>
      </c>
      <c r="G32" s="318">
        <f t="shared" si="6"/>
        <v>0</v>
      </c>
      <c r="H32" s="318">
        <f t="shared" si="6"/>
        <v>0</v>
      </c>
      <c r="I32" s="318">
        <f>+G32+H32</f>
        <v>0</v>
      </c>
      <c r="J32" s="318">
        <f>+J33</f>
        <v>4300000</v>
      </c>
      <c r="K32" s="318">
        <f>+K33</f>
        <v>4300000</v>
      </c>
      <c r="L32" s="318">
        <f>+J32+K32</f>
        <v>8600000</v>
      </c>
      <c r="M32" s="318">
        <f>+I32+L32</f>
        <v>8600000</v>
      </c>
      <c r="N32" s="317">
        <f>+F32-M32</f>
        <v>149694000</v>
      </c>
      <c r="P32" s="320"/>
      <c r="R32" s="321"/>
      <c r="S32" s="349"/>
      <c r="T32" s="349"/>
      <c r="U32" s="350"/>
    </row>
    <row r="33" spans="1:21" s="329" customFormat="1" ht="18" customHeight="1" x14ac:dyDescent="0.25">
      <c r="A33" s="323"/>
      <c r="B33" s="324"/>
      <c r="C33" s="324"/>
      <c r="D33" s="325" t="s">
        <v>207</v>
      </c>
      <c r="E33" s="326" t="s">
        <v>262</v>
      </c>
      <c r="F33" s="327">
        <f t="shared" si="6"/>
        <v>158294000</v>
      </c>
      <c r="G33" s="328">
        <f t="shared" si="6"/>
        <v>0</v>
      </c>
      <c r="H33" s="328">
        <f t="shared" si="6"/>
        <v>0</v>
      </c>
      <c r="I33" s="328">
        <f t="shared" ref="I33:I37" si="7">+G33+H33</f>
        <v>0</v>
      </c>
      <c r="J33" s="328">
        <f>+J34</f>
        <v>4300000</v>
      </c>
      <c r="K33" s="328">
        <f>+K34</f>
        <v>4300000</v>
      </c>
      <c r="L33" s="328">
        <f t="shared" ref="L33:L35" si="8">+J33+K33</f>
        <v>8600000</v>
      </c>
      <c r="M33" s="328">
        <f>+I33+L33</f>
        <v>8600000</v>
      </c>
      <c r="N33" s="327">
        <f t="shared" ref="N33:N36" si="9">+F33-M33</f>
        <v>149694000</v>
      </c>
      <c r="P33" s="330"/>
      <c r="R33" s="331"/>
      <c r="S33" s="351"/>
      <c r="T33" s="351"/>
      <c r="U33" s="333"/>
    </row>
    <row r="34" spans="1:21" s="339" customFormat="1" ht="18" customHeight="1" x14ac:dyDescent="0.25">
      <c r="A34" s="334"/>
      <c r="B34" s="335"/>
      <c r="C34" s="335"/>
      <c r="D34" s="335" t="s">
        <v>63</v>
      </c>
      <c r="E34" s="336" t="s">
        <v>30</v>
      </c>
      <c r="F34" s="337">
        <f>+F35+F42</f>
        <v>158294000</v>
      </c>
      <c r="G34" s="338">
        <f>+G35+G42</f>
        <v>0</v>
      </c>
      <c r="H34" s="338">
        <f>+H35+H42</f>
        <v>0</v>
      </c>
      <c r="I34" s="338">
        <f t="shared" si="7"/>
        <v>0</v>
      </c>
      <c r="J34" s="338">
        <f>+J35+J42</f>
        <v>4300000</v>
      </c>
      <c r="K34" s="338">
        <f>+K35+K42</f>
        <v>4300000</v>
      </c>
      <c r="L34" s="338">
        <f t="shared" si="8"/>
        <v>8600000</v>
      </c>
      <c r="M34" s="338">
        <f t="shared" ref="M34:M35" si="10">+I34+L34</f>
        <v>8600000</v>
      </c>
      <c r="N34" s="337">
        <f t="shared" si="9"/>
        <v>149694000</v>
      </c>
      <c r="P34" s="340"/>
      <c r="S34" s="347"/>
      <c r="T34" s="347"/>
      <c r="U34" s="342"/>
    </row>
    <row r="35" spans="1:21" s="339" customFormat="1" ht="18" customHeight="1" x14ac:dyDescent="0.25">
      <c r="A35" s="334"/>
      <c r="B35" s="335"/>
      <c r="C35" s="335"/>
      <c r="D35" s="335" t="s">
        <v>263</v>
      </c>
      <c r="E35" s="336" t="s">
        <v>264</v>
      </c>
      <c r="F35" s="337">
        <f t="shared" ref="F35" si="11">+F36</f>
        <v>76694000</v>
      </c>
      <c r="G35" s="338">
        <f>+G36</f>
        <v>0</v>
      </c>
      <c r="H35" s="338">
        <f>+H36</f>
        <v>0</v>
      </c>
      <c r="I35" s="338">
        <f t="shared" si="7"/>
        <v>0</v>
      </c>
      <c r="J35" s="338">
        <f>+J36</f>
        <v>0</v>
      </c>
      <c r="K35" s="338">
        <f>+K36</f>
        <v>0</v>
      </c>
      <c r="L35" s="338">
        <f t="shared" si="8"/>
        <v>0</v>
      </c>
      <c r="M35" s="338">
        <f t="shared" si="10"/>
        <v>0</v>
      </c>
      <c r="N35" s="337">
        <f t="shared" si="9"/>
        <v>76694000</v>
      </c>
      <c r="P35" s="340"/>
      <c r="S35" s="347"/>
      <c r="T35" s="347"/>
      <c r="U35" s="342"/>
    </row>
    <row r="36" spans="1:21" s="339" customFormat="1" ht="18" customHeight="1" x14ac:dyDescent="0.25">
      <c r="A36" s="334"/>
      <c r="B36" s="335"/>
      <c r="C36" s="335"/>
      <c r="D36" s="335" t="s">
        <v>64</v>
      </c>
      <c r="E36" s="335" t="s">
        <v>65</v>
      </c>
      <c r="F36" s="337">
        <f>SUM(F37:F41)</f>
        <v>76694000</v>
      </c>
      <c r="G36" s="344">
        <f>SUM(G37:G41)</f>
        <v>0</v>
      </c>
      <c r="H36" s="344">
        <f>SUM(H37:H41)</f>
        <v>0</v>
      </c>
      <c r="I36" s="338">
        <f t="shared" si="7"/>
        <v>0</v>
      </c>
      <c r="J36" s="338">
        <f>SUM(J37:J41)</f>
        <v>0</v>
      </c>
      <c r="K36" s="338">
        <f>SUM(K37:K41)</f>
        <v>0</v>
      </c>
      <c r="L36" s="338">
        <f>+J36+K36</f>
        <v>0</v>
      </c>
      <c r="M36" s="338">
        <f>+I36+L36</f>
        <v>0</v>
      </c>
      <c r="N36" s="337">
        <f t="shared" si="9"/>
        <v>76694000</v>
      </c>
      <c r="P36" s="340"/>
      <c r="S36" s="347"/>
      <c r="T36" s="347"/>
      <c r="U36" s="342"/>
    </row>
    <row r="37" spans="1:21" s="339" customFormat="1" ht="18" customHeight="1" x14ac:dyDescent="0.25">
      <c r="A37" s="334"/>
      <c r="B37" s="352"/>
      <c r="C37" s="335"/>
      <c r="D37" s="335" t="s">
        <v>66</v>
      </c>
      <c r="E37" s="335" t="s">
        <v>67</v>
      </c>
      <c r="F37" s="337">
        <v>8160000</v>
      </c>
      <c r="G37" s="338"/>
      <c r="H37" s="338"/>
      <c r="I37" s="338">
        <f t="shared" si="7"/>
        <v>0</v>
      </c>
      <c r="J37" s="338"/>
      <c r="K37" s="338"/>
      <c r="L37" s="338">
        <f t="shared" ref="L37" si="12">+J37+K37</f>
        <v>0</v>
      </c>
      <c r="M37" s="338">
        <f t="shared" ref="M37" si="13">+I37+L37</f>
        <v>0</v>
      </c>
      <c r="N37" s="337">
        <f>+F37-M37</f>
        <v>8160000</v>
      </c>
      <c r="P37" s="340"/>
      <c r="S37" s="346"/>
      <c r="T37" s="347"/>
      <c r="U37" s="342"/>
    </row>
    <row r="38" spans="1:21" s="339" customFormat="1" ht="18" customHeight="1" x14ac:dyDescent="0.25">
      <c r="A38" s="334"/>
      <c r="B38" s="352"/>
      <c r="C38" s="335"/>
      <c r="D38" s="335" t="s">
        <v>337</v>
      </c>
      <c r="E38" s="335" t="s">
        <v>338</v>
      </c>
      <c r="F38" s="337">
        <v>5112000</v>
      </c>
      <c r="G38" s="338"/>
      <c r="H38" s="338"/>
      <c r="I38" s="338"/>
      <c r="J38" s="338"/>
      <c r="K38" s="338"/>
      <c r="L38" s="338">
        <f>+J38+K38</f>
        <v>0</v>
      </c>
      <c r="M38" s="338">
        <f>+I38+L38</f>
        <v>0</v>
      </c>
      <c r="N38" s="337">
        <f>+F38-M38</f>
        <v>5112000</v>
      </c>
      <c r="P38" s="340"/>
      <c r="S38" s="346"/>
      <c r="T38" s="347"/>
      <c r="U38" s="342"/>
    </row>
    <row r="39" spans="1:21" s="339" customFormat="1" ht="18" customHeight="1" x14ac:dyDescent="0.25">
      <c r="A39" s="334"/>
      <c r="B39" s="352"/>
      <c r="C39" s="335"/>
      <c r="D39" s="335" t="s">
        <v>68</v>
      </c>
      <c r="E39" s="335" t="s">
        <v>69</v>
      </c>
      <c r="F39" s="337">
        <v>36414000</v>
      </c>
      <c r="G39" s="338"/>
      <c r="H39" s="338"/>
      <c r="I39" s="338"/>
      <c r="J39" s="338"/>
      <c r="K39" s="338"/>
      <c r="L39" s="338">
        <f t="shared" ref="L39:L41" si="14">+J39+K39</f>
        <v>0</v>
      </c>
      <c r="M39" s="338">
        <f t="shared" ref="M39:M41" si="15">+I39+L39</f>
        <v>0</v>
      </c>
      <c r="N39" s="337">
        <f t="shared" ref="N39:N45" si="16">+F39-M39</f>
        <v>36414000</v>
      </c>
      <c r="P39" s="340"/>
      <c r="S39" s="346"/>
      <c r="T39" s="347"/>
      <c r="U39" s="342"/>
    </row>
    <row r="40" spans="1:21" s="339" customFormat="1" ht="18" customHeight="1" x14ac:dyDescent="0.25">
      <c r="A40" s="334"/>
      <c r="B40" s="352"/>
      <c r="C40" s="335"/>
      <c r="D40" s="335" t="s">
        <v>339</v>
      </c>
      <c r="E40" s="335" t="s">
        <v>340</v>
      </c>
      <c r="F40" s="337">
        <v>12008000</v>
      </c>
      <c r="G40" s="338"/>
      <c r="H40" s="338"/>
      <c r="I40" s="338"/>
      <c r="J40" s="338"/>
      <c r="K40" s="338"/>
      <c r="L40" s="338">
        <f t="shared" si="14"/>
        <v>0</v>
      </c>
      <c r="M40" s="338">
        <f t="shared" si="15"/>
        <v>0</v>
      </c>
      <c r="N40" s="337">
        <f t="shared" si="16"/>
        <v>12008000</v>
      </c>
      <c r="P40" s="340"/>
      <c r="S40" s="346"/>
      <c r="T40" s="347"/>
      <c r="U40" s="342"/>
    </row>
    <row r="41" spans="1:21" s="339" customFormat="1" ht="18" customHeight="1" x14ac:dyDescent="0.25">
      <c r="A41" s="334"/>
      <c r="B41" s="352"/>
      <c r="C41" s="335"/>
      <c r="D41" s="335" t="s">
        <v>70</v>
      </c>
      <c r="E41" s="335" t="s">
        <v>33</v>
      </c>
      <c r="F41" s="337">
        <v>15000000</v>
      </c>
      <c r="G41" s="338"/>
      <c r="H41" s="338"/>
      <c r="I41" s="338">
        <f>+G41+H41</f>
        <v>0</v>
      </c>
      <c r="J41" s="338"/>
      <c r="K41" s="338"/>
      <c r="L41" s="338">
        <f t="shared" si="14"/>
        <v>0</v>
      </c>
      <c r="M41" s="338">
        <f t="shared" si="15"/>
        <v>0</v>
      </c>
      <c r="N41" s="337">
        <f t="shared" si="16"/>
        <v>15000000</v>
      </c>
      <c r="P41" s="340"/>
      <c r="S41" s="346"/>
      <c r="T41" s="347"/>
      <c r="U41" s="342"/>
    </row>
    <row r="42" spans="1:21" s="339" customFormat="1" ht="18" customHeight="1" x14ac:dyDescent="0.25">
      <c r="A42" s="334"/>
      <c r="B42" s="335"/>
      <c r="C42" s="335"/>
      <c r="D42" s="335" t="s">
        <v>271</v>
      </c>
      <c r="E42" s="336" t="s">
        <v>272</v>
      </c>
      <c r="F42" s="337">
        <f>+F43</f>
        <v>81600000</v>
      </c>
      <c r="G42" s="338">
        <f>+G43</f>
        <v>0</v>
      </c>
      <c r="H42" s="338">
        <f>+H43</f>
        <v>0</v>
      </c>
      <c r="I42" s="338">
        <f t="shared" ref="I42:I45" si="17">+G42+H42</f>
        <v>0</v>
      </c>
      <c r="J42" s="338">
        <f>+J43</f>
        <v>4300000</v>
      </c>
      <c r="K42" s="338">
        <f>+K43</f>
        <v>4300000</v>
      </c>
      <c r="L42" s="338">
        <f>+J42+K42</f>
        <v>8600000</v>
      </c>
      <c r="M42" s="338">
        <f>+I42+L42</f>
        <v>8600000</v>
      </c>
      <c r="N42" s="337">
        <f t="shared" si="16"/>
        <v>73000000</v>
      </c>
      <c r="P42" s="340"/>
      <c r="S42" s="346"/>
      <c r="T42" s="347"/>
      <c r="U42" s="342"/>
    </row>
    <row r="43" spans="1:21" s="339" customFormat="1" ht="18" customHeight="1" x14ac:dyDescent="0.25">
      <c r="A43" s="334"/>
      <c r="B43" s="335"/>
      <c r="C43" s="335"/>
      <c r="D43" s="335" t="s">
        <v>81</v>
      </c>
      <c r="E43" s="335" t="s">
        <v>31</v>
      </c>
      <c r="F43" s="337">
        <f>SUM(F44:F45)</f>
        <v>81600000</v>
      </c>
      <c r="G43" s="344">
        <f>+G45</f>
        <v>0</v>
      </c>
      <c r="H43" s="338">
        <f>+SUM(H45:H45)</f>
        <v>0</v>
      </c>
      <c r="I43" s="338">
        <f t="shared" si="17"/>
        <v>0</v>
      </c>
      <c r="J43" s="338">
        <f>+SUM(J45:J45)</f>
        <v>4300000</v>
      </c>
      <c r="K43" s="338">
        <f>+SUM(K45:K45)</f>
        <v>4300000</v>
      </c>
      <c r="L43" s="338">
        <f t="shared" ref="L43:L45" si="18">+J43+K43</f>
        <v>8600000</v>
      </c>
      <c r="M43" s="338">
        <f t="shared" ref="M43:M45" si="19">+I43+L43</f>
        <v>8600000</v>
      </c>
      <c r="N43" s="337">
        <f t="shared" si="16"/>
        <v>73000000</v>
      </c>
      <c r="P43" s="340"/>
      <c r="S43" s="346"/>
      <c r="T43" s="347"/>
      <c r="U43" s="342"/>
    </row>
    <row r="44" spans="1:21" s="339" customFormat="1" ht="18" customHeight="1" x14ac:dyDescent="0.25">
      <c r="A44" s="334"/>
      <c r="B44" s="335"/>
      <c r="C44" s="335"/>
      <c r="D44" s="335" t="s">
        <v>451</v>
      </c>
      <c r="E44" s="335" t="s">
        <v>452</v>
      </c>
      <c r="F44" s="337">
        <v>30000000</v>
      </c>
      <c r="G44" s="338"/>
      <c r="H44" s="338"/>
      <c r="I44" s="338">
        <f t="shared" si="17"/>
        <v>0</v>
      </c>
      <c r="J44" s="338"/>
      <c r="K44" s="338"/>
      <c r="L44" s="338">
        <f t="shared" si="18"/>
        <v>0</v>
      </c>
      <c r="M44" s="338">
        <f t="shared" si="19"/>
        <v>0</v>
      </c>
      <c r="N44" s="337">
        <f t="shared" si="16"/>
        <v>30000000</v>
      </c>
      <c r="P44" s="340"/>
      <c r="S44" s="346"/>
      <c r="T44" s="347"/>
      <c r="U44" s="342"/>
    </row>
    <row r="45" spans="1:21" s="339" customFormat="1" ht="18" customHeight="1" x14ac:dyDescent="0.25">
      <c r="A45" s="334"/>
      <c r="B45" s="335"/>
      <c r="C45" s="335"/>
      <c r="D45" s="335" t="s">
        <v>82</v>
      </c>
      <c r="E45" s="335" t="s">
        <v>83</v>
      </c>
      <c r="F45" s="337">
        <v>51600000</v>
      </c>
      <c r="G45" s="338"/>
      <c r="H45" s="338"/>
      <c r="I45" s="338">
        <f t="shared" si="17"/>
        <v>0</v>
      </c>
      <c r="J45" s="338">
        <v>4300000</v>
      </c>
      <c r="K45" s="338">
        <v>4300000</v>
      </c>
      <c r="L45" s="338">
        <f t="shared" si="18"/>
        <v>8600000</v>
      </c>
      <c r="M45" s="338">
        <f t="shared" si="19"/>
        <v>8600000</v>
      </c>
      <c r="N45" s="337">
        <f t="shared" si="16"/>
        <v>43000000</v>
      </c>
      <c r="P45" s="340"/>
      <c r="S45" s="455">
        <v>4300000</v>
      </c>
      <c r="T45" s="347"/>
      <c r="U45" s="342"/>
    </row>
    <row r="46" spans="1:21" s="153" customFormat="1" ht="18" customHeight="1" x14ac:dyDescent="0.25">
      <c r="A46" s="353"/>
      <c r="B46" s="354"/>
      <c r="C46" s="354"/>
      <c r="D46" s="355"/>
      <c r="E46" s="355"/>
      <c r="F46" s="356"/>
      <c r="G46" s="357"/>
      <c r="H46" s="357"/>
      <c r="I46" s="357"/>
      <c r="J46" s="357"/>
      <c r="K46" s="357"/>
      <c r="L46" s="357"/>
      <c r="M46" s="357"/>
      <c r="N46" s="356"/>
      <c r="P46" s="200"/>
      <c r="S46" s="358"/>
      <c r="T46" s="221"/>
      <c r="U46" s="254"/>
    </row>
    <row r="47" spans="1:21" s="319" customFormat="1" ht="18" customHeight="1" x14ac:dyDescent="0.25">
      <c r="A47" s="276"/>
      <c r="B47" s="305" t="s">
        <v>407</v>
      </c>
      <c r="C47" s="305"/>
      <c r="D47" s="305"/>
      <c r="E47" s="305" t="s">
        <v>408</v>
      </c>
      <c r="F47" s="359">
        <f>+F48+F113</f>
        <v>27970445142</v>
      </c>
      <c r="G47" s="360">
        <f>+G48</f>
        <v>592026147</v>
      </c>
      <c r="H47" s="360">
        <f>+H48+H113</f>
        <v>322803781</v>
      </c>
      <c r="I47" s="360">
        <f>+G47+H47</f>
        <v>914829928</v>
      </c>
      <c r="J47" s="360">
        <f>+J114</f>
        <v>0</v>
      </c>
      <c r="K47" s="360">
        <f>+K114</f>
        <v>2990625</v>
      </c>
      <c r="L47" s="360">
        <f>+J47+K47</f>
        <v>2990625</v>
      </c>
      <c r="M47" s="360">
        <f>+I47+L47</f>
        <v>917820553</v>
      </c>
      <c r="N47" s="359">
        <f>+F47-M47</f>
        <v>27052624589</v>
      </c>
      <c r="P47" s="361"/>
      <c r="R47" s="321"/>
      <c r="S47" s="362"/>
      <c r="T47" s="362"/>
      <c r="U47" s="350"/>
    </row>
    <row r="48" spans="1:21" s="319" customFormat="1" ht="18" customHeight="1" x14ac:dyDescent="0.25">
      <c r="A48" s="276">
        <v>3</v>
      </c>
      <c r="B48" s="305"/>
      <c r="C48" s="305" t="s">
        <v>156</v>
      </c>
      <c r="D48" s="363"/>
      <c r="E48" s="364" t="s">
        <v>157</v>
      </c>
      <c r="F48" s="307">
        <f>+F49</f>
        <v>27939292142</v>
      </c>
      <c r="G48" s="308">
        <f>+G49</f>
        <v>592026147</v>
      </c>
      <c r="H48" s="308">
        <f>+H49</f>
        <v>322803781</v>
      </c>
      <c r="I48" s="308">
        <f>+G48+H48</f>
        <v>914829928</v>
      </c>
      <c r="J48" s="308">
        <f>+J49</f>
        <v>0</v>
      </c>
      <c r="K48" s="308">
        <f>+K49</f>
        <v>0</v>
      </c>
      <c r="L48" s="308">
        <f>+J48+K48</f>
        <v>0</v>
      </c>
      <c r="M48" s="308">
        <f>+I48+L48</f>
        <v>914829928</v>
      </c>
      <c r="N48" s="307">
        <f>+F48-M48</f>
        <v>27024462214</v>
      </c>
      <c r="P48" s="320"/>
      <c r="R48" s="321"/>
      <c r="S48" s="349"/>
      <c r="T48" s="349"/>
      <c r="U48" s="350"/>
    </row>
    <row r="49" spans="1:21" s="329" customFormat="1" ht="18" customHeight="1" x14ac:dyDescent="0.25">
      <c r="A49" s="323"/>
      <c r="B49" s="324"/>
      <c r="C49" s="324"/>
      <c r="D49" s="325" t="s">
        <v>207</v>
      </c>
      <c r="E49" s="326" t="s">
        <v>262</v>
      </c>
      <c r="F49" s="327">
        <f t="shared" ref="F49" si="20">+F50</f>
        <v>27939292142</v>
      </c>
      <c r="G49" s="328">
        <f>+G50</f>
        <v>592026147</v>
      </c>
      <c r="H49" s="328">
        <f>+H50</f>
        <v>322803781</v>
      </c>
      <c r="I49" s="328">
        <f t="shared" ref="I49:I50" si="21">+G49+H49</f>
        <v>914829928</v>
      </c>
      <c r="J49" s="328"/>
      <c r="K49" s="328">
        <f>+K50</f>
        <v>0</v>
      </c>
      <c r="L49" s="328">
        <f t="shared" ref="L49:L112" si="22">+J49+K49</f>
        <v>0</v>
      </c>
      <c r="M49" s="328">
        <f t="shared" ref="M49:M72" si="23">+I49+L49</f>
        <v>914829928</v>
      </c>
      <c r="N49" s="327">
        <f t="shared" ref="N49:N54" si="24">+F49-M49</f>
        <v>27024462214</v>
      </c>
      <c r="P49" s="330"/>
      <c r="R49" s="331"/>
      <c r="S49" s="351"/>
      <c r="T49" s="351"/>
      <c r="U49" s="333"/>
    </row>
    <row r="50" spans="1:21" s="339" customFormat="1" ht="18" customHeight="1" x14ac:dyDescent="0.25">
      <c r="A50" s="334"/>
      <c r="B50" s="335"/>
      <c r="C50" s="335"/>
      <c r="D50" s="365" t="s">
        <v>158</v>
      </c>
      <c r="E50" s="335" t="s">
        <v>159</v>
      </c>
      <c r="F50" s="337">
        <f>F51+F76+F83+F101</f>
        <v>27939292142</v>
      </c>
      <c r="G50" s="344">
        <f>+G51+G83+G101+G76</f>
        <v>592026147</v>
      </c>
      <c r="H50" s="344">
        <f>+H51+H83+H101+H76</f>
        <v>322803781</v>
      </c>
      <c r="I50" s="344">
        <f t="shared" si="21"/>
        <v>914829928</v>
      </c>
      <c r="J50" s="344"/>
      <c r="K50" s="344">
        <f>+K51+K76+K83+K101</f>
        <v>0</v>
      </c>
      <c r="L50" s="344">
        <f t="shared" si="22"/>
        <v>0</v>
      </c>
      <c r="M50" s="344">
        <f t="shared" si="23"/>
        <v>914829928</v>
      </c>
      <c r="N50" s="337">
        <f t="shared" si="24"/>
        <v>27024462214</v>
      </c>
      <c r="P50" s="340"/>
      <c r="S50" s="347"/>
      <c r="T50" s="347"/>
      <c r="U50" s="342"/>
    </row>
    <row r="51" spans="1:21" s="339" customFormat="1" ht="18" customHeight="1" x14ac:dyDescent="0.25">
      <c r="A51" s="334"/>
      <c r="B51" s="335"/>
      <c r="C51" s="335"/>
      <c r="D51" s="365" t="s">
        <v>208</v>
      </c>
      <c r="E51" s="335" t="s">
        <v>209</v>
      </c>
      <c r="F51" s="337">
        <f>F52+F54+F56+F58+F60+F62+F64+F66+F68+F70+F72+F74</f>
        <v>15098272502</v>
      </c>
      <c r="G51" s="344">
        <f>+G52+G54+G56+G58+G60+G62+G64+G66+G68+G70+G72+G74</f>
        <v>321607359</v>
      </c>
      <c r="H51" s="344">
        <f>+H52+H54+H56+H58+H60+H62+H64+H66+H68+H70+H72+H74</f>
        <v>322803781</v>
      </c>
      <c r="I51" s="344">
        <f>+G51+H51</f>
        <v>644411140</v>
      </c>
      <c r="J51" s="344"/>
      <c r="K51" s="344">
        <f>+K52+K54+K56+K58+K60+K62+K64+K66+K68+K70+K72+K74</f>
        <v>0</v>
      </c>
      <c r="L51" s="344">
        <f t="shared" si="22"/>
        <v>0</v>
      </c>
      <c r="M51" s="344">
        <f t="shared" si="23"/>
        <v>644411140</v>
      </c>
      <c r="N51" s="337">
        <f t="shared" si="24"/>
        <v>14453861362</v>
      </c>
      <c r="P51" s="340"/>
      <c r="S51" s="347"/>
      <c r="T51" s="347"/>
      <c r="U51" s="342"/>
    </row>
    <row r="52" spans="1:21" s="339" customFormat="1" ht="18" customHeight="1" x14ac:dyDescent="0.25">
      <c r="A52" s="334"/>
      <c r="B52" s="335"/>
      <c r="C52" s="335"/>
      <c r="D52" s="365" t="s">
        <v>160</v>
      </c>
      <c r="E52" s="335" t="s">
        <v>162</v>
      </c>
      <c r="F52" s="337">
        <f>+F53</f>
        <v>13525507924</v>
      </c>
      <c r="G52" s="344">
        <f>+G53</f>
        <v>241934700</v>
      </c>
      <c r="H52" s="344">
        <f>+H53</f>
        <v>242954900</v>
      </c>
      <c r="I52" s="344">
        <f t="shared" ref="I52" si="25">+G52+H52</f>
        <v>484889600</v>
      </c>
      <c r="J52" s="344"/>
      <c r="K52" s="344">
        <f>+K53</f>
        <v>0</v>
      </c>
      <c r="L52" s="344">
        <f>+J52+K52</f>
        <v>0</v>
      </c>
      <c r="M52" s="344">
        <f t="shared" si="23"/>
        <v>484889600</v>
      </c>
      <c r="N52" s="337">
        <f t="shared" si="24"/>
        <v>13040618324</v>
      </c>
      <c r="P52" s="340"/>
      <c r="S52" s="347"/>
      <c r="T52" s="347"/>
      <c r="U52" s="342"/>
    </row>
    <row r="53" spans="1:21" s="339" customFormat="1" ht="18" customHeight="1" x14ac:dyDescent="0.25">
      <c r="A53" s="334"/>
      <c r="B53" s="335"/>
      <c r="C53" s="335"/>
      <c r="D53" s="365" t="s">
        <v>161</v>
      </c>
      <c r="E53" s="335" t="s">
        <v>163</v>
      </c>
      <c r="F53" s="337">
        <v>13525507924</v>
      </c>
      <c r="G53" s="344">
        <v>241934700</v>
      </c>
      <c r="H53" s="344">
        <v>242954900</v>
      </c>
      <c r="I53" s="344">
        <f>+G53+H53</f>
        <v>484889600</v>
      </c>
      <c r="J53" s="344"/>
      <c r="K53" s="344"/>
      <c r="L53" s="344">
        <f t="shared" si="22"/>
        <v>0</v>
      </c>
      <c r="M53" s="344">
        <f t="shared" si="23"/>
        <v>484889600</v>
      </c>
      <c r="N53" s="337">
        <f t="shared" si="24"/>
        <v>13040618324</v>
      </c>
      <c r="P53" s="340"/>
      <c r="S53" s="347"/>
      <c r="T53" s="346">
        <v>242954900</v>
      </c>
      <c r="U53" s="342"/>
    </row>
    <row r="54" spans="1:21" s="339" customFormat="1" ht="18" customHeight="1" x14ac:dyDescent="0.25">
      <c r="A54" s="334"/>
      <c r="B54" s="335"/>
      <c r="C54" s="335"/>
      <c r="D54" s="365" t="s">
        <v>164</v>
      </c>
      <c r="E54" s="335" t="s">
        <v>166</v>
      </c>
      <c r="F54" s="337">
        <f>+F55</f>
        <v>401878814</v>
      </c>
      <c r="G54" s="344">
        <f>+G55</f>
        <v>24447544</v>
      </c>
      <c r="H54" s="344">
        <f>+H55</f>
        <v>24563352</v>
      </c>
      <c r="I54" s="344">
        <f t="shared" ref="I54:I73" si="26">+G54+H54</f>
        <v>49010896</v>
      </c>
      <c r="J54" s="344"/>
      <c r="K54" s="344">
        <f>+K55</f>
        <v>0</v>
      </c>
      <c r="L54" s="344">
        <f>+J54+K54</f>
        <v>0</v>
      </c>
      <c r="M54" s="344">
        <f t="shared" si="23"/>
        <v>49010896</v>
      </c>
      <c r="N54" s="337">
        <f t="shared" si="24"/>
        <v>352867918</v>
      </c>
      <c r="P54" s="340"/>
      <c r="S54" s="347"/>
      <c r="T54" s="346"/>
      <c r="U54" s="342"/>
    </row>
    <row r="55" spans="1:21" s="339" customFormat="1" ht="18" customHeight="1" x14ac:dyDescent="0.25">
      <c r="A55" s="334"/>
      <c r="B55" s="335"/>
      <c r="C55" s="335"/>
      <c r="D55" s="365" t="s">
        <v>165</v>
      </c>
      <c r="E55" s="335" t="s">
        <v>167</v>
      </c>
      <c r="F55" s="337">
        <v>401878814</v>
      </c>
      <c r="G55" s="344">
        <v>24447544</v>
      </c>
      <c r="H55" s="344">
        <v>24563352</v>
      </c>
      <c r="I55" s="344">
        <f t="shared" si="26"/>
        <v>49010896</v>
      </c>
      <c r="J55" s="344"/>
      <c r="K55" s="344"/>
      <c r="L55" s="344">
        <f t="shared" si="22"/>
        <v>0</v>
      </c>
      <c r="M55" s="344">
        <f t="shared" si="23"/>
        <v>49010896</v>
      </c>
      <c r="N55" s="337">
        <f>+F55-M55</f>
        <v>352867918</v>
      </c>
      <c r="P55" s="340"/>
      <c r="S55" s="347"/>
      <c r="T55" s="346">
        <v>24563352</v>
      </c>
      <c r="U55" s="342"/>
    </row>
    <row r="56" spans="1:21" s="339" customFormat="1" ht="18" customHeight="1" x14ac:dyDescent="0.25">
      <c r="A56" s="334"/>
      <c r="B56" s="335"/>
      <c r="C56" s="335"/>
      <c r="D56" s="365" t="s">
        <v>168</v>
      </c>
      <c r="E56" s="335" t="s">
        <v>170</v>
      </c>
      <c r="F56" s="337">
        <f>+F57</f>
        <v>290052000</v>
      </c>
      <c r="G56" s="344">
        <f>+G57</f>
        <v>17805000</v>
      </c>
      <c r="H56" s="344">
        <f>+H57</f>
        <v>17805000</v>
      </c>
      <c r="I56" s="344">
        <f t="shared" si="26"/>
        <v>35610000</v>
      </c>
      <c r="J56" s="344"/>
      <c r="K56" s="344">
        <f>+K57</f>
        <v>0</v>
      </c>
      <c r="L56" s="344">
        <f t="shared" si="22"/>
        <v>0</v>
      </c>
      <c r="M56" s="344">
        <f t="shared" si="23"/>
        <v>35610000</v>
      </c>
      <c r="N56" s="337">
        <f t="shared" ref="N56:N58" si="27">+F56-M56</f>
        <v>254442000</v>
      </c>
      <c r="P56" s="340"/>
      <c r="S56" s="347"/>
      <c r="T56" s="346"/>
      <c r="U56" s="342"/>
    </row>
    <row r="57" spans="1:21" s="339" customFormat="1" ht="18" customHeight="1" x14ac:dyDescent="0.25">
      <c r="A57" s="334"/>
      <c r="B57" s="335"/>
      <c r="C57" s="335"/>
      <c r="D57" s="365" t="s">
        <v>169</v>
      </c>
      <c r="E57" s="335" t="s">
        <v>171</v>
      </c>
      <c r="F57" s="337">
        <v>290052000</v>
      </c>
      <c r="G57" s="344">
        <v>17805000</v>
      </c>
      <c r="H57" s="344">
        <v>17805000</v>
      </c>
      <c r="I57" s="344">
        <f t="shared" si="26"/>
        <v>35610000</v>
      </c>
      <c r="J57" s="344"/>
      <c r="K57" s="344"/>
      <c r="L57" s="344">
        <f t="shared" si="22"/>
        <v>0</v>
      </c>
      <c r="M57" s="344">
        <f t="shared" si="23"/>
        <v>35610000</v>
      </c>
      <c r="N57" s="337">
        <f t="shared" si="27"/>
        <v>254442000</v>
      </c>
      <c r="P57" s="340"/>
      <c r="S57" s="347"/>
      <c r="T57" s="346">
        <v>17805000</v>
      </c>
      <c r="U57" s="342"/>
    </row>
    <row r="58" spans="1:21" s="339" customFormat="1" ht="18" customHeight="1" x14ac:dyDescent="0.25">
      <c r="A58" s="334"/>
      <c r="B58" s="335"/>
      <c r="C58" s="335"/>
      <c r="D58" s="365" t="s">
        <v>172</v>
      </c>
      <c r="E58" s="335" t="s">
        <v>174</v>
      </c>
      <c r="F58" s="337">
        <f>+F59</f>
        <v>62496000</v>
      </c>
      <c r="G58" s="344">
        <f>+G59</f>
        <v>960000</v>
      </c>
      <c r="H58" s="344">
        <f>+H59</f>
        <v>960000</v>
      </c>
      <c r="I58" s="344">
        <f t="shared" si="26"/>
        <v>1920000</v>
      </c>
      <c r="J58" s="344"/>
      <c r="K58" s="344">
        <f>+K59</f>
        <v>0</v>
      </c>
      <c r="L58" s="344">
        <f t="shared" si="22"/>
        <v>0</v>
      </c>
      <c r="M58" s="344">
        <f t="shared" si="23"/>
        <v>1920000</v>
      </c>
      <c r="N58" s="337">
        <f t="shared" si="27"/>
        <v>60576000</v>
      </c>
      <c r="P58" s="340"/>
      <c r="S58" s="347"/>
      <c r="T58" s="346"/>
      <c r="U58" s="342"/>
    </row>
    <row r="59" spans="1:21" s="339" customFormat="1" ht="18" customHeight="1" x14ac:dyDescent="0.25">
      <c r="A59" s="334"/>
      <c r="B59" s="335"/>
      <c r="C59" s="335"/>
      <c r="D59" s="365" t="s">
        <v>173</v>
      </c>
      <c r="E59" s="335" t="s">
        <v>175</v>
      </c>
      <c r="F59" s="337">
        <v>62496000</v>
      </c>
      <c r="G59" s="344">
        <v>960000</v>
      </c>
      <c r="H59" s="344">
        <v>960000</v>
      </c>
      <c r="I59" s="344">
        <f t="shared" si="26"/>
        <v>1920000</v>
      </c>
      <c r="J59" s="344"/>
      <c r="K59" s="344"/>
      <c r="L59" s="344">
        <f t="shared" si="22"/>
        <v>0</v>
      </c>
      <c r="M59" s="344">
        <f t="shared" si="23"/>
        <v>1920000</v>
      </c>
      <c r="N59" s="337">
        <f>+F59-M59</f>
        <v>60576000</v>
      </c>
      <c r="P59" s="340"/>
      <c r="S59" s="347"/>
      <c r="T59" s="346">
        <v>960000</v>
      </c>
      <c r="U59" s="342"/>
    </row>
    <row r="60" spans="1:21" s="339" customFormat="1" ht="18" customHeight="1" x14ac:dyDescent="0.25">
      <c r="A60" s="334"/>
      <c r="B60" s="335"/>
      <c r="C60" s="335"/>
      <c r="D60" s="365" t="s">
        <v>176</v>
      </c>
      <c r="E60" s="335" t="s">
        <v>178</v>
      </c>
      <c r="F60" s="337">
        <f>+F61</f>
        <v>126672000</v>
      </c>
      <c r="G60" s="344">
        <f>+G61</f>
        <v>7730000</v>
      </c>
      <c r="H60" s="344">
        <f>+H61</f>
        <v>7735000</v>
      </c>
      <c r="I60" s="344">
        <f t="shared" si="26"/>
        <v>15465000</v>
      </c>
      <c r="J60" s="344"/>
      <c r="K60" s="344">
        <f>+K61</f>
        <v>0</v>
      </c>
      <c r="L60" s="344">
        <f t="shared" si="22"/>
        <v>0</v>
      </c>
      <c r="M60" s="344">
        <f t="shared" si="23"/>
        <v>15465000</v>
      </c>
      <c r="N60" s="337">
        <f t="shared" ref="N60:N72" si="28">+F60-M60</f>
        <v>111207000</v>
      </c>
      <c r="P60" s="340"/>
      <c r="S60" s="347"/>
      <c r="T60" s="346"/>
      <c r="U60" s="342"/>
    </row>
    <row r="61" spans="1:21" s="339" customFormat="1" ht="18" customHeight="1" x14ac:dyDescent="0.25">
      <c r="A61" s="334"/>
      <c r="B61" s="335"/>
      <c r="C61" s="335"/>
      <c r="D61" s="365" t="s">
        <v>177</v>
      </c>
      <c r="E61" s="335" t="s">
        <v>179</v>
      </c>
      <c r="F61" s="337">
        <v>126672000</v>
      </c>
      <c r="G61" s="344">
        <v>7730000</v>
      </c>
      <c r="H61" s="344">
        <v>7735000</v>
      </c>
      <c r="I61" s="344">
        <f t="shared" si="26"/>
        <v>15465000</v>
      </c>
      <c r="J61" s="344"/>
      <c r="K61" s="344"/>
      <c r="L61" s="344">
        <f t="shared" si="22"/>
        <v>0</v>
      </c>
      <c r="M61" s="344">
        <f t="shared" si="23"/>
        <v>15465000</v>
      </c>
      <c r="N61" s="337">
        <f t="shared" si="28"/>
        <v>111207000</v>
      </c>
      <c r="P61" s="340"/>
      <c r="S61" s="347"/>
      <c r="T61" s="346">
        <v>7735000</v>
      </c>
      <c r="U61" s="342"/>
    </row>
    <row r="62" spans="1:21" s="339" customFormat="1" ht="18" customHeight="1" x14ac:dyDescent="0.25">
      <c r="A62" s="334"/>
      <c r="B62" s="335"/>
      <c r="C62" s="335"/>
      <c r="D62" s="365" t="s">
        <v>180</v>
      </c>
      <c r="E62" s="335" t="s">
        <v>182</v>
      </c>
      <c r="F62" s="337">
        <f>+F63</f>
        <v>237247920</v>
      </c>
      <c r="G62" s="344">
        <f>+G63</f>
        <v>14411580</v>
      </c>
      <c r="H62" s="344">
        <f>+H63</f>
        <v>14411580</v>
      </c>
      <c r="I62" s="344">
        <f t="shared" si="26"/>
        <v>28823160</v>
      </c>
      <c r="J62" s="344"/>
      <c r="K62" s="344">
        <f>+K63</f>
        <v>0</v>
      </c>
      <c r="L62" s="344">
        <f t="shared" si="22"/>
        <v>0</v>
      </c>
      <c r="M62" s="344">
        <f t="shared" si="23"/>
        <v>28823160</v>
      </c>
      <c r="N62" s="337">
        <f t="shared" si="28"/>
        <v>208424760</v>
      </c>
      <c r="P62" s="340"/>
      <c r="S62" s="347"/>
      <c r="T62" s="347"/>
      <c r="U62" s="342"/>
    </row>
    <row r="63" spans="1:21" s="339" customFormat="1" ht="18" customHeight="1" x14ac:dyDescent="0.25">
      <c r="A63" s="334"/>
      <c r="B63" s="335"/>
      <c r="C63" s="335"/>
      <c r="D63" s="365" t="s">
        <v>181</v>
      </c>
      <c r="E63" s="335" t="s">
        <v>183</v>
      </c>
      <c r="F63" s="337">
        <v>237247920</v>
      </c>
      <c r="G63" s="344">
        <v>14411580</v>
      </c>
      <c r="H63" s="344">
        <v>14411580</v>
      </c>
      <c r="I63" s="344">
        <f t="shared" si="26"/>
        <v>28823160</v>
      </c>
      <c r="J63" s="344"/>
      <c r="K63" s="344"/>
      <c r="L63" s="344">
        <f t="shared" si="22"/>
        <v>0</v>
      </c>
      <c r="M63" s="344">
        <f t="shared" si="23"/>
        <v>28823160</v>
      </c>
      <c r="N63" s="337">
        <f t="shared" si="28"/>
        <v>208424760</v>
      </c>
      <c r="P63" s="340"/>
      <c r="S63" s="347"/>
      <c r="T63" s="346">
        <v>14411580</v>
      </c>
      <c r="U63" s="342"/>
    </row>
    <row r="64" spans="1:21" s="339" customFormat="1" ht="18" customHeight="1" x14ac:dyDescent="0.25">
      <c r="A64" s="334"/>
      <c r="B64" s="335"/>
      <c r="C64" s="335"/>
      <c r="D64" s="365" t="s">
        <v>184</v>
      </c>
      <c r="E64" s="335" t="s">
        <v>186</v>
      </c>
      <c r="F64" s="337">
        <f>+F65</f>
        <v>202631050</v>
      </c>
      <c r="G64" s="344">
        <f>+G65</f>
        <v>277647</v>
      </c>
      <c r="H64" s="344">
        <f>+H65</f>
        <v>277647</v>
      </c>
      <c r="I64" s="344">
        <f t="shared" si="26"/>
        <v>555294</v>
      </c>
      <c r="J64" s="344"/>
      <c r="K64" s="344">
        <f>+K65</f>
        <v>0</v>
      </c>
      <c r="L64" s="344">
        <f t="shared" si="22"/>
        <v>0</v>
      </c>
      <c r="M64" s="344">
        <f t="shared" si="23"/>
        <v>555294</v>
      </c>
      <c r="N64" s="337">
        <f t="shared" si="28"/>
        <v>202075756</v>
      </c>
      <c r="P64" s="340"/>
      <c r="S64" s="347"/>
      <c r="T64" s="346"/>
      <c r="U64" s="342"/>
    </row>
    <row r="65" spans="1:21" s="339" customFormat="1" ht="18" customHeight="1" x14ac:dyDescent="0.25">
      <c r="A65" s="334"/>
      <c r="B65" s="335"/>
      <c r="C65" s="335"/>
      <c r="D65" s="365" t="s">
        <v>185</v>
      </c>
      <c r="E65" s="335" t="s">
        <v>187</v>
      </c>
      <c r="F65" s="337">
        <v>202631050</v>
      </c>
      <c r="G65" s="344">
        <v>277647</v>
      </c>
      <c r="H65" s="344">
        <v>277647</v>
      </c>
      <c r="I65" s="344">
        <f t="shared" si="26"/>
        <v>555294</v>
      </c>
      <c r="J65" s="344"/>
      <c r="K65" s="344"/>
      <c r="L65" s="344">
        <f t="shared" si="22"/>
        <v>0</v>
      </c>
      <c r="M65" s="344">
        <f t="shared" si="23"/>
        <v>555294</v>
      </c>
      <c r="N65" s="337">
        <f t="shared" si="28"/>
        <v>202075756</v>
      </c>
      <c r="P65" s="340"/>
      <c r="S65" s="347"/>
      <c r="T65" s="346">
        <v>277647</v>
      </c>
      <c r="U65" s="342"/>
    </row>
    <row r="66" spans="1:21" s="339" customFormat="1" ht="18" customHeight="1" x14ac:dyDescent="0.25">
      <c r="A66" s="334"/>
      <c r="B66" s="335"/>
      <c r="C66" s="335"/>
      <c r="D66" s="365" t="s">
        <v>188</v>
      </c>
      <c r="E66" s="335" t="s">
        <v>190</v>
      </c>
      <c r="F66" s="337">
        <f t="shared" ref="F66" si="29">+F67</f>
        <v>51845</v>
      </c>
      <c r="G66" s="344">
        <f>+G67</f>
        <v>3223</v>
      </c>
      <c r="H66" s="344">
        <f>+H67</f>
        <v>3205</v>
      </c>
      <c r="I66" s="344">
        <f t="shared" si="26"/>
        <v>6428</v>
      </c>
      <c r="J66" s="344"/>
      <c r="K66" s="344">
        <f>+K67</f>
        <v>0</v>
      </c>
      <c r="L66" s="344">
        <f t="shared" si="22"/>
        <v>0</v>
      </c>
      <c r="M66" s="344">
        <f t="shared" si="23"/>
        <v>6428</v>
      </c>
      <c r="N66" s="337">
        <f t="shared" si="28"/>
        <v>45417</v>
      </c>
      <c r="P66" s="340"/>
      <c r="S66" s="347"/>
      <c r="T66" s="346"/>
      <c r="U66" s="342"/>
    </row>
    <row r="67" spans="1:21" s="339" customFormat="1" ht="18" customHeight="1" x14ac:dyDescent="0.25">
      <c r="A67" s="334"/>
      <c r="B67" s="335"/>
      <c r="C67" s="335"/>
      <c r="D67" s="365" t="s">
        <v>189</v>
      </c>
      <c r="E67" s="335" t="s">
        <v>329</v>
      </c>
      <c r="F67" s="337">
        <v>51845</v>
      </c>
      <c r="G67" s="344">
        <v>3223</v>
      </c>
      <c r="H67" s="344">
        <v>3205</v>
      </c>
      <c r="I67" s="344">
        <f t="shared" si="26"/>
        <v>6428</v>
      </c>
      <c r="J67" s="344"/>
      <c r="K67" s="344"/>
      <c r="L67" s="344">
        <f t="shared" si="22"/>
        <v>0</v>
      </c>
      <c r="M67" s="344">
        <f t="shared" si="23"/>
        <v>6428</v>
      </c>
      <c r="N67" s="337">
        <f t="shared" si="28"/>
        <v>45417</v>
      </c>
      <c r="P67" s="340"/>
      <c r="S67" s="347"/>
      <c r="T67" s="346">
        <v>3205</v>
      </c>
      <c r="U67" s="342"/>
    </row>
    <row r="68" spans="1:21" s="339" customFormat="1" ht="18" customHeight="1" x14ac:dyDescent="0.25">
      <c r="A68" s="334"/>
      <c r="B68" s="335"/>
      <c r="C68" s="335"/>
      <c r="D68" s="365" t="s">
        <v>191</v>
      </c>
      <c r="E68" s="335" t="s">
        <v>193</v>
      </c>
      <c r="F68" s="337">
        <f t="shared" ref="F68" si="30">+F69</f>
        <v>190139023</v>
      </c>
      <c r="G68" s="344">
        <f>+G69</f>
        <v>11715091</v>
      </c>
      <c r="H68" s="344">
        <f>+H69</f>
        <v>11760731</v>
      </c>
      <c r="I68" s="344">
        <f t="shared" si="26"/>
        <v>23475822</v>
      </c>
      <c r="J68" s="344"/>
      <c r="K68" s="344">
        <f>+K69</f>
        <v>0</v>
      </c>
      <c r="L68" s="344">
        <f t="shared" si="22"/>
        <v>0</v>
      </c>
      <c r="M68" s="344">
        <f t="shared" si="23"/>
        <v>23475822</v>
      </c>
      <c r="N68" s="337">
        <f t="shared" si="28"/>
        <v>166663201</v>
      </c>
      <c r="P68" s="340"/>
      <c r="S68" s="347"/>
      <c r="T68" s="346"/>
      <c r="U68" s="342"/>
    </row>
    <row r="69" spans="1:21" s="339" customFormat="1" ht="18" customHeight="1" x14ac:dyDescent="0.25">
      <c r="A69" s="334"/>
      <c r="B69" s="335"/>
      <c r="C69" s="335"/>
      <c r="D69" s="365" t="s">
        <v>192</v>
      </c>
      <c r="E69" s="335" t="s">
        <v>194</v>
      </c>
      <c r="F69" s="337">
        <v>190139023</v>
      </c>
      <c r="G69" s="344">
        <v>11715091</v>
      </c>
      <c r="H69" s="344">
        <v>11760731</v>
      </c>
      <c r="I69" s="344">
        <f t="shared" si="26"/>
        <v>23475822</v>
      </c>
      <c r="J69" s="344"/>
      <c r="K69" s="344"/>
      <c r="L69" s="344">
        <f t="shared" si="22"/>
        <v>0</v>
      </c>
      <c r="M69" s="344">
        <f t="shared" si="23"/>
        <v>23475822</v>
      </c>
      <c r="N69" s="337">
        <f t="shared" si="28"/>
        <v>166663201</v>
      </c>
      <c r="P69" s="340"/>
      <c r="S69" s="347"/>
      <c r="T69" s="346">
        <v>11760731</v>
      </c>
      <c r="U69" s="342"/>
    </row>
    <row r="70" spans="1:21" s="339" customFormat="1" ht="18" customHeight="1" x14ac:dyDescent="0.25">
      <c r="A70" s="334"/>
      <c r="B70" s="335"/>
      <c r="C70" s="335"/>
      <c r="D70" s="365" t="s">
        <v>195</v>
      </c>
      <c r="E70" s="335" t="s">
        <v>197</v>
      </c>
      <c r="F70" s="337">
        <f t="shared" ref="F70" si="31">+F71</f>
        <v>9404942</v>
      </c>
      <c r="G70" s="344">
        <f>+G71</f>
        <v>580644</v>
      </c>
      <c r="H70" s="344">
        <f>+H71</f>
        <v>583091</v>
      </c>
      <c r="I70" s="344">
        <f t="shared" si="26"/>
        <v>1163735</v>
      </c>
      <c r="J70" s="344"/>
      <c r="K70" s="344">
        <f>+K71</f>
        <v>0</v>
      </c>
      <c r="L70" s="344">
        <f t="shared" si="22"/>
        <v>0</v>
      </c>
      <c r="M70" s="344">
        <f t="shared" si="23"/>
        <v>1163735</v>
      </c>
      <c r="N70" s="337">
        <f t="shared" si="28"/>
        <v>8241207</v>
      </c>
      <c r="P70" s="340"/>
      <c r="S70" s="347"/>
      <c r="T70" s="346"/>
      <c r="U70" s="342"/>
    </row>
    <row r="71" spans="1:21" s="339" customFormat="1" ht="18" customHeight="1" x14ac:dyDescent="0.25">
      <c r="A71" s="334"/>
      <c r="B71" s="335"/>
      <c r="C71" s="335"/>
      <c r="D71" s="365" t="s">
        <v>196</v>
      </c>
      <c r="E71" s="335" t="s">
        <v>198</v>
      </c>
      <c r="F71" s="337">
        <v>9404942</v>
      </c>
      <c r="G71" s="344">
        <v>580644</v>
      </c>
      <c r="H71" s="344">
        <v>583091</v>
      </c>
      <c r="I71" s="344">
        <f t="shared" si="26"/>
        <v>1163735</v>
      </c>
      <c r="J71" s="344"/>
      <c r="K71" s="344"/>
      <c r="L71" s="344">
        <f t="shared" si="22"/>
        <v>0</v>
      </c>
      <c r="M71" s="344">
        <f t="shared" si="23"/>
        <v>1163735</v>
      </c>
      <c r="N71" s="337">
        <f t="shared" si="28"/>
        <v>8241207</v>
      </c>
      <c r="P71" s="340"/>
      <c r="S71" s="347"/>
      <c r="T71" s="346">
        <v>583091</v>
      </c>
      <c r="U71" s="342"/>
    </row>
    <row r="72" spans="1:21" s="339" customFormat="1" ht="18" customHeight="1" x14ac:dyDescent="0.25">
      <c r="A72" s="334"/>
      <c r="B72" s="335"/>
      <c r="C72" s="335"/>
      <c r="D72" s="365" t="s">
        <v>199</v>
      </c>
      <c r="E72" s="335" t="s">
        <v>201</v>
      </c>
      <c r="F72" s="337">
        <f>+F73</f>
        <v>28215046</v>
      </c>
      <c r="G72" s="344">
        <f>+G73</f>
        <v>1741930</v>
      </c>
      <c r="H72" s="344">
        <f>+H73</f>
        <v>1749275</v>
      </c>
      <c r="I72" s="344">
        <f t="shared" si="26"/>
        <v>3491205</v>
      </c>
      <c r="J72" s="344"/>
      <c r="K72" s="344">
        <f>+K73</f>
        <v>0</v>
      </c>
      <c r="L72" s="344">
        <f t="shared" si="22"/>
        <v>0</v>
      </c>
      <c r="M72" s="344">
        <f t="shared" si="23"/>
        <v>3491205</v>
      </c>
      <c r="N72" s="337">
        <f t="shared" si="28"/>
        <v>24723841</v>
      </c>
      <c r="P72" s="340"/>
      <c r="S72" s="347"/>
      <c r="T72" s="347"/>
      <c r="U72" s="342"/>
    </row>
    <row r="73" spans="1:21" s="339" customFormat="1" ht="18" customHeight="1" x14ac:dyDescent="0.25">
      <c r="A73" s="334"/>
      <c r="B73" s="335"/>
      <c r="C73" s="335"/>
      <c r="D73" s="365" t="s">
        <v>200</v>
      </c>
      <c r="E73" s="335" t="s">
        <v>202</v>
      </c>
      <c r="F73" s="337">
        <v>28215046</v>
      </c>
      <c r="G73" s="344">
        <v>1741930</v>
      </c>
      <c r="H73" s="344">
        <v>1749275</v>
      </c>
      <c r="I73" s="344">
        <f t="shared" si="26"/>
        <v>3491205</v>
      </c>
      <c r="J73" s="344"/>
      <c r="K73" s="344"/>
      <c r="L73" s="344">
        <f t="shared" si="22"/>
        <v>0</v>
      </c>
      <c r="M73" s="344">
        <f>+I73+L73</f>
        <v>3491205</v>
      </c>
      <c r="N73" s="337">
        <f>+F73-M73</f>
        <v>24723841</v>
      </c>
      <c r="P73" s="340"/>
      <c r="S73" s="347"/>
      <c r="T73" s="346">
        <v>1749275</v>
      </c>
      <c r="U73" s="342"/>
    </row>
    <row r="74" spans="1:21" s="339" customFormat="1" ht="18" customHeight="1" x14ac:dyDescent="0.25">
      <c r="A74" s="334"/>
      <c r="B74" s="335"/>
      <c r="C74" s="335"/>
      <c r="D74" s="365" t="s">
        <v>203</v>
      </c>
      <c r="E74" s="335" t="s">
        <v>205</v>
      </c>
      <c r="F74" s="337">
        <f>+F75</f>
        <v>23975938</v>
      </c>
      <c r="G74" s="344">
        <f>G75</f>
        <v>0</v>
      </c>
      <c r="H74" s="344">
        <f>+H75</f>
        <v>0</v>
      </c>
      <c r="I74" s="344">
        <f>+I75</f>
        <v>0</v>
      </c>
      <c r="J74" s="344"/>
      <c r="K74" s="344">
        <f>+K75</f>
        <v>0</v>
      </c>
      <c r="L74" s="344">
        <f t="shared" si="22"/>
        <v>0</v>
      </c>
      <c r="M74" s="344">
        <f t="shared" ref="M74:M101" si="32">+I74+L74</f>
        <v>0</v>
      </c>
      <c r="N74" s="337">
        <f t="shared" ref="N74:N84" si="33">+F74-M74</f>
        <v>23975938</v>
      </c>
      <c r="P74" s="340"/>
      <c r="S74" s="347"/>
      <c r="T74" s="347"/>
      <c r="U74" s="342"/>
    </row>
    <row r="75" spans="1:21" s="339" customFormat="1" ht="18" customHeight="1" x14ac:dyDescent="0.25">
      <c r="A75" s="334"/>
      <c r="B75" s="335"/>
      <c r="C75" s="335"/>
      <c r="D75" s="365" t="s">
        <v>204</v>
      </c>
      <c r="E75" s="335" t="s">
        <v>206</v>
      </c>
      <c r="F75" s="337">
        <v>23975938</v>
      </c>
      <c r="G75" s="344"/>
      <c r="H75" s="344"/>
      <c r="I75" s="344">
        <f t="shared" ref="I75:I100" si="34">+G75+H75</f>
        <v>0</v>
      </c>
      <c r="J75" s="344"/>
      <c r="K75" s="344"/>
      <c r="L75" s="344">
        <f t="shared" si="22"/>
        <v>0</v>
      </c>
      <c r="M75" s="344">
        <f t="shared" si="32"/>
        <v>0</v>
      </c>
      <c r="N75" s="337">
        <f t="shared" si="33"/>
        <v>23975938</v>
      </c>
      <c r="P75" s="340"/>
      <c r="S75" s="347"/>
      <c r="T75" s="347"/>
      <c r="U75" s="342"/>
    </row>
    <row r="76" spans="1:21" s="339" customFormat="1" ht="18" customHeight="1" x14ac:dyDescent="0.25">
      <c r="A76" s="334"/>
      <c r="B76" s="335"/>
      <c r="C76" s="335"/>
      <c r="D76" s="365" t="s">
        <v>210</v>
      </c>
      <c r="E76" s="335" t="s">
        <v>211</v>
      </c>
      <c r="F76" s="337">
        <f>+F77+F79+F81</f>
        <v>2044369640</v>
      </c>
      <c r="G76" s="344">
        <f>+G77+G79+G81</f>
        <v>194118788</v>
      </c>
      <c r="H76" s="344">
        <f>+H77+H79+H81</f>
        <v>0</v>
      </c>
      <c r="I76" s="344">
        <f>+G76+H76</f>
        <v>194118788</v>
      </c>
      <c r="J76" s="344"/>
      <c r="K76" s="344">
        <f>+K77</f>
        <v>0</v>
      </c>
      <c r="L76" s="344">
        <f t="shared" si="22"/>
        <v>0</v>
      </c>
      <c r="M76" s="344">
        <f t="shared" si="32"/>
        <v>194118788</v>
      </c>
      <c r="N76" s="337">
        <f t="shared" si="33"/>
        <v>1850250852</v>
      </c>
      <c r="P76" s="340"/>
      <c r="S76" s="347"/>
      <c r="T76" s="347"/>
      <c r="U76" s="342"/>
    </row>
    <row r="77" spans="1:21" s="339" customFormat="1" ht="18" customHeight="1" x14ac:dyDescent="0.25">
      <c r="A77" s="334"/>
      <c r="B77" s="335"/>
      <c r="C77" s="335"/>
      <c r="D77" s="365" t="s">
        <v>212</v>
      </c>
      <c r="E77" s="335" t="s">
        <v>214</v>
      </c>
      <c r="F77" s="337">
        <f>+F78</f>
        <v>180000000</v>
      </c>
      <c r="G77" s="344">
        <f>+G78</f>
        <v>180000000</v>
      </c>
      <c r="H77" s="344">
        <f t="shared" ref="G77:H81" si="35">+H78</f>
        <v>0</v>
      </c>
      <c r="I77" s="344">
        <f t="shared" si="34"/>
        <v>180000000</v>
      </c>
      <c r="J77" s="344"/>
      <c r="K77" s="344">
        <f>+K78</f>
        <v>0</v>
      </c>
      <c r="L77" s="344">
        <f t="shared" si="22"/>
        <v>0</v>
      </c>
      <c r="M77" s="344">
        <f t="shared" si="32"/>
        <v>180000000</v>
      </c>
      <c r="N77" s="337">
        <f t="shared" si="33"/>
        <v>0</v>
      </c>
      <c r="P77" s="340"/>
      <c r="S77" s="347"/>
      <c r="T77" s="347"/>
      <c r="U77" s="342"/>
    </row>
    <row r="78" spans="1:21" s="339" customFormat="1" ht="18" customHeight="1" x14ac:dyDescent="0.25">
      <c r="A78" s="334"/>
      <c r="B78" s="335"/>
      <c r="C78" s="335"/>
      <c r="D78" s="365" t="s">
        <v>213</v>
      </c>
      <c r="E78" s="335" t="s">
        <v>215</v>
      </c>
      <c r="F78" s="337">
        <v>180000000</v>
      </c>
      <c r="G78" s="344">
        <v>180000000</v>
      </c>
      <c r="H78" s="344"/>
      <c r="I78" s="344">
        <f t="shared" si="34"/>
        <v>180000000</v>
      </c>
      <c r="J78" s="344"/>
      <c r="K78" s="344"/>
      <c r="L78" s="344">
        <f t="shared" si="22"/>
        <v>0</v>
      </c>
      <c r="M78" s="344">
        <f t="shared" si="32"/>
        <v>180000000</v>
      </c>
      <c r="N78" s="337">
        <f t="shared" si="33"/>
        <v>0</v>
      </c>
      <c r="P78" s="340"/>
      <c r="S78" s="347"/>
      <c r="T78" s="347"/>
      <c r="U78" s="342"/>
    </row>
    <row r="79" spans="1:21" s="339" customFormat="1" ht="18" customHeight="1" x14ac:dyDescent="0.25">
      <c r="A79" s="334"/>
      <c r="B79" s="335"/>
      <c r="C79" s="335"/>
      <c r="D79" s="365" t="s">
        <v>431</v>
      </c>
      <c r="E79" s="335" t="s">
        <v>432</v>
      </c>
      <c r="F79" s="337">
        <f>+F80</f>
        <v>123544200</v>
      </c>
      <c r="G79" s="344">
        <f t="shared" si="35"/>
        <v>9969877</v>
      </c>
      <c r="H79" s="344">
        <f t="shared" si="35"/>
        <v>0</v>
      </c>
      <c r="I79" s="344">
        <f>+G79+H79</f>
        <v>9969877</v>
      </c>
      <c r="J79" s="344"/>
      <c r="K79" s="344">
        <f>+K80</f>
        <v>0</v>
      </c>
      <c r="L79" s="344">
        <f t="shared" si="22"/>
        <v>0</v>
      </c>
      <c r="M79" s="344">
        <f t="shared" si="32"/>
        <v>9969877</v>
      </c>
      <c r="N79" s="337">
        <f t="shared" si="33"/>
        <v>113574323</v>
      </c>
      <c r="P79" s="340"/>
      <c r="S79" s="347"/>
      <c r="T79" s="347"/>
      <c r="U79" s="342"/>
    </row>
    <row r="80" spans="1:21" s="339" customFormat="1" ht="18" customHeight="1" x14ac:dyDescent="0.25">
      <c r="A80" s="334"/>
      <c r="B80" s="335"/>
      <c r="C80" s="335"/>
      <c r="D80" s="365" t="s">
        <v>429</v>
      </c>
      <c r="E80" s="335" t="s">
        <v>430</v>
      </c>
      <c r="F80" s="337">
        <v>123544200</v>
      </c>
      <c r="G80" s="344">
        <v>9969877</v>
      </c>
      <c r="H80" s="344"/>
      <c r="I80" s="344">
        <f>+G80+H80</f>
        <v>9969877</v>
      </c>
      <c r="J80" s="344"/>
      <c r="K80" s="344"/>
      <c r="L80" s="344"/>
      <c r="M80" s="344">
        <f t="shared" si="32"/>
        <v>9969877</v>
      </c>
      <c r="N80" s="337">
        <f>+F80-M80</f>
        <v>113574323</v>
      </c>
      <c r="P80" s="340"/>
      <c r="S80" s="347"/>
      <c r="T80" s="347"/>
      <c r="U80" s="342"/>
    </row>
    <row r="81" spans="1:21" s="339" customFormat="1" ht="18" customHeight="1" x14ac:dyDescent="0.25">
      <c r="A81" s="334"/>
      <c r="B81" s="335"/>
      <c r="C81" s="335"/>
      <c r="D81" s="365" t="s">
        <v>453</v>
      </c>
      <c r="E81" s="335" t="s">
        <v>456</v>
      </c>
      <c r="F81" s="337">
        <f>+F82</f>
        <v>1740825440</v>
      </c>
      <c r="G81" s="344">
        <f t="shared" si="35"/>
        <v>4148911</v>
      </c>
      <c r="H81" s="344">
        <f t="shared" si="35"/>
        <v>0</v>
      </c>
      <c r="I81" s="344">
        <f>+G81+H81</f>
        <v>4148911</v>
      </c>
      <c r="J81" s="344"/>
      <c r="K81" s="344">
        <f>+K82</f>
        <v>0</v>
      </c>
      <c r="L81" s="344">
        <f t="shared" ref="L81" si="36">+J81+K81</f>
        <v>0</v>
      </c>
      <c r="M81" s="344">
        <f t="shared" si="32"/>
        <v>4148911</v>
      </c>
      <c r="N81" s="337">
        <f t="shared" ref="N81" si="37">+F81-M81</f>
        <v>1736676529</v>
      </c>
      <c r="P81" s="340"/>
      <c r="S81" s="347"/>
      <c r="T81" s="347"/>
      <c r="U81" s="342"/>
    </row>
    <row r="82" spans="1:21" s="339" customFormat="1" ht="18" customHeight="1" x14ac:dyDescent="0.25">
      <c r="A82" s="334"/>
      <c r="B82" s="335"/>
      <c r="C82" s="335"/>
      <c r="D82" s="365" t="s">
        <v>454</v>
      </c>
      <c r="E82" s="335" t="s">
        <v>455</v>
      </c>
      <c r="F82" s="337">
        <v>1740825440</v>
      </c>
      <c r="G82" s="344">
        <v>4148911</v>
      </c>
      <c r="H82" s="344"/>
      <c r="I82" s="344">
        <f>+G82+H82</f>
        <v>4148911</v>
      </c>
      <c r="J82" s="344"/>
      <c r="K82" s="344"/>
      <c r="L82" s="344"/>
      <c r="M82" s="344">
        <f t="shared" si="32"/>
        <v>4148911</v>
      </c>
      <c r="N82" s="337">
        <f>+F82-M82</f>
        <v>1736676529</v>
      </c>
      <c r="P82" s="340"/>
      <c r="S82" s="347"/>
      <c r="T82" s="347"/>
      <c r="U82" s="342"/>
    </row>
    <row r="83" spans="1:21" s="339" customFormat="1" ht="18" customHeight="1" x14ac:dyDescent="0.25">
      <c r="A83" s="334"/>
      <c r="B83" s="335"/>
      <c r="C83" s="335"/>
      <c r="D83" s="365" t="s">
        <v>216</v>
      </c>
      <c r="E83" s="335" t="s">
        <v>219</v>
      </c>
      <c r="F83" s="337">
        <f>+F84+F95+F99</f>
        <v>10039198750</v>
      </c>
      <c r="G83" s="344">
        <f>+G84+G95+G99</f>
        <v>76300000</v>
      </c>
      <c r="H83" s="344">
        <f>+H84+H95+H99</f>
        <v>0</v>
      </c>
      <c r="I83" s="344">
        <f>+G83+H83</f>
        <v>76300000</v>
      </c>
      <c r="J83" s="344"/>
      <c r="K83" s="344">
        <f>+K84</f>
        <v>0</v>
      </c>
      <c r="L83" s="344">
        <f t="shared" si="22"/>
        <v>0</v>
      </c>
      <c r="M83" s="344">
        <f t="shared" si="32"/>
        <v>76300000</v>
      </c>
      <c r="N83" s="337">
        <f t="shared" si="33"/>
        <v>9962898750</v>
      </c>
      <c r="P83" s="340"/>
      <c r="S83" s="347"/>
      <c r="T83" s="347"/>
      <c r="U83" s="342"/>
    </row>
    <row r="84" spans="1:21" s="339" customFormat="1" ht="18" customHeight="1" x14ac:dyDescent="0.25">
      <c r="A84" s="334"/>
      <c r="B84" s="335"/>
      <c r="C84" s="335"/>
      <c r="D84" s="365" t="s">
        <v>217</v>
      </c>
      <c r="E84" s="335" t="s">
        <v>220</v>
      </c>
      <c r="F84" s="337">
        <f>SUM(F85:F94)</f>
        <v>8593798750</v>
      </c>
      <c r="G84" s="344">
        <f>SUM(G85:G94)</f>
        <v>0</v>
      </c>
      <c r="H84" s="344">
        <f>SUM(H85:H94)</f>
        <v>0</v>
      </c>
      <c r="I84" s="344">
        <f t="shared" si="34"/>
        <v>0</v>
      </c>
      <c r="J84" s="344"/>
      <c r="K84" s="344">
        <f>+SUM(K85:K94)</f>
        <v>0</v>
      </c>
      <c r="L84" s="344">
        <f t="shared" si="22"/>
        <v>0</v>
      </c>
      <c r="M84" s="344">
        <f t="shared" si="32"/>
        <v>0</v>
      </c>
      <c r="N84" s="337">
        <f t="shared" si="33"/>
        <v>8593798750</v>
      </c>
      <c r="P84" s="340"/>
      <c r="S84" s="347"/>
      <c r="T84" s="347"/>
      <c r="U84" s="342"/>
    </row>
    <row r="85" spans="1:21" s="339" customFormat="1" ht="18" customHeight="1" x14ac:dyDescent="0.25">
      <c r="A85" s="334"/>
      <c r="B85" s="335"/>
      <c r="C85" s="335"/>
      <c r="D85" s="365" t="s">
        <v>218</v>
      </c>
      <c r="E85" s="335" t="s">
        <v>221</v>
      </c>
      <c r="F85" s="337">
        <v>356112500</v>
      </c>
      <c r="G85" s="344"/>
      <c r="H85" s="344"/>
      <c r="I85" s="344">
        <f t="shared" si="34"/>
        <v>0</v>
      </c>
      <c r="J85" s="344"/>
      <c r="K85" s="344"/>
      <c r="L85" s="344">
        <f t="shared" si="22"/>
        <v>0</v>
      </c>
      <c r="M85" s="344">
        <f t="shared" si="32"/>
        <v>0</v>
      </c>
      <c r="N85" s="337">
        <f>+F85-M85</f>
        <v>356112500</v>
      </c>
      <c r="P85" s="340"/>
      <c r="S85" s="347"/>
      <c r="T85" s="347"/>
      <c r="U85" s="342"/>
    </row>
    <row r="86" spans="1:21" s="339" customFormat="1" ht="18" customHeight="1" x14ac:dyDescent="0.25">
      <c r="A86" s="334"/>
      <c r="B86" s="335"/>
      <c r="C86" s="335"/>
      <c r="D86" s="365" t="s">
        <v>222</v>
      </c>
      <c r="E86" s="335" t="s">
        <v>223</v>
      </c>
      <c r="F86" s="337">
        <v>413550000</v>
      </c>
      <c r="G86" s="344"/>
      <c r="H86" s="344"/>
      <c r="I86" s="344">
        <f t="shared" si="34"/>
        <v>0</v>
      </c>
      <c r="J86" s="344"/>
      <c r="K86" s="344"/>
      <c r="L86" s="344">
        <f t="shared" si="22"/>
        <v>0</v>
      </c>
      <c r="M86" s="344">
        <f t="shared" si="32"/>
        <v>0</v>
      </c>
      <c r="N86" s="337">
        <f t="shared" ref="N86:N100" si="38">+F86-M86</f>
        <v>413550000</v>
      </c>
      <c r="P86" s="340"/>
      <c r="S86" s="347"/>
      <c r="T86" s="347"/>
      <c r="U86" s="342"/>
    </row>
    <row r="87" spans="1:21" s="339" customFormat="1" ht="18" customHeight="1" x14ac:dyDescent="0.25">
      <c r="A87" s="334"/>
      <c r="B87" s="335"/>
      <c r="C87" s="335"/>
      <c r="D87" s="365" t="s">
        <v>224</v>
      </c>
      <c r="E87" s="335" t="s">
        <v>225</v>
      </c>
      <c r="F87" s="337">
        <v>45950000</v>
      </c>
      <c r="G87" s="344"/>
      <c r="H87" s="344"/>
      <c r="I87" s="344">
        <f t="shared" si="34"/>
        <v>0</v>
      </c>
      <c r="J87" s="344"/>
      <c r="K87" s="344"/>
      <c r="L87" s="344">
        <f t="shared" si="22"/>
        <v>0</v>
      </c>
      <c r="M87" s="344">
        <f t="shared" si="32"/>
        <v>0</v>
      </c>
      <c r="N87" s="337">
        <f t="shared" si="38"/>
        <v>45950000</v>
      </c>
      <c r="P87" s="340"/>
      <c r="S87" s="347"/>
      <c r="T87" s="347"/>
      <c r="U87" s="342"/>
    </row>
    <row r="88" spans="1:21" s="339" customFormat="1" ht="18" customHeight="1" x14ac:dyDescent="0.25">
      <c r="A88" s="334"/>
      <c r="B88" s="335"/>
      <c r="C88" s="335"/>
      <c r="D88" s="365" t="s">
        <v>226</v>
      </c>
      <c r="E88" s="335" t="s">
        <v>227</v>
      </c>
      <c r="F88" s="337">
        <v>252725000</v>
      </c>
      <c r="G88" s="344"/>
      <c r="H88" s="344"/>
      <c r="I88" s="344">
        <f t="shared" si="34"/>
        <v>0</v>
      </c>
      <c r="J88" s="344"/>
      <c r="K88" s="344"/>
      <c r="L88" s="344">
        <f t="shared" si="22"/>
        <v>0</v>
      </c>
      <c r="M88" s="344">
        <f t="shared" si="32"/>
        <v>0</v>
      </c>
      <c r="N88" s="337">
        <f t="shared" si="38"/>
        <v>252725000</v>
      </c>
      <c r="P88" s="340"/>
      <c r="S88" s="347"/>
      <c r="T88" s="347"/>
      <c r="U88" s="342"/>
    </row>
    <row r="89" spans="1:21" s="339" customFormat="1" ht="18" customHeight="1" x14ac:dyDescent="0.25">
      <c r="A89" s="334"/>
      <c r="B89" s="335"/>
      <c r="C89" s="335"/>
      <c r="D89" s="365" t="s">
        <v>228</v>
      </c>
      <c r="E89" s="335" t="s">
        <v>229</v>
      </c>
      <c r="F89" s="337">
        <v>3101625000</v>
      </c>
      <c r="G89" s="344"/>
      <c r="H89" s="344"/>
      <c r="I89" s="344">
        <f t="shared" si="34"/>
        <v>0</v>
      </c>
      <c r="J89" s="344"/>
      <c r="K89" s="344"/>
      <c r="L89" s="344">
        <f t="shared" si="22"/>
        <v>0</v>
      </c>
      <c r="M89" s="344">
        <f t="shared" si="32"/>
        <v>0</v>
      </c>
      <c r="N89" s="337">
        <f t="shared" si="38"/>
        <v>3101625000</v>
      </c>
      <c r="P89" s="340"/>
      <c r="S89" s="347"/>
      <c r="T89" s="347"/>
      <c r="U89" s="342"/>
    </row>
    <row r="90" spans="1:21" s="339" customFormat="1" ht="18" customHeight="1" x14ac:dyDescent="0.25">
      <c r="A90" s="334"/>
      <c r="B90" s="335"/>
      <c r="C90" s="335"/>
      <c r="D90" s="365" t="s">
        <v>230</v>
      </c>
      <c r="E90" s="335" t="s">
        <v>231</v>
      </c>
      <c r="F90" s="337">
        <v>13785000</v>
      </c>
      <c r="G90" s="344"/>
      <c r="H90" s="344"/>
      <c r="I90" s="344">
        <f t="shared" si="34"/>
        <v>0</v>
      </c>
      <c r="J90" s="344"/>
      <c r="K90" s="344"/>
      <c r="L90" s="344">
        <f t="shared" si="22"/>
        <v>0</v>
      </c>
      <c r="M90" s="344">
        <f t="shared" si="32"/>
        <v>0</v>
      </c>
      <c r="N90" s="337">
        <f t="shared" si="38"/>
        <v>13785000</v>
      </c>
      <c r="P90" s="340"/>
      <c r="S90" s="347"/>
      <c r="T90" s="347"/>
      <c r="U90" s="342"/>
    </row>
    <row r="91" spans="1:21" s="339" customFormat="1" ht="18" customHeight="1" x14ac:dyDescent="0.25">
      <c r="A91" s="334"/>
      <c r="B91" s="335"/>
      <c r="C91" s="335"/>
      <c r="D91" s="365" t="s">
        <v>232</v>
      </c>
      <c r="E91" s="335" t="s">
        <v>233</v>
      </c>
      <c r="F91" s="337">
        <v>126362500</v>
      </c>
      <c r="G91" s="344"/>
      <c r="H91" s="344"/>
      <c r="I91" s="344">
        <f t="shared" si="34"/>
        <v>0</v>
      </c>
      <c r="J91" s="344"/>
      <c r="K91" s="344"/>
      <c r="L91" s="344">
        <f t="shared" si="22"/>
        <v>0</v>
      </c>
      <c r="M91" s="344">
        <f t="shared" si="32"/>
        <v>0</v>
      </c>
      <c r="N91" s="337">
        <f t="shared" si="38"/>
        <v>126362500</v>
      </c>
      <c r="P91" s="340"/>
      <c r="S91" s="347"/>
      <c r="T91" s="347"/>
      <c r="U91" s="342"/>
    </row>
    <row r="92" spans="1:21" s="339" customFormat="1" ht="19.5" customHeight="1" x14ac:dyDescent="0.25">
      <c r="A92" s="366"/>
      <c r="B92" s="367"/>
      <c r="C92" s="367"/>
      <c r="D92" s="368" t="s">
        <v>234</v>
      </c>
      <c r="E92" s="369" t="s">
        <v>235</v>
      </c>
      <c r="F92" s="370">
        <v>2297500</v>
      </c>
      <c r="G92" s="371"/>
      <c r="H92" s="371"/>
      <c r="I92" s="371">
        <f t="shared" si="34"/>
        <v>0</v>
      </c>
      <c r="J92" s="371"/>
      <c r="K92" s="371"/>
      <c r="L92" s="371">
        <f t="shared" si="22"/>
        <v>0</v>
      </c>
      <c r="M92" s="371">
        <f t="shared" si="32"/>
        <v>0</v>
      </c>
      <c r="N92" s="370">
        <f t="shared" si="38"/>
        <v>2297500</v>
      </c>
      <c r="P92" s="340"/>
      <c r="S92" s="347"/>
      <c r="T92" s="347"/>
      <c r="U92" s="342"/>
    </row>
    <row r="93" spans="1:21" s="339" customFormat="1" ht="30.75" customHeight="1" x14ac:dyDescent="0.25">
      <c r="A93" s="366"/>
      <c r="B93" s="367"/>
      <c r="C93" s="367"/>
      <c r="D93" s="368" t="s">
        <v>236</v>
      </c>
      <c r="E93" s="369" t="s">
        <v>237</v>
      </c>
      <c r="F93" s="370">
        <v>1156791250</v>
      </c>
      <c r="G93" s="371"/>
      <c r="H93" s="371"/>
      <c r="I93" s="371">
        <f t="shared" si="34"/>
        <v>0</v>
      </c>
      <c r="J93" s="371"/>
      <c r="K93" s="371"/>
      <c r="L93" s="371">
        <f t="shared" si="22"/>
        <v>0</v>
      </c>
      <c r="M93" s="371">
        <f t="shared" si="32"/>
        <v>0</v>
      </c>
      <c r="N93" s="370">
        <f t="shared" si="38"/>
        <v>1156791250</v>
      </c>
      <c r="P93" s="340"/>
      <c r="S93" s="347"/>
      <c r="T93" s="347"/>
      <c r="U93" s="342"/>
    </row>
    <row r="94" spans="1:21" s="339" customFormat="1" ht="31.5" x14ac:dyDescent="0.25">
      <c r="A94" s="366"/>
      <c r="B94" s="367"/>
      <c r="C94" s="367"/>
      <c r="D94" s="368" t="s">
        <v>238</v>
      </c>
      <c r="E94" s="369" t="s">
        <v>239</v>
      </c>
      <c r="F94" s="370">
        <v>3124600000</v>
      </c>
      <c r="G94" s="371"/>
      <c r="H94" s="371"/>
      <c r="I94" s="371">
        <f t="shared" si="34"/>
        <v>0</v>
      </c>
      <c r="J94" s="371"/>
      <c r="K94" s="371"/>
      <c r="L94" s="371">
        <f t="shared" si="22"/>
        <v>0</v>
      </c>
      <c r="M94" s="371">
        <f t="shared" si="32"/>
        <v>0</v>
      </c>
      <c r="N94" s="370">
        <f t="shared" si="38"/>
        <v>3124600000</v>
      </c>
      <c r="P94" s="340"/>
      <c r="S94" s="347"/>
      <c r="T94" s="347"/>
      <c r="U94" s="342"/>
    </row>
    <row r="95" spans="1:21" s="339" customFormat="1" ht="18" customHeight="1" x14ac:dyDescent="0.25">
      <c r="A95" s="334"/>
      <c r="B95" s="335"/>
      <c r="C95" s="335"/>
      <c r="D95" s="365" t="s">
        <v>433</v>
      </c>
      <c r="E95" s="335" t="s">
        <v>434</v>
      </c>
      <c r="F95" s="337">
        <f>+F96+F97+F98</f>
        <v>984100000</v>
      </c>
      <c r="G95" s="344">
        <f>+G96+G97</f>
        <v>42050000</v>
      </c>
      <c r="H95" s="344">
        <f>+H96+H97</f>
        <v>0</v>
      </c>
      <c r="I95" s="344">
        <f>+G95+H95</f>
        <v>42050000</v>
      </c>
      <c r="J95" s="344">
        <f>+J96+J97</f>
        <v>0</v>
      </c>
      <c r="K95" s="344">
        <f>+SUM(K101:K110)</f>
        <v>0</v>
      </c>
      <c r="L95" s="344">
        <f>+J95+K95</f>
        <v>0</v>
      </c>
      <c r="M95" s="344">
        <f t="shared" si="32"/>
        <v>42050000</v>
      </c>
      <c r="N95" s="337">
        <f t="shared" si="38"/>
        <v>942050000</v>
      </c>
      <c r="P95" s="340"/>
      <c r="S95" s="347"/>
      <c r="T95" s="347"/>
      <c r="U95" s="342"/>
    </row>
    <row r="96" spans="1:21" s="339" customFormat="1" ht="18" customHeight="1" x14ac:dyDescent="0.25">
      <c r="A96" s="334"/>
      <c r="B96" s="335"/>
      <c r="C96" s="335"/>
      <c r="D96" s="365" t="s">
        <v>435</v>
      </c>
      <c r="E96" s="335" t="s">
        <v>437</v>
      </c>
      <c r="F96" s="337">
        <v>516750000</v>
      </c>
      <c r="G96" s="344">
        <v>40950000</v>
      </c>
      <c r="H96" s="344"/>
      <c r="I96" s="344">
        <f t="shared" si="34"/>
        <v>40950000</v>
      </c>
      <c r="J96" s="344"/>
      <c r="K96" s="344"/>
      <c r="L96" s="344">
        <f t="shared" si="22"/>
        <v>0</v>
      </c>
      <c r="M96" s="344">
        <f t="shared" si="32"/>
        <v>40950000</v>
      </c>
      <c r="N96" s="337">
        <f t="shared" si="38"/>
        <v>475800000</v>
      </c>
      <c r="P96" s="340"/>
      <c r="S96" s="347"/>
      <c r="T96" s="347"/>
      <c r="U96" s="342"/>
    </row>
    <row r="97" spans="1:21" s="339" customFormat="1" ht="18" customHeight="1" x14ac:dyDescent="0.25">
      <c r="A97" s="334"/>
      <c r="B97" s="335"/>
      <c r="C97" s="335"/>
      <c r="D97" s="365" t="s">
        <v>436</v>
      </c>
      <c r="E97" s="335" t="s">
        <v>438</v>
      </c>
      <c r="F97" s="337">
        <v>19500000</v>
      </c>
      <c r="G97" s="344">
        <v>1100000</v>
      </c>
      <c r="H97" s="344"/>
      <c r="I97" s="344">
        <f t="shared" si="34"/>
        <v>1100000</v>
      </c>
      <c r="J97" s="344"/>
      <c r="K97" s="344"/>
      <c r="L97" s="344">
        <f t="shared" si="22"/>
        <v>0</v>
      </c>
      <c r="M97" s="344">
        <f t="shared" si="32"/>
        <v>1100000</v>
      </c>
      <c r="N97" s="337">
        <f t="shared" si="38"/>
        <v>18400000</v>
      </c>
      <c r="P97" s="340"/>
      <c r="S97" s="347"/>
      <c r="T97" s="347"/>
      <c r="U97" s="342"/>
    </row>
    <row r="98" spans="1:21" s="339" customFormat="1" ht="18" customHeight="1" x14ac:dyDescent="0.25">
      <c r="A98" s="334"/>
      <c r="B98" s="335"/>
      <c r="C98" s="335"/>
      <c r="D98" s="365" t="s">
        <v>457</v>
      </c>
      <c r="E98" s="335" t="s">
        <v>458</v>
      </c>
      <c r="F98" s="337">
        <v>447850000</v>
      </c>
      <c r="G98" s="344"/>
      <c r="H98" s="344"/>
      <c r="I98" s="344">
        <f t="shared" si="34"/>
        <v>0</v>
      </c>
      <c r="J98" s="344"/>
      <c r="K98" s="344"/>
      <c r="L98" s="344">
        <f t="shared" si="22"/>
        <v>0</v>
      </c>
      <c r="M98" s="344">
        <f t="shared" si="32"/>
        <v>0</v>
      </c>
      <c r="N98" s="337">
        <f t="shared" si="38"/>
        <v>447850000</v>
      </c>
      <c r="P98" s="340"/>
      <c r="S98" s="347"/>
      <c r="T98" s="347"/>
      <c r="U98" s="342"/>
    </row>
    <row r="99" spans="1:21" s="339" customFormat="1" ht="18" customHeight="1" x14ac:dyDescent="0.25">
      <c r="A99" s="334"/>
      <c r="B99" s="335"/>
      <c r="C99" s="335"/>
      <c r="D99" s="365" t="s">
        <v>439</v>
      </c>
      <c r="E99" s="335" t="s">
        <v>442</v>
      </c>
      <c r="F99" s="337">
        <f>+F100</f>
        <v>461300000</v>
      </c>
      <c r="G99" s="344">
        <f>+G100</f>
        <v>34250000</v>
      </c>
      <c r="H99" s="344">
        <f>+H100</f>
        <v>0</v>
      </c>
      <c r="I99" s="344">
        <f t="shared" si="34"/>
        <v>34250000</v>
      </c>
      <c r="J99" s="344"/>
      <c r="K99" s="344">
        <f>+SUM(K104:K113)</f>
        <v>2990625</v>
      </c>
      <c r="L99" s="344">
        <f t="shared" si="22"/>
        <v>2990625</v>
      </c>
      <c r="M99" s="344">
        <f t="shared" si="32"/>
        <v>37240625</v>
      </c>
      <c r="N99" s="337">
        <f t="shared" si="38"/>
        <v>424059375</v>
      </c>
      <c r="P99" s="340"/>
      <c r="S99" s="347"/>
      <c r="T99" s="347"/>
      <c r="U99" s="342"/>
    </row>
    <row r="100" spans="1:21" s="339" customFormat="1" ht="18" customHeight="1" x14ac:dyDescent="0.25">
      <c r="A100" s="334"/>
      <c r="B100" s="335"/>
      <c r="C100" s="335"/>
      <c r="D100" s="365" t="s">
        <v>440</v>
      </c>
      <c r="E100" s="335" t="s">
        <v>441</v>
      </c>
      <c r="F100" s="337">
        <v>461300000</v>
      </c>
      <c r="G100" s="344">
        <v>34250000</v>
      </c>
      <c r="H100" s="344"/>
      <c r="I100" s="344">
        <f t="shared" si="34"/>
        <v>34250000</v>
      </c>
      <c r="J100" s="344"/>
      <c r="K100" s="344"/>
      <c r="L100" s="344">
        <f t="shared" si="22"/>
        <v>0</v>
      </c>
      <c r="M100" s="344">
        <f t="shared" si="32"/>
        <v>34250000</v>
      </c>
      <c r="N100" s="337">
        <f t="shared" si="38"/>
        <v>427050000</v>
      </c>
      <c r="P100" s="340"/>
      <c r="S100" s="347"/>
      <c r="T100" s="347"/>
      <c r="U100" s="342"/>
    </row>
    <row r="101" spans="1:21" s="339" customFormat="1" ht="18" customHeight="1" x14ac:dyDescent="0.25">
      <c r="A101" s="334"/>
      <c r="B101" s="335"/>
      <c r="C101" s="335"/>
      <c r="D101" s="365" t="s">
        <v>240</v>
      </c>
      <c r="E101" s="335" t="s">
        <v>241</v>
      </c>
      <c r="F101" s="337">
        <f>+F102</f>
        <v>757451250</v>
      </c>
      <c r="G101" s="344">
        <f>+G102</f>
        <v>0</v>
      </c>
      <c r="H101" s="344">
        <f>+H102</f>
        <v>0</v>
      </c>
      <c r="I101" s="344">
        <f>+G101+H101</f>
        <v>0</v>
      </c>
      <c r="J101" s="344">
        <f>+J102</f>
        <v>0</v>
      </c>
      <c r="K101" s="344">
        <f>+K102</f>
        <v>0</v>
      </c>
      <c r="L101" s="344">
        <f>+J101+K101</f>
        <v>0</v>
      </c>
      <c r="M101" s="344">
        <f t="shared" si="32"/>
        <v>0</v>
      </c>
      <c r="N101" s="337">
        <f>+F101-M101</f>
        <v>757451250</v>
      </c>
      <c r="P101" s="340"/>
      <c r="S101" s="347"/>
      <c r="T101" s="347"/>
      <c r="U101" s="342"/>
    </row>
    <row r="102" spans="1:21" s="339" customFormat="1" ht="18" customHeight="1" x14ac:dyDescent="0.25">
      <c r="A102" s="334"/>
      <c r="B102" s="335"/>
      <c r="C102" s="335"/>
      <c r="D102" s="365" t="s">
        <v>242</v>
      </c>
      <c r="E102" s="335" t="s">
        <v>409</v>
      </c>
      <c r="F102" s="337">
        <f>SUM(F103:F112)</f>
        <v>757451250</v>
      </c>
      <c r="G102" s="344">
        <f>SUM(G103:G112)</f>
        <v>0</v>
      </c>
      <c r="H102" s="344">
        <f>SUM(H103:H112)</f>
        <v>0</v>
      </c>
      <c r="I102" s="344">
        <f>+G102+H102</f>
        <v>0</v>
      </c>
      <c r="J102" s="344">
        <f>SUM(J103:J112)</f>
        <v>0</v>
      </c>
      <c r="K102" s="344">
        <f>SUM(K103:K112)</f>
        <v>0</v>
      </c>
      <c r="L102" s="344">
        <f>+J102+K102</f>
        <v>0</v>
      </c>
      <c r="M102" s="344">
        <f>+I102+L102</f>
        <v>0</v>
      </c>
      <c r="N102" s="337">
        <f>+F102-M102</f>
        <v>757451250</v>
      </c>
      <c r="P102" s="340"/>
      <c r="S102" s="347"/>
      <c r="T102" s="347"/>
      <c r="U102" s="342"/>
    </row>
    <row r="103" spans="1:21" s="339" customFormat="1" ht="18" customHeight="1" x14ac:dyDescent="0.25">
      <c r="A103" s="334"/>
      <c r="B103" s="335"/>
      <c r="C103" s="335"/>
      <c r="D103" s="365" t="s">
        <v>243</v>
      </c>
      <c r="E103" s="335" t="s">
        <v>331</v>
      </c>
      <c r="F103" s="337">
        <v>31387500</v>
      </c>
      <c r="G103" s="344"/>
      <c r="H103" s="344"/>
      <c r="I103" s="344">
        <f t="shared" ref="I103:I110" si="39">+G103+H103</f>
        <v>0</v>
      </c>
      <c r="J103" s="344"/>
      <c r="K103" s="344"/>
      <c r="L103" s="344">
        <f t="shared" si="22"/>
        <v>0</v>
      </c>
      <c r="M103" s="344">
        <f t="shared" ref="M103:M112" si="40">+I103+L103</f>
        <v>0</v>
      </c>
      <c r="N103" s="337">
        <f t="shared" ref="N103:N108" si="41">+F103-M103</f>
        <v>31387500</v>
      </c>
      <c r="P103" s="340"/>
      <c r="S103" s="347"/>
      <c r="T103" s="347"/>
      <c r="U103" s="342"/>
    </row>
    <row r="104" spans="1:21" s="339" customFormat="1" ht="18" customHeight="1" x14ac:dyDescent="0.25">
      <c r="A104" s="334"/>
      <c r="B104" s="335"/>
      <c r="C104" s="335"/>
      <c r="D104" s="365" t="s">
        <v>244</v>
      </c>
      <c r="E104" s="335" t="s">
        <v>245</v>
      </c>
      <c r="F104" s="337">
        <v>36450000</v>
      </c>
      <c r="G104" s="344"/>
      <c r="H104" s="344"/>
      <c r="I104" s="344">
        <f t="shared" si="39"/>
        <v>0</v>
      </c>
      <c r="J104" s="344"/>
      <c r="K104" s="344"/>
      <c r="L104" s="344">
        <f t="shared" si="22"/>
        <v>0</v>
      </c>
      <c r="M104" s="344">
        <f t="shared" si="40"/>
        <v>0</v>
      </c>
      <c r="N104" s="337">
        <f t="shared" si="41"/>
        <v>36450000</v>
      </c>
      <c r="P104" s="340"/>
      <c r="S104" s="347"/>
      <c r="T104" s="347"/>
      <c r="U104" s="342"/>
    </row>
    <row r="105" spans="1:21" s="339" customFormat="1" ht="18" customHeight="1" x14ac:dyDescent="0.25">
      <c r="A105" s="334"/>
      <c r="B105" s="335"/>
      <c r="C105" s="335"/>
      <c r="D105" s="365" t="s">
        <v>246</v>
      </c>
      <c r="E105" s="335" t="s">
        <v>247</v>
      </c>
      <c r="F105" s="337">
        <v>4050000</v>
      </c>
      <c r="G105" s="344"/>
      <c r="H105" s="344"/>
      <c r="I105" s="344">
        <f t="shared" si="39"/>
        <v>0</v>
      </c>
      <c r="J105" s="344"/>
      <c r="K105" s="344"/>
      <c r="L105" s="344">
        <f t="shared" si="22"/>
        <v>0</v>
      </c>
      <c r="M105" s="344">
        <f t="shared" si="40"/>
        <v>0</v>
      </c>
      <c r="N105" s="337">
        <f t="shared" si="41"/>
        <v>4050000</v>
      </c>
      <c r="P105" s="340"/>
      <c r="S105" s="347"/>
      <c r="T105" s="347"/>
      <c r="U105" s="342"/>
    </row>
    <row r="106" spans="1:21" s="339" customFormat="1" ht="18" customHeight="1" x14ac:dyDescent="0.25">
      <c r="A106" s="334"/>
      <c r="B106" s="335"/>
      <c r="C106" s="335"/>
      <c r="D106" s="365" t="s">
        <v>248</v>
      </c>
      <c r="E106" s="335" t="s">
        <v>249</v>
      </c>
      <c r="F106" s="337">
        <v>22275000</v>
      </c>
      <c r="G106" s="344"/>
      <c r="H106" s="344"/>
      <c r="I106" s="344">
        <f t="shared" si="39"/>
        <v>0</v>
      </c>
      <c r="J106" s="344"/>
      <c r="K106" s="344"/>
      <c r="L106" s="344">
        <f t="shared" si="22"/>
        <v>0</v>
      </c>
      <c r="M106" s="344">
        <f t="shared" si="40"/>
        <v>0</v>
      </c>
      <c r="N106" s="337">
        <f t="shared" si="41"/>
        <v>22275000</v>
      </c>
      <c r="P106" s="340"/>
      <c r="S106" s="347"/>
      <c r="T106" s="347"/>
      <c r="U106" s="342"/>
    </row>
    <row r="107" spans="1:21" s="339" customFormat="1" ht="18" customHeight="1" x14ac:dyDescent="0.25">
      <c r="A107" s="334"/>
      <c r="B107" s="335"/>
      <c r="C107" s="335"/>
      <c r="D107" s="365" t="s">
        <v>250</v>
      </c>
      <c r="E107" s="335" t="s">
        <v>251</v>
      </c>
      <c r="F107" s="337">
        <v>273375000</v>
      </c>
      <c r="G107" s="344"/>
      <c r="H107" s="344"/>
      <c r="I107" s="344">
        <f t="shared" si="39"/>
        <v>0</v>
      </c>
      <c r="J107" s="344"/>
      <c r="K107" s="344"/>
      <c r="L107" s="344">
        <f t="shared" si="22"/>
        <v>0</v>
      </c>
      <c r="M107" s="344">
        <f t="shared" si="40"/>
        <v>0</v>
      </c>
      <c r="N107" s="337">
        <f t="shared" si="41"/>
        <v>273375000</v>
      </c>
      <c r="P107" s="340"/>
      <c r="S107" s="347"/>
      <c r="T107" s="347"/>
      <c r="U107" s="342"/>
    </row>
    <row r="108" spans="1:21" s="339" customFormat="1" ht="18" customHeight="1" x14ac:dyDescent="0.25">
      <c r="A108" s="334"/>
      <c r="B108" s="335"/>
      <c r="C108" s="335"/>
      <c r="D108" s="365" t="s">
        <v>252</v>
      </c>
      <c r="E108" s="335" t="s">
        <v>253</v>
      </c>
      <c r="F108" s="337">
        <v>1215000</v>
      </c>
      <c r="G108" s="344"/>
      <c r="H108" s="344"/>
      <c r="I108" s="344">
        <f t="shared" si="39"/>
        <v>0</v>
      </c>
      <c r="J108" s="344"/>
      <c r="K108" s="344"/>
      <c r="L108" s="344">
        <f t="shared" si="22"/>
        <v>0</v>
      </c>
      <c r="M108" s="344">
        <f t="shared" si="40"/>
        <v>0</v>
      </c>
      <c r="N108" s="337">
        <f t="shared" si="41"/>
        <v>1215000</v>
      </c>
      <c r="P108" s="340"/>
      <c r="S108" s="347"/>
      <c r="T108" s="347"/>
      <c r="U108" s="342"/>
    </row>
    <row r="109" spans="1:21" s="339" customFormat="1" ht="18" customHeight="1" x14ac:dyDescent="0.25">
      <c r="A109" s="334"/>
      <c r="B109" s="335"/>
      <c r="C109" s="335"/>
      <c r="D109" s="365" t="s">
        <v>254</v>
      </c>
      <c r="E109" s="335" t="s">
        <v>255</v>
      </c>
      <c r="F109" s="337">
        <v>11137500</v>
      </c>
      <c r="G109" s="344"/>
      <c r="H109" s="344"/>
      <c r="I109" s="344">
        <f t="shared" si="39"/>
        <v>0</v>
      </c>
      <c r="J109" s="344"/>
      <c r="K109" s="344"/>
      <c r="L109" s="344">
        <f t="shared" si="22"/>
        <v>0</v>
      </c>
      <c r="M109" s="344">
        <f t="shared" si="40"/>
        <v>0</v>
      </c>
      <c r="N109" s="337">
        <f>+F109-M109</f>
        <v>11137500</v>
      </c>
      <c r="P109" s="340"/>
      <c r="S109" s="347"/>
      <c r="T109" s="347"/>
      <c r="U109" s="342"/>
    </row>
    <row r="110" spans="1:21" s="339" customFormat="1" ht="32.25" customHeight="1" x14ac:dyDescent="0.25">
      <c r="A110" s="366"/>
      <c r="B110" s="367"/>
      <c r="C110" s="367"/>
      <c r="D110" s="368" t="s">
        <v>256</v>
      </c>
      <c r="E110" s="369" t="s">
        <v>257</v>
      </c>
      <c r="F110" s="370">
        <v>202500</v>
      </c>
      <c r="G110" s="371"/>
      <c r="H110" s="371"/>
      <c r="I110" s="371">
        <f t="shared" si="39"/>
        <v>0</v>
      </c>
      <c r="J110" s="371"/>
      <c r="K110" s="371"/>
      <c r="L110" s="371">
        <f t="shared" si="22"/>
        <v>0</v>
      </c>
      <c r="M110" s="371">
        <f t="shared" si="40"/>
        <v>0</v>
      </c>
      <c r="N110" s="370">
        <f>+F110-M110</f>
        <v>202500</v>
      </c>
      <c r="P110" s="340"/>
      <c r="S110" s="347"/>
      <c r="T110" s="347"/>
      <c r="U110" s="342"/>
    </row>
    <row r="111" spans="1:21" s="339" customFormat="1" ht="31.5" x14ac:dyDescent="0.25">
      <c r="A111" s="366"/>
      <c r="B111" s="367"/>
      <c r="C111" s="367"/>
      <c r="D111" s="368" t="s">
        <v>258</v>
      </c>
      <c r="E111" s="369" t="s">
        <v>259</v>
      </c>
      <c r="F111" s="370">
        <v>101958750</v>
      </c>
      <c r="G111" s="371"/>
      <c r="H111" s="371"/>
      <c r="I111" s="371">
        <f>+G111+H111</f>
        <v>0</v>
      </c>
      <c r="J111" s="371"/>
      <c r="K111" s="371"/>
      <c r="L111" s="371">
        <f t="shared" si="22"/>
        <v>0</v>
      </c>
      <c r="M111" s="371">
        <f t="shared" si="40"/>
        <v>0</v>
      </c>
      <c r="N111" s="370">
        <f>+F111-M111</f>
        <v>101958750</v>
      </c>
      <c r="P111" s="340"/>
      <c r="S111" s="347"/>
      <c r="T111" s="347"/>
      <c r="U111" s="342"/>
    </row>
    <row r="112" spans="1:21" s="153" customFormat="1" ht="31.5" x14ac:dyDescent="0.25">
      <c r="A112" s="372"/>
      <c r="B112" s="373"/>
      <c r="C112" s="373"/>
      <c r="D112" s="374" t="s">
        <v>260</v>
      </c>
      <c r="E112" s="375" t="s">
        <v>261</v>
      </c>
      <c r="F112" s="376">
        <v>275400000</v>
      </c>
      <c r="G112" s="377"/>
      <c r="H112" s="377"/>
      <c r="I112" s="377">
        <f t="shared" ref="I112" si="42">+G112+H112</f>
        <v>0</v>
      </c>
      <c r="J112" s="377"/>
      <c r="K112" s="377"/>
      <c r="L112" s="377">
        <f t="shared" si="22"/>
        <v>0</v>
      </c>
      <c r="M112" s="377">
        <f t="shared" si="40"/>
        <v>0</v>
      </c>
      <c r="N112" s="376">
        <f>+F112-M112</f>
        <v>275400000</v>
      </c>
      <c r="P112" s="200"/>
      <c r="S112" s="221"/>
      <c r="T112" s="221"/>
      <c r="U112" s="254"/>
    </row>
    <row r="113" spans="1:21" s="319" customFormat="1" ht="18" customHeight="1" x14ac:dyDescent="0.25">
      <c r="A113" s="276">
        <v>4</v>
      </c>
      <c r="B113" s="305"/>
      <c r="C113" s="305" t="s">
        <v>84</v>
      </c>
      <c r="D113" s="363"/>
      <c r="E113" s="364" t="s">
        <v>85</v>
      </c>
      <c r="F113" s="307">
        <f>+F114</f>
        <v>31153000</v>
      </c>
      <c r="G113" s="308">
        <f t="shared" ref="F113:H114" si="43">+G114</f>
        <v>0</v>
      </c>
      <c r="H113" s="308">
        <f t="shared" si="43"/>
        <v>0</v>
      </c>
      <c r="I113" s="308">
        <f>+G113+H113</f>
        <v>0</v>
      </c>
      <c r="J113" s="308">
        <f>+J114</f>
        <v>0</v>
      </c>
      <c r="K113" s="308">
        <f>+K114</f>
        <v>2990625</v>
      </c>
      <c r="L113" s="308">
        <f>+J113+K113</f>
        <v>2990625</v>
      </c>
      <c r="M113" s="308">
        <f>+I113+L113</f>
        <v>2990625</v>
      </c>
      <c r="N113" s="307">
        <f>+F113-M113</f>
        <v>28162375</v>
      </c>
      <c r="P113" s="320"/>
      <c r="R113" s="321"/>
      <c r="S113" s="349"/>
      <c r="T113" s="349"/>
      <c r="U113" s="350"/>
    </row>
    <row r="114" spans="1:21" s="329" customFormat="1" ht="18" customHeight="1" x14ac:dyDescent="0.25">
      <c r="A114" s="323"/>
      <c r="B114" s="324"/>
      <c r="C114" s="324"/>
      <c r="D114" s="325" t="s">
        <v>207</v>
      </c>
      <c r="E114" s="326" t="s">
        <v>262</v>
      </c>
      <c r="F114" s="327">
        <f t="shared" si="43"/>
        <v>31153000</v>
      </c>
      <c r="G114" s="328">
        <f t="shared" si="43"/>
        <v>0</v>
      </c>
      <c r="H114" s="328">
        <f t="shared" si="43"/>
        <v>0</v>
      </c>
      <c r="I114" s="328">
        <f>+G114+H114</f>
        <v>0</v>
      </c>
      <c r="J114" s="328">
        <f t="shared" ref="J114:K116" si="44">+J115</f>
        <v>0</v>
      </c>
      <c r="K114" s="328">
        <f t="shared" si="44"/>
        <v>2990625</v>
      </c>
      <c r="L114" s="328">
        <f>+J114+K114</f>
        <v>2990625</v>
      </c>
      <c r="M114" s="328">
        <f t="shared" ref="M114:M120" si="45">+I114+L114</f>
        <v>2990625</v>
      </c>
      <c r="N114" s="327">
        <f t="shared" ref="N114:N117" si="46">+F114-M114</f>
        <v>28162375</v>
      </c>
      <c r="P114" s="330"/>
      <c r="R114" s="331"/>
      <c r="S114" s="351"/>
      <c r="T114" s="351"/>
      <c r="U114" s="333"/>
    </row>
    <row r="115" spans="1:21" s="339" customFormat="1" ht="18" customHeight="1" x14ac:dyDescent="0.25">
      <c r="A115" s="334"/>
      <c r="B115" s="378"/>
      <c r="C115" s="378"/>
      <c r="D115" s="335" t="s">
        <v>63</v>
      </c>
      <c r="E115" s="335" t="s">
        <v>30</v>
      </c>
      <c r="F115" s="337">
        <f>F116</f>
        <v>31153000</v>
      </c>
      <c r="G115" s="344">
        <f>+G116</f>
        <v>0</v>
      </c>
      <c r="H115" s="344">
        <f>+H116</f>
        <v>0</v>
      </c>
      <c r="I115" s="344">
        <f>+G115+H115</f>
        <v>0</v>
      </c>
      <c r="J115" s="344">
        <f>+J116</f>
        <v>0</v>
      </c>
      <c r="K115" s="344">
        <f t="shared" si="44"/>
        <v>2990625</v>
      </c>
      <c r="L115" s="344">
        <f>+J115+K115</f>
        <v>2990625</v>
      </c>
      <c r="M115" s="344">
        <f t="shared" si="45"/>
        <v>2990625</v>
      </c>
      <c r="N115" s="337">
        <f t="shared" si="46"/>
        <v>28162375</v>
      </c>
      <c r="P115" s="340"/>
      <c r="S115" s="347"/>
      <c r="T115" s="347"/>
      <c r="U115" s="342"/>
    </row>
    <row r="116" spans="1:21" s="339" customFormat="1" ht="18" customHeight="1" x14ac:dyDescent="0.25">
      <c r="A116" s="334"/>
      <c r="B116" s="335"/>
      <c r="C116" s="335"/>
      <c r="D116" s="335" t="s">
        <v>263</v>
      </c>
      <c r="E116" s="336" t="s">
        <v>264</v>
      </c>
      <c r="F116" s="337">
        <f>+F117</f>
        <v>31153000</v>
      </c>
      <c r="G116" s="338">
        <f>+G117</f>
        <v>0</v>
      </c>
      <c r="H116" s="338">
        <f>+H117</f>
        <v>0</v>
      </c>
      <c r="I116" s="338">
        <f>+G116+H116</f>
        <v>0</v>
      </c>
      <c r="J116" s="338">
        <f t="shared" si="44"/>
        <v>0</v>
      </c>
      <c r="K116" s="338">
        <f t="shared" si="44"/>
        <v>2990625</v>
      </c>
      <c r="L116" s="338">
        <f>+J116+K116</f>
        <v>2990625</v>
      </c>
      <c r="M116" s="338">
        <f t="shared" si="45"/>
        <v>2990625</v>
      </c>
      <c r="N116" s="337">
        <f t="shared" si="46"/>
        <v>28162375</v>
      </c>
      <c r="P116" s="340"/>
      <c r="S116" s="347"/>
      <c r="T116" s="347"/>
      <c r="U116" s="342"/>
    </row>
    <row r="117" spans="1:21" s="339" customFormat="1" ht="18" customHeight="1" x14ac:dyDescent="0.25">
      <c r="A117" s="334"/>
      <c r="B117" s="378"/>
      <c r="C117" s="378"/>
      <c r="D117" s="335" t="s">
        <v>64</v>
      </c>
      <c r="E117" s="335" t="s">
        <v>65</v>
      </c>
      <c r="F117" s="337">
        <f>F118+F119+F120</f>
        <v>31153000</v>
      </c>
      <c r="G117" s="344">
        <f>SUM(G118:G120)</f>
        <v>0</v>
      </c>
      <c r="H117" s="344">
        <f>SUM(H118:H120)</f>
        <v>0</v>
      </c>
      <c r="I117" s="344">
        <f>+G117+H117</f>
        <v>0</v>
      </c>
      <c r="J117" s="344">
        <f>SUM(J118:J120)</f>
        <v>0</v>
      </c>
      <c r="K117" s="344">
        <f>SUM(K118:K120)</f>
        <v>2990625</v>
      </c>
      <c r="L117" s="344">
        <f>+J117+K117</f>
        <v>2990625</v>
      </c>
      <c r="M117" s="344">
        <f t="shared" si="45"/>
        <v>2990625</v>
      </c>
      <c r="N117" s="337">
        <f t="shared" si="46"/>
        <v>28162375</v>
      </c>
      <c r="P117" s="340"/>
      <c r="S117" s="347"/>
      <c r="T117" s="347"/>
      <c r="U117" s="342"/>
    </row>
    <row r="118" spans="1:21" s="339" customFormat="1" ht="18" customHeight="1" x14ac:dyDescent="0.25">
      <c r="A118" s="334"/>
      <c r="B118" s="378"/>
      <c r="C118" s="378"/>
      <c r="D118" s="335" t="s">
        <v>66</v>
      </c>
      <c r="E118" s="335" t="s">
        <v>67</v>
      </c>
      <c r="F118" s="337">
        <v>1447000</v>
      </c>
      <c r="G118" s="344"/>
      <c r="H118" s="344"/>
      <c r="I118" s="344">
        <f t="shared" ref="I118:I120" si="47">+G118+H118</f>
        <v>0</v>
      </c>
      <c r="J118" s="344"/>
      <c r="K118" s="344"/>
      <c r="L118" s="344">
        <f t="shared" ref="L118:L120" si="48">+J118+K118</f>
        <v>0</v>
      </c>
      <c r="M118" s="344">
        <f t="shared" si="45"/>
        <v>0</v>
      </c>
      <c r="N118" s="337">
        <f>+F118-M118</f>
        <v>1447000</v>
      </c>
      <c r="P118" s="340"/>
      <c r="S118" s="346">
        <f>999375+995625+995625</f>
        <v>2990625</v>
      </c>
      <c r="T118" s="347"/>
      <c r="U118" s="342"/>
    </row>
    <row r="119" spans="1:21" s="339" customFormat="1" ht="18" customHeight="1" x14ac:dyDescent="0.25">
      <c r="A119" s="334"/>
      <c r="B119" s="378"/>
      <c r="C119" s="378"/>
      <c r="D119" s="335" t="s">
        <v>337</v>
      </c>
      <c r="E119" s="335" t="s">
        <v>338</v>
      </c>
      <c r="F119" s="337">
        <v>3792000</v>
      </c>
      <c r="G119" s="344"/>
      <c r="H119" s="344"/>
      <c r="I119" s="344">
        <f t="shared" si="47"/>
        <v>0</v>
      </c>
      <c r="J119" s="344"/>
      <c r="K119" s="344"/>
      <c r="L119" s="344">
        <f t="shared" si="48"/>
        <v>0</v>
      </c>
      <c r="M119" s="344">
        <f t="shared" si="45"/>
        <v>0</v>
      </c>
      <c r="N119" s="337">
        <f t="shared" ref="N119:N120" si="49">+F119-M119</f>
        <v>3792000</v>
      </c>
      <c r="P119" s="340"/>
      <c r="S119" s="347"/>
      <c r="T119" s="347"/>
      <c r="U119" s="342"/>
    </row>
    <row r="120" spans="1:21" s="339" customFormat="1" ht="18" customHeight="1" x14ac:dyDescent="0.25">
      <c r="A120" s="334"/>
      <c r="B120" s="378"/>
      <c r="C120" s="378"/>
      <c r="D120" s="335" t="s">
        <v>68</v>
      </c>
      <c r="E120" s="335" t="s">
        <v>69</v>
      </c>
      <c r="F120" s="337">
        <v>25914000</v>
      </c>
      <c r="G120" s="344"/>
      <c r="H120" s="344"/>
      <c r="I120" s="344">
        <f t="shared" si="47"/>
        <v>0</v>
      </c>
      <c r="J120" s="344"/>
      <c r="K120" s="344">
        <v>2990625</v>
      </c>
      <c r="L120" s="344">
        <f t="shared" si="48"/>
        <v>2990625</v>
      </c>
      <c r="M120" s="344">
        <f t="shared" si="45"/>
        <v>2990625</v>
      </c>
      <c r="N120" s="337">
        <f t="shared" si="49"/>
        <v>22923375</v>
      </c>
      <c r="P120" s="340"/>
      <c r="S120" s="347"/>
      <c r="T120" s="347"/>
      <c r="U120" s="342"/>
    </row>
    <row r="121" spans="1:21" s="153" customFormat="1" ht="18" customHeight="1" x14ac:dyDescent="0.25">
      <c r="A121" s="353"/>
      <c r="B121" s="354"/>
      <c r="C121" s="354"/>
      <c r="D121" s="355"/>
      <c r="E121" s="355"/>
      <c r="F121" s="356"/>
      <c r="G121" s="357"/>
      <c r="H121" s="357"/>
      <c r="I121" s="357"/>
      <c r="J121" s="357"/>
      <c r="K121" s="357"/>
      <c r="L121" s="357"/>
      <c r="M121" s="357"/>
      <c r="N121" s="356"/>
      <c r="P121" s="200"/>
      <c r="S121" s="221"/>
      <c r="T121" s="221"/>
      <c r="U121" s="254"/>
    </row>
    <row r="122" spans="1:21" s="319" customFormat="1" ht="18" customHeight="1" x14ac:dyDescent="0.25">
      <c r="A122" s="276"/>
      <c r="B122" s="305" t="s">
        <v>405</v>
      </c>
      <c r="C122" s="305"/>
      <c r="D122" s="305"/>
      <c r="E122" s="305" t="s">
        <v>406</v>
      </c>
      <c r="F122" s="359">
        <f t="shared" ref="F122:G124" si="50">+F123</f>
        <v>654671250</v>
      </c>
      <c r="G122" s="360">
        <f t="shared" si="50"/>
        <v>0</v>
      </c>
      <c r="H122" s="360">
        <f>+H123</f>
        <v>0</v>
      </c>
      <c r="I122" s="360">
        <f t="shared" ref="I122:I136" si="51">+G122+H122</f>
        <v>0</v>
      </c>
      <c r="J122" s="360">
        <f>+J124</f>
        <v>0</v>
      </c>
      <c r="K122" s="360">
        <f>+K123</f>
        <v>150000</v>
      </c>
      <c r="L122" s="360">
        <f>+J122+K122</f>
        <v>150000</v>
      </c>
      <c r="M122" s="360">
        <f t="shared" ref="M122" si="52">+I122+L122</f>
        <v>150000</v>
      </c>
      <c r="N122" s="359">
        <f t="shared" ref="N122:N130" si="53">+F122-M122</f>
        <v>654521250</v>
      </c>
      <c r="P122" s="361"/>
      <c r="R122" s="321"/>
      <c r="S122" s="362"/>
      <c r="T122" s="362"/>
      <c r="U122" s="350"/>
    </row>
    <row r="123" spans="1:21" s="319" customFormat="1" ht="18" customHeight="1" x14ac:dyDescent="0.25">
      <c r="A123" s="277">
        <v>5</v>
      </c>
      <c r="B123" s="305"/>
      <c r="C123" s="305" t="s">
        <v>86</v>
      </c>
      <c r="D123" s="363"/>
      <c r="E123" s="364" t="s">
        <v>87</v>
      </c>
      <c r="F123" s="307">
        <f t="shared" si="50"/>
        <v>654671250</v>
      </c>
      <c r="G123" s="308">
        <f t="shared" si="50"/>
        <v>0</v>
      </c>
      <c r="H123" s="308">
        <f>+H124</f>
        <v>0</v>
      </c>
      <c r="I123" s="308">
        <f t="shared" si="51"/>
        <v>0</v>
      </c>
      <c r="J123" s="308">
        <f>+J124</f>
        <v>0</v>
      </c>
      <c r="K123" s="308">
        <f>+K124</f>
        <v>150000</v>
      </c>
      <c r="L123" s="308">
        <f>+J123+K123</f>
        <v>150000</v>
      </c>
      <c r="M123" s="308">
        <f>+I123+L123</f>
        <v>150000</v>
      </c>
      <c r="N123" s="307">
        <f t="shared" si="53"/>
        <v>654521250</v>
      </c>
      <c r="P123" s="320"/>
      <c r="R123" s="321"/>
      <c r="S123" s="349"/>
      <c r="T123" s="349"/>
      <c r="U123" s="350"/>
    </row>
    <row r="124" spans="1:21" s="329" customFormat="1" ht="18" customHeight="1" x14ac:dyDescent="0.25">
      <c r="A124" s="323"/>
      <c r="B124" s="324"/>
      <c r="C124" s="324"/>
      <c r="D124" s="325" t="s">
        <v>207</v>
      </c>
      <c r="E124" s="326" t="s">
        <v>262</v>
      </c>
      <c r="F124" s="327">
        <f t="shared" si="50"/>
        <v>654671250</v>
      </c>
      <c r="G124" s="328">
        <f t="shared" si="50"/>
        <v>0</v>
      </c>
      <c r="H124" s="328">
        <f>+H125</f>
        <v>0</v>
      </c>
      <c r="I124" s="328">
        <f t="shared" si="51"/>
        <v>0</v>
      </c>
      <c r="J124" s="328">
        <f>+J125</f>
        <v>0</v>
      </c>
      <c r="K124" s="328">
        <f>+K125</f>
        <v>150000</v>
      </c>
      <c r="L124" s="328">
        <f t="shared" ref="L124:L136" si="54">+J124+K124</f>
        <v>150000</v>
      </c>
      <c r="M124" s="328">
        <f t="shared" ref="M124:M127" si="55">+I124+L124</f>
        <v>150000</v>
      </c>
      <c r="N124" s="327">
        <f t="shared" si="53"/>
        <v>654521250</v>
      </c>
      <c r="P124" s="330"/>
      <c r="R124" s="331"/>
      <c r="S124" s="351"/>
      <c r="T124" s="351"/>
      <c r="U124" s="333"/>
    </row>
    <row r="125" spans="1:21" s="339" customFormat="1" ht="18" customHeight="1" x14ac:dyDescent="0.25">
      <c r="A125" s="334"/>
      <c r="B125" s="335"/>
      <c r="C125" s="335"/>
      <c r="D125" s="365" t="s">
        <v>63</v>
      </c>
      <c r="E125" s="335" t="s">
        <v>30</v>
      </c>
      <c r="F125" s="337">
        <f>F131+F126</f>
        <v>654671250</v>
      </c>
      <c r="G125" s="344">
        <f>+G126+G131</f>
        <v>0</v>
      </c>
      <c r="H125" s="344">
        <f>+H126+H131</f>
        <v>0</v>
      </c>
      <c r="I125" s="344">
        <f t="shared" si="51"/>
        <v>0</v>
      </c>
      <c r="J125" s="344">
        <f>+J126+J131</f>
        <v>0</v>
      </c>
      <c r="K125" s="344">
        <f>+K131+K126</f>
        <v>150000</v>
      </c>
      <c r="L125" s="344">
        <f t="shared" si="54"/>
        <v>150000</v>
      </c>
      <c r="M125" s="344">
        <f t="shared" si="55"/>
        <v>150000</v>
      </c>
      <c r="N125" s="337">
        <f t="shared" si="53"/>
        <v>654521250</v>
      </c>
      <c r="P125" s="340"/>
      <c r="S125" s="347"/>
      <c r="T125" s="347"/>
      <c r="U125" s="342"/>
    </row>
    <row r="126" spans="1:21" s="339" customFormat="1" ht="18" customHeight="1" x14ac:dyDescent="0.25">
      <c r="A126" s="334"/>
      <c r="B126" s="335"/>
      <c r="C126" s="335"/>
      <c r="D126" s="365" t="s">
        <v>263</v>
      </c>
      <c r="E126" s="336" t="s">
        <v>264</v>
      </c>
      <c r="F126" s="337">
        <f>+F127</f>
        <v>137486250</v>
      </c>
      <c r="G126" s="344">
        <f>+G127</f>
        <v>0</v>
      </c>
      <c r="H126" s="344">
        <f>+H127</f>
        <v>0</v>
      </c>
      <c r="I126" s="344">
        <f t="shared" si="51"/>
        <v>0</v>
      </c>
      <c r="J126" s="344">
        <f>+J127</f>
        <v>0</v>
      </c>
      <c r="K126" s="344">
        <f>+K127</f>
        <v>150000</v>
      </c>
      <c r="L126" s="344">
        <f t="shared" si="54"/>
        <v>150000</v>
      </c>
      <c r="M126" s="344">
        <f t="shared" si="55"/>
        <v>150000</v>
      </c>
      <c r="N126" s="337">
        <f t="shared" si="53"/>
        <v>137336250</v>
      </c>
      <c r="P126" s="340"/>
      <c r="S126" s="347"/>
      <c r="T126" s="347"/>
      <c r="U126" s="342"/>
    </row>
    <row r="127" spans="1:21" s="339" customFormat="1" ht="18" customHeight="1" x14ac:dyDescent="0.25">
      <c r="A127" s="334"/>
      <c r="B127" s="335"/>
      <c r="C127" s="335"/>
      <c r="D127" s="365" t="s">
        <v>64</v>
      </c>
      <c r="E127" s="335" t="s">
        <v>65</v>
      </c>
      <c r="F127" s="337">
        <f>+F128+F129+F130</f>
        <v>137486250</v>
      </c>
      <c r="G127" s="344">
        <f>SUM(G128:G129)</f>
        <v>0</v>
      </c>
      <c r="H127" s="344">
        <f>SUM(H128:H129)</f>
        <v>0</v>
      </c>
      <c r="I127" s="344">
        <f t="shared" si="51"/>
        <v>0</v>
      </c>
      <c r="J127" s="344">
        <f>SUM(J128:J130)</f>
        <v>0</v>
      </c>
      <c r="K127" s="344">
        <f>SUM(K128:K130)</f>
        <v>150000</v>
      </c>
      <c r="L127" s="344">
        <f t="shared" si="54"/>
        <v>150000</v>
      </c>
      <c r="M127" s="344">
        <f t="shared" si="55"/>
        <v>150000</v>
      </c>
      <c r="N127" s="337">
        <f t="shared" si="53"/>
        <v>137336250</v>
      </c>
      <c r="P127" s="340"/>
      <c r="S127" s="347"/>
      <c r="T127" s="347"/>
      <c r="U127" s="342"/>
    </row>
    <row r="128" spans="1:21" s="339" customFormat="1" ht="18" customHeight="1" x14ac:dyDescent="0.25">
      <c r="A128" s="334"/>
      <c r="B128" s="335"/>
      <c r="C128" s="335"/>
      <c r="D128" s="365" t="s">
        <v>66</v>
      </c>
      <c r="E128" s="335" t="s">
        <v>67</v>
      </c>
      <c r="F128" s="337">
        <v>2756250</v>
      </c>
      <c r="G128" s="344"/>
      <c r="H128" s="344"/>
      <c r="I128" s="344">
        <f t="shared" si="51"/>
        <v>0</v>
      </c>
      <c r="J128" s="344"/>
      <c r="K128" s="344">
        <v>150000</v>
      </c>
      <c r="L128" s="344">
        <f t="shared" si="54"/>
        <v>150000</v>
      </c>
      <c r="M128" s="344">
        <f>+I128+L128</f>
        <v>150000</v>
      </c>
      <c r="N128" s="337">
        <f t="shared" si="53"/>
        <v>2606250</v>
      </c>
      <c r="P128" s="340"/>
      <c r="S128" s="346">
        <v>150000</v>
      </c>
      <c r="T128" s="347"/>
      <c r="U128" s="342"/>
    </row>
    <row r="129" spans="1:21" s="339" customFormat="1" ht="18" customHeight="1" x14ac:dyDescent="0.25">
      <c r="A129" s="334"/>
      <c r="B129" s="335"/>
      <c r="C129" s="335"/>
      <c r="D129" s="365" t="s">
        <v>369</v>
      </c>
      <c r="E129" s="335" t="s">
        <v>370</v>
      </c>
      <c r="F129" s="337">
        <v>7230000</v>
      </c>
      <c r="G129" s="344"/>
      <c r="H129" s="344"/>
      <c r="I129" s="344">
        <f t="shared" si="51"/>
        <v>0</v>
      </c>
      <c r="J129" s="344"/>
      <c r="K129" s="344"/>
      <c r="L129" s="344">
        <f t="shared" si="54"/>
        <v>0</v>
      </c>
      <c r="M129" s="344">
        <f>+I129+L129</f>
        <v>0</v>
      </c>
      <c r="N129" s="337">
        <f t="shared" si="53"/>
        <v>7230000</v>
      </c>
      <c r="P129" s="340"/>
      <c r="S129" s="347"/>
      <c r="T129" s="347"/>
      <c r="U129" s="342"/>
    </row>
    <row r="130" spans="1:21" s="339" customFormat="1" ht="18" customHeight="1" x14ac:dyDescent="0.25">
      <c r="A130" s="334"/>
      <c r="B130" s="335"/>
      <c r="C130" s="335"/>
      <c r="D130" s="365" t="s">
        <v>447</v>
      </c>
      <c r="E130" s="335" t="s">
        <v>448</v>
      </c>
      <c r="F130" s="337">
        <v>127500000</v>
      </c>
      <c r="G130" s="344"/>
      <c r="H130" s="344"/>
      <c r="I130" s="344">
        <f t="shared" si="51"/>
        <v>0</v>
      </c>
      <c r="J130" s="344"/>
      <c r="K130" s="344"/>
      <c r="L130" s="344">
        <f t="shared" si="54"/>
        <v>0</v>
      </c>
      <c r="M130" s="344">
        <f>+I130+L130</f>
        <v>0</v>
      </c>
      <c r="N130" s="337">
        <f t="shared" si="53"/>
        <v>127500000</v>
      </c>
      <c r="P130" s="340"/>
      <c r="S130" s="347"/>
      <c r="T130" s="347"/>
      <c r="U130" s="342"/>
    </row>
    <row r="131" spans="1:21" s="339" customFormat="1" ht="18" customHeight="1" x14ac:dyDescent="0.25">
      <c r="A131" s="334"/>
      <c r="B131" s="335"/>
      <c r="C131" s="335"/>
      <c r="D131" s="365" t="s">
        <v>265</v>
      </c>
      <c r="E131" s="335" t="s">
        <v>266</v>
      </c>
      <c r="F131" s="337">
        <f>+F132</f>
        <v>517185000</v>
      </c>
      <c r="G131" s="344">
        <f>+G132</f>
        <v>0</v>
      </c>
      <c r="H131" s="344">
        <f>+H132</f>
        <v>0</v>
      </c>
      <c r="I131" s="344">
        <f t="shared" si="51"/>
        <v>0</v>
      </c>
      <c r="J131" s="344">
        <f>+J132</f>
        <v>0</v>
      </c>
      <c r="K131" s="344">
        <f>+K132</f>
        <v>0</v>
      </c>
      <c r="L131" s="344">
        <f t="shared" si="54"/>
        <v>0</v>
      </c>
      <c r="M131" s="344">
        <f t="shared" ref="M131:M132" si="56">+I131+L131</f>
        <v>0</v>
      </c>
      <c r="N131" s="337">
        <f>+F131-M131</f>
        <v>517185000</v>
      </c>
      <c r="P131" s="340"/>
      <c r="S131" s="347"/>
      <c r="T131" s="347"/>
      <c r="U131" s="342"/>
    </row>
    <row r="132" spans="1:21" s="339" customFormat="1" ht="18" customHeight="1" x14ac:dyDescent="0.25">
      <c r="A132" s="334"/>
      <c r="B132" s="335"/>
      <c r="C132" s="335"/>
      <c r="D132" s="365" t="s">
        <v>71</v>
      </c>
      <c r="E132" s="335" t="s">
        <v>72</v>
      </c>
      <c r="F132" s="337">
        <f>SUM(F133:F136)</f>
        <v>517185000</v>
      </c>
      <c r="G132" s="344">
        <f>SUM(G133:G134)</f>
        <v>0</v>
      </c>
      <c r="H132" s="344">
        <f>SUM(H133:H134)</f>
        <v>0</v>
      </c>
      <c r="I132" s="344">
        <f t="shared" si="51"/>
        <v>0</v>
      </c>
      <c r="J132" s="344">
        <f>SUM(J133:J136)</f>
        <v>0</v>
      </c>
      <c r="K132" s="344">
        <f>SUM(K133:K136)</f>
        <v>0</v>
      </c>
      <c r="L132" s="344">
        <f>+J132+K132</f>
        <v>0</v>
      </c>
      <c r="M132" s="344">
        <f t="shared" si="56"/>
        <v>0</v>
      </c>
      <c r="N132" s="337">
        <f>+F132-M132</f>
        <v>517185000</v>
      </c>
      <c r="P132" s="340"/>
      <c r="S132" s="347"/>
      <c r="T132" s="347"/>
      <c r="U132" s="342"/>
    </row>
    <row r="133" spans="1:21" s="339" customFormat="1" ht="18" customHeight="1" x14ac:dyDescent="0.25">
      <c r="A133" s="334"/>
      <c r="B133" s="335"/>
      <c r="C133" s="335"/>
      <c r="D133" s="365" t="s">
        <v>73</v>
      </c>
      <c r="E133" s="335" t="s">
        <v>74</v>
      </c>
      <c r="F133" s="337">
        <v>128100000</v>
      </c>
      <c r="G133" s="344"/>
      <c r="H133" s="344"/>
      <c r="I133" s="344">
        <f t="shared" si="51"/>
        <v>0</v>
      </c>
      <c r="J133" s="344"/>
      <c r="K133" s="344"/>
      <c r="L133" s="344">
        <f t="shared" si="54"/>
        <v>0</v>
      </c>
      <c r="M133" s="344">
        <f>+I133+L133</f>
        <v>0</v>
      </c>
      <c r="N133" s="337">
        <f t="shared" ref="N133:N136" si="57">+F133-M133</f>
        <v>128100000</v>
      </c>
      <c r="P133" s="340"/>
      <c r="S133" s="346"/>
      <c r="T133" s="347"/>
      <c r="U133" s="342"/>
    </row>
    <row r="134" spans="1:21" s="339" customFormat="1" ht="18" customHeight="1" x14ac:dyDescent="0.25">
      <c r="A134" s="334"/>
      <c r="B134" s="335"/>
      <c r="C134" s="335"/>
      <c r="D134" s="365" t="s">
        <v>88</v>
      </c>
      <c r="E134" s="335" t="s">
        <v>89</v>
      </c>
      <c r="F134" s="337">
        <v>79635000</v>
      </c>
      <c r="G134" s="344"/>
      <c r="H134" s="344"/>
      <c r="I134" s="344">
        <f t="shared" si="51"/>
        <v>0</v>
      </c>
      <c r="J134" s="344"/>
      <c r="K134" s="344"/>
      <c r="L134" s="344">
        <f t="shared" si="54"/>
        <v>0</v>
      </c>
      <c r="M134" s="344">
        <f t="shared" ref="M134" si="58">+I134+L134</f>
        <v>0</v>
      </c>
      <c r="N134" s="337">
        <f t="shared" si="57"/>
        <v>79635000</v>
      </c>
      <c r="P134" s="340"/>
      <c r="S134" s="346"/>
      <c r="T134" s="347"/>
      <c r="U134" s="342"/>
    </row>
    <row r="135" spans="1:21" s="339" customFormat="1" ht="18" customHeight="1" x14ac:dyDescent="0.25">
      <c r="A135" s="334"/>
      <c r="B135" s="335"/>
      <c r="C135" s="335"/>
      <c r="D135" s="365" t="s">
        <v>445</v>
      </c>
      <c r="E135" s="335" t="s">
        <v>446</v>
      </c>
      <c r="F135" s="337">
        <v>241950000</v>
      </c>
      <c r="G135" s="344"/>
      <c r="H135" s="344"/>
      <c r="I135" s="344">
        <f t="shared" si="51"/>
        <v>0</v>
      </c>
      <c r="J135" s="344"/>
      <c r="K135" s="344"/>
      <c r="L135" s="344">
        <f t="shared" si="54"/>
        <v>0</v>
      </c>
      <c r="M135" s="344">
        <f>+I135+L135</f>
        <v>0</v>
      </c>
      <c r="N135" s="337">
        <f t="shared" si="57"/>
        <v>241950000</v>
      </c>
      <c r="P135" s="340"/>
      <c r="S135" s="347"/>
      <c r="T135" s="347"/>
      <c r="U135" s="342"/>
    </row>
    <row r="136" spans="1:21" s="339" customFormat="1" ht="18" customHeight="1" x14ac:dyDescent="0.25">
      <c r="A136" s="334"/>
      <c r="B136" s="335"/>
      <c r="C136" s="335"/>
      <c r="D136" s="365" t="s">
        <v>107</v>
      </c>
      <c r="E136" s="335" t="s">
        <v>108</v>
      </c>
      <c r="F136" s="337">
        <v>67500000</v>
      </c>
      <c r="G136" s="344"/>
      <c r="H136" s="344"/>
      <c r="I136" s="344">
        <f t="shared" si="51"/>
        <v>0</v>
      </c>
      <c r="J136" s="344"/>
      <c r="K136" s="344"/>
      <c r="L136" s="344">
        <f t="shared" si="54"/>
        <v>0</v>
      </c>
      <c r="M136" s="344">
        <f>+I136+L136</f>
        <v>0</v>
      </c>
      <c r="N136" s="337">
        <f t="shared" si="57"/>
        <v>67500000</v>
      </c>
      <c r="P136" s="340"/>
      <c r="S136" s="347"/>
      <c r="T136" s="347"/>
      <c r="U136" s="342"/>
    </row>
    <row r="137" spans="1:21" s="153" customFormat="1" ht="18" customHeight="1" x14ac:dyDescent="0.25">
      <c r="A137" s="353"/>
      <c r="B137" s="355"/>
      <c r="C137" s="355"/>
      <c r="D137" s="355"/>
      <c r="E137" s="355"/>
      <c r="F137" s="356"/>
      <c r="G137" s="357"/>
      <c r="H137" s="357"/>
      <c r="I137" s="357"/>
      <c r="J137" s="357"/>
      <c r="K137" s="357"/>
      <c r="L137" s="357"/>
      <c r="M137" s="357"/>
      <c r="N137" s="356"/>
      <c r="P137" s="200"/>
      <c r="S137" s="221"/>
      <c r="T137" s="221"/>
      <c r="U137" s="254"/>
    </row>
    <row r="138" spans="1:21" s="319" customFormat="1" ht="18" customHeight="1" x14ac:dyDescent="0.25">
      <c r="A138" s="276"/>
      <c r="B138" s="305" t="s">
        <v>380</v>
      </c>
      <c r="C138" s="305"/>
      <c r="D138" s="305"/>
      <c r="E138" s="305" t="s">
        <v>381</v>
      </c>
      <c r="F138" s="359">
        <f>+F139+F165+F173+F184+F206</f>
        <v>4317651500</v>
      </c>
      <c r="G138" s="360">
        <f>+G139+G165+G173+G184+G206</f>
        <v>0</v>
      </c>
      <c r="H138" s="360">
        <f>+H139+H165+H173+H184+H206</f>
        <v>142125000</v>
      </c>
      <c r="I138" s="360">
        <f t="shared" ref="I138:I164" si="59">+G138+H138</f>
        <v>142125000</v>
      </c>
      <c r="J138" s="360">
        <f>+J139+J165+J173+J184+J206</f>
        <v>7840000</v>
      </c>
      <c r="K138" s="360">
        <f>+K139+K165+K173+K184+K206</f>
        <v>109890600</v>
      </c>
      <c r="L138" s="360">
        <f t="shared" ref="L138:L146" si="60">+J138+K138</f>
        <v>117730600</v>
      </c>
      <c r="M138" s="360">
        <f t="shared" ref="M138" si="61">+I138+L138</f>
        <v>259855600</v>
      </c>
      <c r="N138" s="359">
        <f t="shared" ref="N138:N146" si="62">+F138-M138</f>
        <v>4057795900</v>
      </c>
      <c r="P138" s="361"/>
      <c r="R138" s="321"/>
      <c r="S138" s="362"/>
      <c r="T138" s="362"/>
      <c r="U138" s="350"/>
    </row>
    <row r="139" spans="1:21" s="319" customFormat="1" ht="18" customHeight="1" x14ac:dyDescent="0.25">
      <c r="A139" s="276">
        <v>6</v>
      </c>
      <c r="B139" s="305"/>
      <c r="C139" s="305" t="s">
        <v>90</v>
      </c>
      <c r="D139" s="363"/>
      <c r="E139" s="364" t="s">
        <v>91</v>
      </c>
      <c r="F139" s="307">
        <f>+F140+F147</f>
        <v>1165936000</v>
      </c>
      <c r="G139" s="308">
        <f>+G140+G147</f>
        <v>0</v>
      </c>
      <c r="H139" s="308">
        <f>+H140+H147</f>
        <v>0</v>
      </c>
      <c r="I139" s="308">
        <f t="shared" si="59"/>
        <v>0</v>
      </c>
      <c r="J139" s="308">
        <f>+J140+J147</f>
        <v>0</v>
      </c>
      <c r="K139" s="308">
        <f>+K140+K147</f>
        <v>0</v>
      </c>
      <c r="L139" s="308">
        <f t="shared" si="60"/>
        <v>0</v>
      </c>
      <c r="M139" s="308">
        <f>+I139+L139</f>
        <v>0</v>
      </c>
      <c r="N139" s="307">
        <f t="shared" si="62"/>
        <v>1165936000</v>
      </c>
      <c r="P139" s="320"/>
      <c r="R139" s="321"/>
      <c r="S139" s="349"/>
      <c r="T139" s="349"/>
      <c r="U139" s="350"/>
    </row>
    <row r="140" spans="1:21" s="329" customFormat="1" ht="18" customHeight="1" x14ac:dyDescent="0.25">
      <c r="A140" s="323"/>
      <c r="B140" s="324"/>
      <c r="C140" s="379"/>
      <c r="D140" s="325" t="s">
        <v>207</v>
      </c>
      <c r="E140" s="326" t="s">
        <v>262</v>
      </c>
      <c r="F140" s="327">
        <f>+F141</f>
        <v>39736000</v>
      </c>
      <c r="G140" s="328">
        <f>+G141</f>
        <v>0</v>
      </c>
      <c r="H140" s="328">
        <f>+H141</f>
        <v>0</v>
      </c>
      <c r="I140" s="328">
        <f t="shared" si="59"/>
        <v>0</v>
      </c>
      <c r="J140" s="328">
        <f t="shared" ref="J140:K142" si="63">+J141</f>
        <v>0</v>
      </c>
      <c r="K140" s="328">
        <f t="shared" si="63"/>
        <v>0</v>
      </c>
      <c r="L140" s="328">
        <f t="shared" si="60"/>
        <v>0</v>
      </c>
      <c r="M140" s="328">
        <f t="shared" ref="M140:M164" si="64">+I140+L140</f>
        <v>0</v>
      </c>
      <c r="N140" s="327">
        <f t="shared" si="62"/>
        <v>39736000</v>
      </c>
      <c r="P140" s="330"/>
      <c r="R140" s="331"/>
      <c r="S140" s="351"/>
      <c r="T140" s="351"/>
      <c r="U140" s="333"/>
    </row>
    <row r="141" spans="1:21" s="381" customFormat="1" ht="18" customHeight="1" x14ac:dyDescent="0.25">
      <c r="A141" s="380"/>
      <c r="B141" s="352"/>
      <c r="C141" s="334"/>
      <c r="D141" s="335" t="s">
        <v>63</v>
      </c>
      <c r="E141" s="335" t="s">
        <v>30</v>
      </c>
      <c r="F141" s="337">
        <f>+F142</f>
        <v>39736000</v>
      </c>
      <c r="G141" s="344">
        <f t="shared" ref="G141:H142" si="65">+G142</f>
        <v>0</v>
      </c>
      <c r="H141" s="344">
        <f t="shared" si="65"/>
        <v>0</v>
      </c>
      <c r="I141" s="344">
        <f t="shared" si="59"/>
        <v>0</v>
      </c>
      <c r="J141" s="344">
        <f t="shared" si="63"/>
        <v>0</v>
      </c>
      <c r="K141" s="344">
        <f t="shared" si="63"/>
        <v>0</v>
      </c>
      <c r="L141" s="344">
        <f t="shared" si="60"/>
        <v>0</v>
      </c>
      <c r="M141" s="344">
        <f t="shared" si="64"/>
        <v>0</v>
      </c>
      <c r="N141" s="337">
        <f t="shared" si="62"/>
        <v>39736000</v>
      </c>
      <c r="P141" s="340"/>
      <c r="S141" s="347"/>
      <c r="T141" s="347"/>
      <c r="U141" s="382"/>
    </row>
    <row r="142" spans="1:21" s="339" customFormat="1" ht="18" customHeight="1" x14ac:dyDescent="0.25">
      <c r="A142" s="334"/>
      <c r="B142" s="335"/>
      <c r="C142" s="334"/>
      <c r="D142" s="365" t="s">
        <v>263</v>
      </c>
      <c r="E142" s="335" t="s">
        <v>264</v>
      </c>
      <c r="F142" s="337">
        <f>+F143</f>
        <v>39736000</v>
      </c>
      <c r="G142" s="344">
        <f t="shared" si="65"/>
        <v>0</v>
      </c>
      <c r="H142" s="344">
        <f t="shared" si="65"/>
        <v>0</v>
      </c>
      <c r="I142" s="344">
        <f t="shared" si="59"/>
        <v>0</v>
      </c>
      <c r="J142" s="344">
        <f t="shared" si="63"/>
        <v>0</v>
      </c>
      <c r="K142" s="344">
        <f t="shared" si="63"/>
        <v>0</v>
      </c>
      <c r="L142" s="344">
        <f t="shared" si="60"/>
        <v>0</v>
      </c>
      <c r="M142" s="344">
        <f t="shared" si="64"/>
        <v>0</v>
      </c>
      <c r="N142" s="337">
        <f t="shared" si="62"/>
        <v>39736000</v>
      </c>
      <c r="P142" s="340"/>
      <c r="S142" s="347"/>
      <c r="T142" s="347"/>
      <c r="U142" s="342"/>
    </row>
    <row r="143" spans="1:21" s="381" customFormat="1" ht="18" customHeight="1" x14ac:dyDescent="0.25">
      <c r="A143" s="380"/>
      <c r="B143" s="352"/>
      <c r="C143" s="334"/>
      <c r="D143" s="335" t="s">
        <v>64</v>
      </c>
      <c r="E143" s="335" t="s">
        <v>65</v>
      </c>
      <c r="F143" s="337">
        <f>F145+F144+F146</f>
        <v>39736000</v>
      </c>
      <c r="G143" s="344">
        <f>+G145</f>
        <v>0</v>
      </c>
      <c r="H143" s="344">
        <f>+H145</f>
        <v>0</v>
      </c>
      <c r="I143" s="344">
        <f t="shared" si="59"/>
        <v>0</v>
      </c>
      <c r="J143" s="344">
        <f>+J145</f>
        <v>0</v>
      </c>
      <c r="K143" s="344">
        <f>+K145</f>
        <v>0</v>
      </c>
      <c r="L143" s="344">
        <f t="shared" si="60"/>
        <v>0</v>
      </c>
      <c r="M143" s="344">
        <f t="shared" si="64"/>
        <v>0</v>
      </c>
      <c r="N143" s="337">
        <f t="shared" si="62"/>
        <v>39736000</v>
      </c>
      <c r="P143" s="340"/>
      <c r="S143" s="347"/>
      <c r="T143" s="347"/>
      <c r="U143" s="382"/>
    </row>
    <row r="144" spans="1:21" s="381" customFormat="1" ht="18" customHeight="1" x14ac:dyDescent="0.25">
      <c r="A144" s="380"/>
      <c r="B144" s="352"/>
      <c r="C144" s="334"/>
      <c r="D144" s="335" t="s">
        <v>66</v>
      </c>
      <c r="E144" s="335" t="s">
        <v>67</v>
      </c>
      <c r="F144" s="337">
        <v>13500</v>
      </c>
      <c r="G144" s="344"/>
      <c r="H144" s="344"/>
      <c r="I144" s="344">
        <f t="shared" si="59"/>
        <v>0</v>
      </c>
      <c r="J144" s="344"/>
      <c r="K144" s="344"/>
      <c r="L144" s="344">
        <f t="shared" si="60"/>
        <v>0</v>
      </c>
      <c r="M144" s="344">
        <f t="shared" si="64"/>
        <v>0</v>
      </c>
      <c r="N144" s="337">
        <f t="shared" si="62"/>
        <v>13500</v>
      </c>
      <c r="P144" s="340"/>
      <c r="S144" s="347"/>
      <c r="T144" s="347"/>
      <c r="U144" s="382"/>
    </row>
    <row r="145" spans="1:21" s="381" customFormat="1" ht="18" customHeight="1" x14ac:dyDescent="0.25">
      <c r="A145" s="380"/>
      <c r="B145" s="352"/>
      <c r="C145" s="334"/>
      <c r="D145" s="335" t="s">
        <v>339</v>
      </c>
      <c r="E145" s="335" t="s">
        <v>340</v>
      </c>
      <c r="F145" s="337">
        <v>29175000</v>
      </c>
      <c r="G145" s="344"/>
      <c r="H145" s="344"/>
      <c r="I145" s="344">
        <f t="shared" si="59"/>
        <v>0</v>
      </c>
      <c r="J145" s="344"/>
      <c r="K145" s="344"/>
      <c r="L145" s="344">
        <f t="shared" si="60"/>
        <v>0</v>
      </c>
      <c r="M145" s="344">
        <f t="shared" si="64"/>
        <v>0</v>
      </c>
      <c r="N145" s="337">
        <f t="shared" si="62"/>
        <v>29175000</v>
      </c>
      <c r="P145" s="340"/>
      <c r="S145" s="347"/>
      <c r="T145" s="347"/>
      <c r="U145" s="382"/>
    </row>
    <row r="146" spans="1:21" s="381" customFormat="1" ht="18" customHeight="1" x14ac:dyDescent="0.25">
      <c r="A146" s="380"/>
      <c r="B146" s="352"/>
      <c r="C146" s="334"/>
      <c r="D146" s="335" t="s">
        <v>371</v>
      </c>
      <c r="E146" s="335" t="s">
        <v>372</v>
      </c>
      <c r="F146" s="337">
        <v>10547500</v>
      </c>
      <c r="G146" s="344"/>
      <c r="H146" s="344"/>
      <c r="I146" s="344">
        <f t="shared" si="59"/>
        <v>0</v>
      </c>
      <c r="J146" s="344"/>
      <c r="K146" s="344"/>
      <c r="L146" s="344">
        <f t="shared" si="60"/>
        <v>0</v>
      </c>
      <c r="M146" s="344">
        <f t="shared" si="64"/>
        <v>0</v>
      </c>
      <c r="N146" s="337">
        <f t="shared" si="62"/>
        <v>10547500</v>
      </c>
      <c r="P146" s="340"/>
      <c r="S146" s="347"/>
      <c r="T146" s="347"/>
      <c r="U146" s="382"/>
    </row>
    <row r="147" spans="1:21" s="381" customFormat="1" ht="18" customHeight="1" x14ac:dyDescent="0.25">
      <c r="A147" s="380"/>
      <c r="B147" s="383"/>
      <c r="C147" s="384"/>
      <c r="D147" s="365" t="s">
        <v>267</v>
      </c>
      <c r="E147" s="335" t="s">
        <v>268</v>
      </c>
      <c r="F147" s="337">
        <f>+F148</f>
        <v>1126200000</v>
      </c>
      <c r="G147" s="344">
        <f>+G148</f>
        <v>0</v>
      </c>
      <c r="H147" s="344">
        <f>+H148</f>
        <v>0</v>
      </c>
      <c r="I147" s="344">
        <f>+G147+H147</f>
        <v>0</v>
      </c>
      <c r="J147" s="344">
        <f>+J148</f>
        <v>0</v>
      </c>
      <c r="K147" s="344">
        <f>+K148</f>
        <v>0</v>
      </c>
      <c r="L147" s="344">
        <f>+J147+K147</f>
        <v>0</v>
      </c>
      <c r="M147" s="344">
        <f t="shared" si="64"/>
        <v>0</v>
      </c>
      <c r="N147" s="337">
        <f>+F147-M147</f>
        <v>1126200000</v>
      </c>
      <c r="P147" s="340"/>
      <c r="R147" s="385"/>
      <c r="S147" s="347"/>
      <c r="T147" s="347"/>
      <c r="U147" s="382"/>
    </row>
    <row r="148" spans="1:21" s="381" customFormat="1" ht="18" customHeight="1" x14ac:dyDescent="0.25">
      <c r="A148" s="380"/>
      <c r="B148" s="352"/>
      <c r="C148" s="334"/>
      <c r="D148" s="335" t="s">
        <v>78</v>
      </c>
      <c r="E148" s="335" t="s">
        <v>75</v>
      </c>
      <c r="F148" s="337">
        <f>+F149+F159+F156</f>
        <v>1126200000</v>
      </c>
      <c r="G148" s="344">
        <f>+G149+G159</f>
        <v>0</v>
      </c>
      <c r="H148" s="344">
        <f>+H149+H159</f>
        <v>0</v>
      </c>
      <c r="I148" s="344">
        <f>+G148+H148</f>
        <v>0</v>
      </c>
      <c r="J148" s="344">
        <f>+J149+J159</f>
        <v>0</v>
      </c>
      <c r="K148" s="344">
        <f>+K149+K159</f>
        <v>0</v>
      </c>
      <c r="L148" s="344">
        <f>+J148+K148</f>
        <v>0</v>
      </c>
      <c r="M148" s="344">
        <f t="shared" si="64"/>
        <v>0</v>
      </c>
      <c r="N148" s="337">
        <f>+F148-M148</f>
        <v>1126200000</v>
      </c>
      <c r="P148" s="340"/>
      <c r="S148" s="347"/>
      <c r="T148" s="347"/>
      <c r="U148" s="382"/>
    </row>
    <row r="149" spans="1:21" s="339" customFormat="1" ht="18" customHeight="1" x14ac:dyDescent="0.25">
      <c r="A149" s="334"/>
      <c r="B149" s="335"/>
      <c r="C149" s="334"/>
      <c r="D149" s="365" t="s">
        <v>269</v>
      </c>
      <c r="E149" s="335" t="s">
        <v>270</v>
      </c>
      <c r="F149" s="337">
        <f>+F153+F150</f>
        <v>385400000</v>
      </c>
      <c r="G149" s="344">
        <f>+G153</f>
        <v>0</v>
      </c>
      <c r="H149" s="344">
        <f>+H153</f>
        <v>0</v>
      </c>
      <c r="I149" s="344">
        <f>+G149+H149</f>
        <v>0</v>
      </c>
      <c r="J149" s="344">
        <f>+J153</f>
        <v>0</v>
      </c>
      <c r="K149" s="344">
        <f>+K153+K150</f>
        <v>0</v>
      </c>
      <c r="L149" s="344">
        <f>+J149+K149</f>
        <v>0</v>
      </c>
      <c r="M149" s="344">
        <f t="shared" si="64"/>
        <v>0</v>
      </c>
      <c r="N149" s="337">
        <f>+F149-M149</f>
        <v>385400000</v>
      </c>
      <c r="P149" s="340"/>
      <c r="S149" s="347"/>
      <c r="T149" s="347"/>
      <c r="U149" s="342"/>
    </row>
    <row r="150" spans="1:21" s="381" customFormat="1" ht="18" customHeight="1" x14ac:dyDescent="0.25">
      <c r="A150" s="380"/>
      <c r="B150" s="352"/>
      <c r="C150" s="334"/>
      <c r="D150" s="335" t="s">
        <v>76</v>
      </c>
      <c r="E150" s="335" t="s">
        <v>484</v>
      </c>
      <c r="F150" s="337">
        <f>F151+F152</f>
        <v>180100000</v>
      </c>
      <c r="G150" s="344">
        <f>G151</f>
        <v>0</v>
      </c>
      <c r="H150" s="344">
        <f>+H151</f>
        <v>0</v>
      </c>
      <c r="I150" s="344">
        <f>+G150+H150</f>
        <v>0</v>
      </c>
      <c r="J150" s="344">
        <f>J151</f>
        <v>0</v>
      </c>
      <c r="K150" s="344">
        <f>+K151</f>
        <v>0</v>
      </c>
      <c r="L150" s="344">
        <f>+J150+K150</f>
        <v>0</v>
      </c>
      <c r="M150" s="344">
        <f t="shared" si="64"/>
        <v>0</v>
      </c>
      <c r="N150" s="337">
        <f>+F150-M150</f>
        <v>180100000</v>
      </c>
      <c r="P150" s="340"/>
      <c r="S150" s="347"/>
      <c r="T150" s="347"/>
      <c r="U150" s="382"/>
    </row>
    <row r="151" spans="1:21" s="381" customFormat="1" ht="18" customHeight="1" x14ac:dyDescent="0.25">
      <c r="A151" s="380"/>
      <c r="B151" s="352"/>
      <c r="C151" s="334"/>
      <c r="D151" s="335" t="s">
        <v>393</v>
      </c>
      <c r="E151" s="335" t="s">
        <v>394</v>
      </c>
      <c r="F151" s="337">
        <v>99600000</v>
      </c>
      <c r="G151" s="344"/>
      <c r="H151" s="344"/>
      <c r="I151" s="344">
        <f t="shared" ref="I151:I152" si="66">+G151+H151</f>
        <v>0</v>
      </c>
      <c r="J151" s="344"/>
      <c r="K151" s="344"/>
      <c r="L151" s="344">
        <f t="shared" ref="L151:L152" si="67">+J151+K151</f>
        <v>0</v>
      </c>
      <c r="M151" s="344">
        <f t="shared" si="64"/>
        <v>0</v>
      </c>
      <c r="N151" s="337">
        <f t="shared" ref="N151:N152" si="68">+F151-M151</f>
        <v>99600000</v>
      </c>
      <c r="P151" s="340"/>
      <c r="S151" s="346"/>
      <c r="T151" s="347"/>
      <c r="U151" s="382"/>
    </row>
    <row r="152" spans="1:21" s="381" customFormat="1" ht="18" customHeight="1" x14ac:dyDescent="0.25">
      <c r="A152" s="380"/>
      <c r="B152" s="352"/>
      <c r="C152" s="334"/>
      <c r="D152" s="335" t="s">
        <v>117</v>
      </c>
      <c r="E152" s="335" t="s">
        <v>118</v>
      </c>
      <c r="F152" s="337">
        <v>80500000</v>
      </c>
      <c r="G152" s="344"/>
      <c r="H152" s="344"/>
      <c r="I152" s="344">
        <f t="shared" si="66"/>
        <v>0</v>
      </c>
      <c r="J152" s="344"/>
      <c r="K152" s="344"/>
      <c r="L152" s="344">
        <f t="shared" si="67"/>
        <v>0</v>
      </c>
      <c r="M152" s="344">
        <f t="shared" si="64"/>
        <v>0</v>
      </c>
      <c r="N152" s="337">
        <f t="shared" si="68"/>
        <v>80500000</v>
      </c>
      <c r="P152" s="340"/>
      <c r="S152" s="346"/>
      <c r="T152" s="347"/>
      <c r="U152" s="382"/>
    </row>
    <row r="153" spans="1:21" s="381" customFormat="1" ht="18" customHeight="1" x14ac:dyDescent="0.25">
      <c r="A153" s="380"/>
      <c r="B153" s="352"/>
      <c r="C153" s="334"/>
      <c r="D153" s="335" t="s">
        <v>92</v>
      </c>
      <c r="E153" s="335" t="s">
        <v>94</v>
      </c>
      <c r="F153" s="337">
        <f>F154+F155</f>
        <v>205300000</v>
      </c>
      <c r="G153" s="344">
        <f>+G154+G155</f>
        <v>0</v>
      </c>
      <c r="H153" s="344">
        <f>+H154+H155</f>
        <v>0</v>
      </c>
      <c r="I153" s="344">
        <f>+G153+H153</f>
        <v>0</v>
      </c>
      <c r="J153" s="344">
        <f>J154+J155</f>
        <v>0</v>
      </c>
      <c r="K153" s="344">
        <f>+K154+K155</f>
        <v>0</v>
      </c>
      <c r="L153" s="344">
        <f>+J153+K153</f>
        <v>0</v>
      </c>
      <c r="M153" s="344">
        <f t="shared" si="64"/>
        <v>0</v>
      </c>
      <c r="N153" s="337">
        <f>+F153-M153</f>
        <v>205300000</v>
      </c>
      <c r="P153" s="340"/>
      <c r="S153" s="347"/>
      <c r="T153" s="347"/>
      <c r="U153" s="382"/>
    </row>
    <row r="154" spans="1:21" s="381" customFormat="1" ht="18" customHeight="1" x14ac:dyDescent="0.25">
      <c r="A154" s="380"/>
      <c r="B154" s="352"/>
      <c r="C154" s="334"/>
      <c r="D154" s="335" t="s">
        <v>93</v>
      </c>
      <c r="E154" s="335" t="s">
        <v>95</v>
      </c>
      <c r="F154" s="337">
        <v>180000000</v>
      </c>
      <c r="G154" s="344"/>
      <c r="H154" s="344"/>
      <c r="I154" s="344">
        <f t="shared" ref="I154:I155" si="69">+G154+H154</f>
        <v>0</v>
      </c>
      <c r="J154" s="344"/>
      <c r="K154" s="344"/>
      <c r="L154" s="344">
        <f t="shared" ref="L154:L164" si="70">+J154+K154</f>
        <v>0</v>
      </c>
      <c r="M154" s="344">
        <f t="shared" si="64"/>
        <v>0</v>
      </c>
      <c r="N154" s="337">
        <f t="shared" ref="N154:N155" si="71">+F154-M154</f>
        <v>180000000</v>
      </c>
      <c r="P154" s="340"/>
      <c r="S154" s="347"/>
      <c r="T154" s="347"/>
      <c r="U154" s="382"/>
    </row>
    <row r="155" spans="1:21" s="381" customFormat="1" ht="18" customHeight="1" x14ac:dyDescent="0.25">
      <c r="A155" s="380"/>
      <c r="B155" s="352"/>
      <c r="C155" s="334"/>
      <c r="D155" s="335" t="s">
        <v>397</v>
      </c>
      <c r="E155" s="335" t="s">
        <v>398</v>
      </c>
      <c r="F155" s="337">
        <v>25300000</v>
      </c>
      <c r="G155" s="344"/>
      <c r="H155" s="344"/>
      <c r="I155" s="344">
        <f t="shared" si="69"/>
        <v>0</v>
      </c>
      <c r="J155" s="344"/>
      <c r="K155" s="344"/>
      <c r="L155" s="344">
        <f t="shared" si="70"/>
        <v>0</v>
      </c>
      <c r="M155" s="344">
        <f t="shared" si="64"/>
        <v>0</v>
      </c>
      <c r="N155" s="337">
        <f t="shared" si="71"/>
        <v>25300000</v>
      </c>
      <c r="P155" s="340"/>
      <c r="S155" s="347"/>
      <c r="T155" s="347"/>
      <c r="U155" s="382"/>
    </row>
    <row r="156" spans="1:21" s="339" customFormat="1" ht="18" customHeight="1" x14ac:dyDescent="0.25">
      <c r="A156" s="334"/>
      <c r="B156" s="335"/>
      <c r="C156" s="334"/>
      <c r="D156" s="365" t="s">
        <v>399</v>
      </c>
      <c r="E156" s="335" t="s">
        <v>400</v>
      </c>
      <c r="F156" s="337">
        <f>+F157</f>
        <v>200000000</v>
      </c>
      <c r="G156" s="344">
        <f>+G160</f>
        <v>0</v>
      </c>
      <c r="H156" s="344">
        <f>+H160</f>
        <v>0</v>
      </c>
      <c r="I156" s="344">
        <f>+G156+H156</f>
        <v>0</v>
      </c>
      <c r="J156" s="344">
        <f>+J160</f>
        <v>0</v>
      </c>
      <c r="K156" s="344">
        <f>+K160+K157</f>
        <v>0</v>
      </c>
      <c r="L156" s="344">
        <f>+J156+K156</f>
        <v>0</v>
      </c>
      <c r="M156" s="344">
        <f t="shared" si="64"/>
        <v>0</v>
      </c>
      <c r="N156" s="337">
        <f>+F156-M156</f>
        <v>200000000</v>
      </c>
      <c r="P156" s="340"/>
      <c r="S156" s="347"/>
      <c r="T156" s="347"/>
      <c r="U156" s="342"/>
    </row>
    <row r="157" spans="1:21" s="381" customFormat="1" ht="18" customHeight="1" x14ac:dyDescent="0.25">
      <c r="A157" s="380"/>
      <c r="B157" s="352"/>
      <c r="C157" s="334"/>
      <c r="D157" s="335" t="s">
        <v>401</v>
      </c>
      <c r="E157" s="335" t="s">
        <v>402</v>
      </c>
      <c r="F157" s="337">
        <f>+F158</f>
        <v>200000000</v>
      </c>
      <c r="G157" s="344">
        <f>G158</f>
        <v>0</v>
      </c>
      <c r="H157" s="344">
        <f>+H158</f>
        <v>0</v>
      </c>
      <c r="I157" s="344">
        <f>+G157+H157</f>
        <v>0</v>
      </c>
      <c r="J157" s="344">
        <f>J158</f>
        <v>0</v>
      </c>
      <c r="K157" s="344">
        <f>+K158</f>
        <v>0</v>
      </c>
      <c r="L157" s="344">
        <f>+J157+K157</f>
        <v>0</v>
      </c>
      <c r="M157" s="344">
        <f t="shared" si="64"/>
        <v>0</v>
      </c>
      <c r="N157" s="337">
        <f>+F157-M157</f>
        <v>200000000</v>
      </c>
      <c r="P157" s="340"/>
      <c r="S157" s="347"/>
      <c r="T157" s="347"/>
      <c r="U157" s="382"/>
    </row>
    <row r="158" spans="1:21" s="381" customFormat="1" ht="18" customHeight="1" x14ac:dyDescent="0.25">
      <c r="A158" s="380"/>
      <c r="B158" s="352"/>
      <c r="C158" s="334"/>
      <c r="D158" s="335" t="s">
        <v>459</v>
      </c>
      <c r="E158" s="335" t="s">
        <v>460</v>
      </c>
      <c r="F158" s="337">
        <v>200000000</v>
      </c>
      <c r="G158" s="344"/>
      <c r="H158" s="344"/>
      <c r="I158" s="344">
        <f t="shared" ref="I158" si="72">+G158+H158</f>
        <v>0</v>
      </c>
      <c r="J158" s="344"/>
      <c r="K158" s="344"/>
      <c r="L158" s="344">
        <f t="shared" ref="L158" si="73">+J158+K158</f>
        <v>0</v>
      </c>
      <c r="M158" s="344">
        <f t="shared" si="64"/>
        <v>0</v>
      </c>
      <c r="N158" s="337">
        <f t="shared" ref="N158" si="74">+F158-M158</f>
        <v>200000000</v>
      </c>
      <c r="P158" s="340"/>
      <c r="S158" s="346"/>
      <c r="T158" s="347"/>
      <c r="U158" s="382"/>
    </row>
    <row r="159" spans="1:21" s="339" customFormat="1" ht="18" customHeight="1" x14ac:dyDescent="0.25">
      <c r="A159" s="334"/>
      <c r="B159" s="335"/>
      <c r="C159" s="334"/>
      <c r="D159" s="365" t="s">
        <v>273</v>
      </c>
      <c r="E159" s="335" t="s">
        <v>274</v>
      </c>
      <c r="F159" s="337">
        <f>+F160+F162</f>
        <v>540800000</v>
      </c>
      <c r="G159" s="344">
        <f>+G160+G162</f>
        <v>0</v>
      </c>
      <c r="H159" s="344">
        <f>+H160+H162</f>
        <v>0</v>
      </c>
      <c r="I159" s="344">
        <f>+G159+H159</f>
        <v>0</v>
      </c>
      <c r="J159" s="344">
        <f t="shared" ref="J159:K160" si="75">+J160</f>
        <v>0</v>
      </c>
      <c r="K159" s="344">
        <f t="shared" si="75"/>
        <v>0</v>
      </c>
      <c r="L159" s="344">
        <f t="shared" si="70"/>
        <v>0</v>
      </c>
      <c r="M159" s="344">
        <f t="shared" si="64"/>
        <v>0</v>
      </c>
      <c r="N159" s="337">
        <f>+F159-M159</f>
        <v>540800000</v>
      </c>
      <c r="P159" s="340"/>
      <c r="S159" s="347"/>
      <c r="T159" s="347"/>
      <c r="U159" s="342"/>
    </row>
    <row r="160" spans="1:21" s="381" customFormat="1" ht="18" customHeight="1" x14ac:dyDescent="0.25">
      <c r="A160" s="380"/>
      <c r="B160" s="352"/>
      <c r="C160" s="334"/>
      <c r="D160" s="335" t="s">
        <v>96</v>
      </c>
      <c r="E160" s="335" t="s">
        <v>98</v>
      </c>
      <c r="F160" s="337">
        <f>F161</f>
        <v>335000000</v>
      </c>
      <c r="G160" s="344">
        <f>+G161</f>
        <v>0</v>
      </c>
      <c r="H160" s="344">
        <f>+H161</f>
        <v>0</v>
      </c>
      <c r="I160" s="344">
        <f>+G160+H160</f>
        <v>0</v>
      </c>
      <c r="J160" s="344">
        <f>+J161</f>
        <v>0</v>
      </c>
      <c r="K160" s="344">
        <f t="shared" si="75"/>
        <v>0</v>
      </c>
      <c r="L160" s="344">
        <f t="shared" si="70"/>
        <v>0</v>
      </c>
      <c r="M160" s="344">
        <f t="shared" si="64"/>
        <v>0</v>
      </c>
      <c r="N160" s="337">
        <f>+F160-M160</f>
        <v>335000000</v>
      </c>
      <c r="P160" s="340"/>
      <c r="S160" s="347"/>
      <c r="T160" s="347"/>
      <c r="U160" s="382"/>
    </row>
    <row r="161" spans="1:21" s="381" customFormat="1" ht="18" customHeight="1" x14ac:dyDescent="0.25">
      <c r="A161" s="380"/>
      <c r="B161" s="352"/>
      <c r="C161" s="334"/>
      <c r="D161" s="335" t="s">
        <v>97</v>
      </c>
      <c r="E161" s="335" t="s">
        <v>99</v>
      </c>
      <c r="F161" s="337">
        <v>335000000</v>
      </c>
      <c r="G161" s="344"/>
      <c r="H161" s="344"/>
      <c r="I161" s="344">
        <f t="shared" si="59"/>
        <v>0</v>
      </c>
      <c r="J161" s="344"/>
      <c r="K161" s="344"/>
      <c r="L161" s="344">
        <f t="shared" si="70"/>
        <v>0</v>
      </c>
      <c r="M161" s="344">
        <f t="shared" si="64"/>
        <v>0</v>
      </c>
      <c r="N161" s="337">
        <f t="shared" ref="N161" si="76">+F161-M161</f>
        <v>335000000</v>
      </c>
      <c r="P161" s="340"/>
      <c r="S161" s="347"/>
      <c r="T161" s="347"/>
      <c r="U161" s="382"/>
    </row>
    <row r="162" spans="1:21" s="381" customFormat="1" ht="18" customHeight="1" x14ac:dyDescent="0.25">
      <c r="A162" s="380"/>
      <c r="B162" s="352"/>
      <c r="C162" s="334"/>
      <c r="D162" s="335" t="s">
        <v>382</v>
      </c>
      <c r="E162" s="335" t="s">
        <v>383</v>
      </c>
      <c r="F162" s="337">
        <f>SUM(F163:F164)</f>
        <v>205800000</v>
      </c>
      <c r="G162" s="344">
        <f>SUM(G163:G164)</f>
        <v>0</v>
      </c>
      <c r="H162" s="344">
        <f>SUM(H163:H164)</f>
        <v>0</v>
      </c>
      <c r="I162" s="344">
        <f>+G162+H162</f>
        <v>0</v>
      </c>
      <c r="J162" s="344">
        <f>SUM(J163:J164)</f>
        <v>0</v>
      </c>
      <c r="K162" s="344">
        <f>SUM(K163:K164)</f>
        <v>0</v>
      </c>
      <c r="L162" s="344">
        <f>+J162+K162</f>
        <v>0</v>
      </c>
      <c r="M162" s="344">
        <f t="shared" si="64"/>
        <v>0</v>
      </c>
      <c r="N162" s="337">
        <f>+F162-M162</f>
        <v>205800000</v>
      </c>
      <c r="P162" s="340"/>
      <c r="S162" s="347"/>
      <c r="T162" s="347"/>
      <c r="U162" s="382"/>
    </row>
    <row r="163" spans="1:21" s="381" customFormat="1" ht="18" customHeight="1" x14ac:dyDescent="0.25">
      <c r="A163" s="380"/>
      <c r="B163" s="352"/>
      <c r="C163" s="334"/>
      <c r="D163" s="335" t="s">
        <v>384</v>
      </c>
      <c r="E163" s="335" t="s">
        <v>385</v>
      </c>
      <c r="F163" s="337">
        <v>170400000</v>
      </c>
      <c r="G163" s="344"/>
      <c r="H163" s="344"/>
      <c r="I163" s="344">
        <f t="shared" si="59"/>
        <v>0</v>
      </c>
      <c r="J163" s="344"/>
      <c r="K163" s="344"/>
      <c r="L163" s="344">
        <f t="shared" si="70"/>
        <v>0</v>
      </c>
      <c r="M163" s="344">
        <f t="shared" si="64"/>
        <v>0</v>
      </c>
      <c r="N163" s="337">
        <f t="shared" ref="N163:N164" si="77">+F163-M163</f>
        <v>170400000</v>
      </c>
      <c r="P163" s="340"/>
      <c r="S163" s="347"/>
      <c r="T163" s="347"/>
      <c r="U163" s="382"/>
    </row>
    <row r="164" spans="1:21" s="388" customFormat="1" ht="18" customHeight="1" x14ac:dyDescent="0.25">
      <c r="A164" s="386"/>
      <c r="B164" s="387"/>
      <c r="C164" s="353"/>
      <c r="D164" s="355" t="s">
        <v>386</v>
      </c>
      <c r="E164" s="355" t="s">
        <v>387</v>
      </c>
      <c r="F164" s="356">
        <v>35400000</v>
      </c>
      <c r="G164" s="357"/>
      <c r="H164" s="357"/>
      <c r="I164" s="357">
        <f t="shared" si="59"/>
        <v>0</v>
      </c>
      <c r="J164" s="357"/>
      <c r="K164" s="357"/>
      <c r="L164" s="357">
        <f t="shared" si="70"/>
        <v>0</v>
      </c>
      <c r="M164" s="357">
        <f t="shared" si="64"/>
        <v>0</v>
      </c>
      <c r="N164" s="356">
        <f t="shared" si="77"/>
        <v>35400000</v>
      </c>
      <c r="P164" s="200"/>
      <c r="S164" s="221"/>
      <c r="T164" s="221"/>
      <c r="U164" s="389"/>
    </row>
    <row r="165" spans="1:21" s="319" customFormat="1" ht="18" customHeight="1" x14ac:dyDescent="0.25">
      <c r="A165" s="276">
        <v>7</v>
      </c>
      <c r="B165" s="305"/>
      <c r="C165" s="390" t="s">
        <v>102</v>
      </c>
      <c r="D165" s="363"/>
      <c r="E165" s="364" t="s">
        <v>103</v>
      </c>
      <c r="F165" s="307">
        <f t="shared" ref="F165:H168" si="78">+F166</f>
        <v>540210000</v>
      </c>
      <c r="G165" s="308">
        <f t="shared" si="78"/>
        <v>0</v>
      </c>
      <c r="H165" s="308">
        <f t="shared" si="78"/>
        <v>0</v>
      </c>
      <c r="I165" s="308">
        <f>+G165+H165</f>
        <v>0</v>
      </c>
      <c r="J165" s="308">
        <f>+J166</f>
        <v>0</v>
      </c>
      <c r="K165" s="308">
        <f t="shared" ref="J165:K168" si="79">+K166</f>
        <v>45950000</v>
      </c>
      <c r="L165" s="308">
        <f>+J165+K165</f>
        <v>45950000</v>
      </c>
      <c r="M165" s="308">
        <f>+I165+L165</f>
        <v>45950000</v>
      </c>
      <c r="N165" s="307">
        <f>+F165-M165</f>
        <v>494260000</v>
      </c>
      <c r="P165" s="320"/>
      <c r="R165" s="321"/>
      <c r="S165" s="349"/>
      <c r="T165" s="349"/>
      <c r="U165" s="350"/>
    </row>
    <row r="166" spans="1:21" s="329" customFormat="1" ht="18" customHeight="1" x14ac:dyDescent="0.25">
      <c r="A166" s="323"/>
      <c r="B166" s="324"/>
      <c r="C166" s="379"/>
      <c r="D166" s="325" t="s">
        <v>207</v>
      </c>
      <c r="E166" s="326" t="s">
        <v>262</v>
      </c>
      <c r="F166" s="327">
        <f t="shared" si="78"/>
        <v>540210000</v>
      </c>
      <c r="G166" s="328">
        <f t="shared" si="78"/>
        <v>0</v>
      </c>
      <c r="H166" s="328">
        <f t="shared" si="78"/>
        <v>0</v>
      </c>
      <c r="I166" s="328">
        <f>+G166+H166</f>
        <v>0</v>
      </c>
      <c r="J166" s="328">
        <f t="shared" si="79"/>
        <v>0</v>
      </c>
      <c r="K166" s="328">
        <f t="shared" si="79"/>
        <v>45950000</v>
      </c>
      <c r="L166" s="328">
        <f>+J166+K166</f>
        <v>45950000</v>
      </c>
      <c r="M166" s="328">
        <f t="shared" ref="M166:M169" si="80">+I166+L166</f>
        <v>45950000</v>
      </c>
      <c r="N166" s="327">
        <f>+F166-M166</f>
        <v>494260000</v>
      </c>
      <c r="P166" s="330"/>
      <c r="R166" s="331"/>
      <c r="S166" s="351"/>
      <c r="T166" s="351"/>
      <c r="U166" s="333"/>
    </row>
    <row r="167" spans="1:21" s="381" customFormat="1" ht="18" customHeight="1" x14ac:dyDescent="0.25">
      <c r="A167" s="380"/>
      <c r="B167" s="352"/>
      <c r="C167" s="334"/>
      <c r="D167" s="335" t="s">
        <v>63</v>
      </c>
      <c r="E167" s="335" t="s">
        <v>30</v>
      </c>
      <c r="F167" s="337">
        <f t="shared" si="78"/>
        <v>540210000</v>
      </c>
      <c r="G167" s="344">
        <f t="shared" si="78"/>
        <v>0</v>
      </c>
      <c r="H167" s="344">
        <f t="shared" si="78"/>
        <v>0</v>
      </c>
      <c r="I167" s="344">
        <f>+G167+H167</f>
        <v>0</v>
      </c>
      <c r="J167" s="344">
        <f t="shared" si="79"/>
        <v>0</v>
      </c>
      <c r="K167" s="344">
        <f t="shared" si="79"/>
        <v>45950000</v>
      </c>
      <c r="L167" s="344">
        <f>+J167+K167</f>
        <v>45950000</v>
      </c>
      <c r="M167" s="344">
        <f t="shared" si="80"/>
        <v>45950000</v>
      </c>
      <c r="N167" s="337">
        <f>+F167-M167</f>
        <v>494260000</v>
      </c>
      <c r="P167" s="340"/>
      <c r="S167" s="347"/>
      <c r="T167" s="347"/>
      <c r="U167" s="382"/>
    </row>
    <row r="168" spans="1:21" s="339" customFormat="1" ht="18" customHeight="1" x14ac:dyDescent="0.25">
      <c r="A168" s="334"/>
      <c r="B168" s="335"/>
      <c r="C168" s="334"/>
      <c r="D168" s="365" t="s">
        <v>263</v>
      </c>
      <c r="E168" s="335" t="s">
        <v>264</v>
      </c>
      <c r="F168" s="337">
        <f t="shared" si="78"/>
        <v>540210000</v>
      </c>
      <c r="G168" s="344">
        <f>+G169</f>
        <v>0</v>
      </c>
      <c r="H168" s="344">
        <f>+H169</f>
        <v>0</v>
      </c>
      <c r="I168" s="344">
        <f>+G168+H168</f>
        <v>0</v>
      </c>
      <c r="J168" s="344">
        <f t="shared" si="79"/>
        <v>0</v>
      </c>
      <c r="K168" s="344">
        <f t="shared" si="79"/>
        <v>45950000</v>
      </c>
      <c r="L168" s="344">
        <f>+J168+K168</f>
        <v>45950000</v>
      </c>
      <c r="M168" s="344">
        <f t="shared" si="80"/>
        <v>45950000</v>
      </c>
      <c r="N168" s="337">
        <f>+F168-M168</f>
        <v>494260000</v>
      </c>
      <c r="P168" s="340"/>
      <c r="S168" s="347"/>
      <c r="T168" s="347"/>
      <c r="U168" s="342"/>
    </row>
    <row r="169" spans="1:21" s="381" customFormat="1" ht="18" customHeight="1" x14ac:dyDescent="0.25">
      <c r="A169" s="380"/>
      <c r="B169" s="352"/>
      <c r="C169" s="334"/>
      <c r="D169" s="335" t="s">
        <v>64</v>
      </c>
      <c r="E169" s="335" t="s">
        <v>65</v>
      </c>
      <c r="F169" s="337">
        <f>SUM(F170:F172)</f>
        <v>540210000</v>
      </c>
      <c r="G169" s="344">
        <f>SUM(G170:G172)</f>
        <v>0</v>
      </c>
      <c r="H169" s="344">
        <f>SUM(H170:H172)</f>
        <v>0</v>
      </c>
      <c r="I169" s="344">
        <f>+G169+H169</f>
        <v>0</v>
      </c>
      <c r="J169" s="344">
        <f>SUM(J170:J172)</f>
        <v>0</v>
      </c>
      <c r="K169" s="344">
        <f>SUM(K170:K172)</f>
        <v>45950000</v>
      </c>
      <c r="L169" s="344">
        <f>+J169+K169</f>
        <v>45950000</v>
      </c>
      <c r="M169" s="344">
        <f t="shared" si="80"/>
        <v>45950000</v>
      </c>
      <c r="N169" s="337">
        <f>+F169-M169</f>
        <v>494260000</v>
      </c>
      <c r="P169" s="340"/>
      <c r="S169" s="347"/>
      <c r="T169" s="347"/>
      <c r="U169" s="382"/>
    </row>
    <row r="170" spans="1:21" s="381" customFormat="1" ht="18" customHeight="1" x14ac:dyDescent="0.25">
      <c r="A170" s="380"/>
      <c r="B170" s="352"/>
      <c r="C170" s="334"/>
      <c r="D170" s="335" t="s">
        <v>388</v>
      </c>
      <c r="E170" s="335" t="s">
        <v>389</v>
      </c>
      <c r="F170" s="337">
        <v>57760000</v>
      </c>
      <c r="G170" s="344"/>
      <c r="H170" s="344"/>
      <c r="I170" s="344">
        <f t="shared" ref="I170" si="81">+G170+H170</f>
        <v>0</v>
      </c>
      <c r="J170" s="344"/>
      <c r="K170" s="344">
        <v>4000000</v>
      </c>
      <c r="L170" s="344">
        <f t="shared" ref="L170:L172" si="82">+J170+K170</f>
        <v>4000000</v>
      </c>
      <c r="M170" s="344">
        <f>+I170+L170</f>
        <v>4000000</v>
      </c>
      <c r="N170" s="337">
        <f t="shared" ref="N170:N172" si="83">+F170-M170</f>
        <v>53760000</v>
      </c>
      <c r="P170" s="340"/>
      <c r="S170" s="346">
        <v>4000000</v>
      </c>
      <c r="T170" s="347"/>
      <c r="U170" s="382"/>
    </row>
    <row r="171" spans="1:21" s="381" customFormat="1" ht="18" customHeight="1" x14ac:dyDescent="0.25">
      <c r="A171" s="380"/>
      <c r="B171" s="352"/>
      <c r="C171" s="334"/>
      <c r="D171" s="335" t="s">
        <v>70</v>
      </c>
      <c r="E171" s="335" t="s">
        <v>33</v>
      </c>
      <c r="F171" s="337">
        <v>382450000</v>
      </c>
      <c r="G171" s="344"/>
      <c r="H171" s="344"/>
      <c r="I171" s="344">
        <f>+G171+H171</f>
        <v>0</v>
      </c>
      <c r="J171" s="344"/>
      <c r="K171" s="344">
        <f>12500000+15600000+2500000+2000000+2500000+3350000+2000000+1500000</f>
        <v>41950000</v>
      </c>
      <c r="L171" s="344">
        <f t="shared" si="82"/>
        <v>41950000</v>
      </c>
      <c r="M171" s="344">
        <f t="shared" ref="M171:M172" si="84">+I171+L171</f>
        <v>41950000</v>
      </c>
      <c r="N171" s="337">
        <f t="shared" si="83"/>
        <v>340500000</v>
      </c>
      <c r="P171" s="340"/>
      <c r="S171" s="346">
        <f>1000000+1000000+12500000+15600000+2500000+2500000+3350000+3500000</f>
        <v>41950000</v>
      </c>
      <c r="T171" s="347"/>
      <c r="U171" s="382"/>
    </row>
    <row r="172" spans="1:21" s="388" customFormat="1" ht="18" customHeight="1" x14ac:dyDescent="0.25">
      <c r="A172" s="386"/>
      <c r="B172" s="387"/>
      <c r="C172" s="353"/>
      <c r="D172" s="355" t="s">
        <v>104</v>
      </c>
      <c r="E172" s="355" t="s">
        <v>390</v>
      </c>
      <c r="F172" s="356">
        <v>100000000</v>
      </c>
      <c r="G172" s="357"/>
      <c r="H172" s="357"/>
      <c r="I172" s="357"/>
      <c r="J172" s="357">
        <v>0</v>
      </c>
      <c r="K172" s="357"/>
      <c r="L172" s="357">
        <f t="shared" si="82"/>
        <v>0</v>
      </c>
      <c r="M172" s="357">
        <f t="shared" si="84"/>
        <v>0</v>
      </c>
      <c r="N172" s="356">
        <f t="shared" si="83"/>
        <v>100000000</v>
      </c>
      <c r="P172" s="200"/>
      <c r="S172" s="221"/>
      <c r="T172" s="221"/>
      <c r="U172" s="389"/>
    </row>
    <row r="173" spans="1:21" s="319" customFormat="1" ht="18" customHeight="1" x14ac:dyDescent="0.25">
      <c r="A173" s="276">
        <v>8</v>
      </c>
      <c r="B173" s="305"/>
      <c r="C173" s="390" t="s">
        <v>105</v>
      </c>
      <c r="D173" s="363"/>
      <c r="E173" s="364" t="s">
        <v>106</v>
      </c>
      <c r="F173" s="307">
        <f t="shared" ref="F173:H180" si="85">+F174</f>
        <v>1600450000</v>
      </c>
      <c r="G173" s="308">
        <f t="shared" si="85"/>
        <v>0</v>
      </c>
      <c r="H173" s="308">
        <f>+H174</f>
        <v>142125000</v>
      </c>
      <c r="I173" s="308">
        <f>+G173+H173</f>
        <v>142125000</v>
      </c>
      <c r="J173" s="308">
        <f t="shared" ref="J173:K180" si="86">+J174</f>
        <v>0</v>
      </c>
      <c r="K173" s="308">
        <f t="shared" si="86"/>
        <v>56100600</v>
      </c>
      <c r="L173" s="308">
        <f>+J173+K173</f>
        <v>56100600</v>
      </c>
      <c r="M173" s="308">
        <f>+I173+L173</f>
        <v>198225600</v>
      </c>
      <c r="N173" s="307">
        <f>+F173-M173</f>
        <v>1402224400</v>
      </c>
      <c r="P173" s="320"/>
      <c r="R173" s="321"/>
      <c r="S173" s="349"/>
      <c r="T173" s="349"/>
      <c r="U173" s="350"/>
    </row>
    <row r="174" spans="1:21" s="329" customFormat="1" ht="18" customHeight="1" x14ac:dyDescent="0.25">
      <c r="A174" s="323"/>
      <c r="B174" s="324"/>
      <c r="C174" s="379"/>
      <c r="D174" s="325" t="s">
        <v>207</v>
      </c>
      <c r="E174" s="326" t="s">
        <v>262</v>
      </c>
      <c r="F174" s="327">
        <f>+F175</f>
        <v>1600450000</v>
      </c>
      <c r="G174" s="328">
        <f t="shared" si="85"/>
        <v>0</v>
      </c>
      <c r="H174" s="328">
        <f t="shared" si="85"/>
        <v>142125000</v>
      </c>
      <c r="I174" s="328">
        <f>+G174+H174</f>
        <v>142125000</v>
      </c>
      <c r="J174" s="328">
        <f t="shared" si="86"/>
        <v>0</v>
      </c>
      <c r="K174" s="328">
        <f t="shared" si="86"/>
        <v>56100600</v>
      </c>
      <c r="L174" s="328">
        <f>+J174+K174</f>
        <v>56100600</v>
      </c>
      <c r="M174" s="328">
        <f t="shared" ref="M174:M182" si="87">+I174+L174</f>
        <v>198225600</v>
      </c>
      <c r="N174" s="327">
        <f>+F174-M174</f>
        <v>1402224400</v>
      </c>
      <c r="P174" s="330"/>
      <c r="R174" s="331"/>
      <c r="S174" s="351"/>
      <c r="T174" s="351"/>
      <c r="U174" s="333"/>
    </row>
    <row r="175" spans="1:21" s="381" customFormat="1" ht="18" customHeight="1" x14ac:dyDescent="0.25">
      <c r="A175" s="380"/>
      <c r="B175" s="352"/>
      <c r="C175" s="334"/>
      <c r="D175" s="335" t="s">
        <v>63</v>
      </c>
      <c r="E175" s="335" t="s">
        <v>30</v>
      </c>
      <c r="F175" s="337">
        <f>+F180+F176</f>
        <v>1600450000</v>
      </c>
      <c r="G175" s="344">
        <f>+G180</f>
        <v>0</v>
      </c>
      <c r="H175" s="344">
        <f>+H180+H176</f>
        <v>142125000</v>
      </c>
      <c r="I175" s="344">
        <f>+G175+H175</f>
        <v>142125000</v>
      </c>
      <c r="J175" s="344">
        <f>+J180+J176</f>
        <v>0</v>
      </c>
      <c r="K175" s="344">
        <f>+K180+K176</f>
        <v>56100600</v>
      </c>
      <c r="L175" s="344">
        <f>+J175+K175</f>
        <v>56100600</v>
      </c>
      <c r="M175" s="344">
        <f t="shared" si="87"/>
        <v>198225600</v>
      </c>
      <c r="N175" s="337">
        <f>+F175-M175</f>
        <v>1402224400</v>
      </c>
      <c r="P175" s="340"/>
      <c r="S175" s="347"/>
      <c r="T175" s="347"/>
      <c r="U175" s="382"/>
    </row>
    <row r="176" spans="1:21" s="339" customFormat="1" ht="18" customHeight="1" x14ac:dyDescent="0.25">
      <c r="A176" s="334"/>
      <c r="B176" s="335"/>
      <c r="C176" s="334"/>
      <c r="D176" s="365" t="s">
        <v>263</v>
      </c>
      <c r="E176" s="335" t="s">
        <v>264</v>
      </c>
      <c r="F176" s="337">
        <f>+F177</f>
        <v>32500000</v>
      </c>
      <c r="G176" s="344">
        <f>+G177</f>
        <v>0</v>
      </c>
      <c r="H176" s="344">
        <f>+H177</f>
        <v>0</v>
      </c>
      <c r="I176" s="344">
        <f>+G176+H176</f>
        <v>0</v>
      </c>
      <c r="J176" s="344">
        <f t="shared" si="86"/>
        <v>0</v>
      </c>
      <c r="K176" s="344">
        <f t="shared" si="86"/>
        <v>0</v>
      </c>
      <c r="L176" s="344">
        <f>+J176+K176</f>
        <v>0</v>
      </c>
      <c r="M176" s="344">
        <f t="shared" si="87"/>
        <v>0</v>
      </c>
      <c r="N176" s="337">
        <f>+F176-M176</f>
        <v>32500000</v>
      </c>
      <c r="P176" s="340"/>
      <c r="S176" s="347"/>
      <c r="T176" s="347"/>
      <c r="U176" s="342"/>
    </row>
    <row r="177" spans="1:21" s="381" customFormat="1" ht="18" customHeight="1" x14ac:dyDescent="0.25">
      <c r="A177" s="380"/>
      <c r="B177" s="352"/>
      <c r="C177" s="334"/>
      <c r="D177" s="335" t="s">
        <v>64</v>
      </c>
      <c r="E177" s="335" t="s">
        <v>65</v>
      </c>
      <c r="F177" s="337">
        <f>+F179+F178</f>
        <v>32500000</v>
      </c>
      <c r="G177" s="344">
        <f>+G179</f>
        <v>0</v>
      </c>
      <c r="H177" s="344">
        <f>SUM(H179)</f>
        <v>0</v>
      </c>
      <c r="I177" s="344">
        <f>+G177+H177</f>
        <v>0</v>
      </c>
      <c r="J177" s="344">
        <f>+J179</f>
        <v>0</v>
      </c>
      <c r="K177" s="344">
        <f>+K179</f>
        <v>0</v>
      </c>
      <c r="L177" s="344">
        <f>+J177+K177</f>
        <v>0</v>
      </c>
      <c r="M177" s="344">
        <f t="shared" si="87"/>
        <v>0</v>
      </c>
      <c r="N177" s="337">
        <f>+F177-M177</f>
        <v>32500000</v>
      </c>
      <c r="P177" s="340"/>
      <c r="S177" s="347"/>
      <c r="T177" s="347"/>
      <c r="U177" s="382"/>
    </row>
    <row r="178" spans="1:21" s="381" customFormat="1" ht="18" customHeight="1" x14ac:dyDescent="0.25">
      <c r="A178" s="380"/>
      <c r="B178" s="352"/>
      <c r="C178" s="334"/>
      <c r="D178" s="335" t="s">
        <v>443</v>
      </c>
      <c r="E178" s="335" t="s">
        <v>444</v>
      </c>
      <c r="F178" s="337">
        <v>17500000</v>
      </c>
      <c r="G178" s="344"/>
      <c r="H178" s="344"/>
      <c r="I178" s="344">
        <f t="shared" ref="I178:I179" si="88">+G178+H178</f>
        <v>0</v>
      </c>
      <c r="J178" s="344"/>
      <c r="K178" s="344"/>
      <c r="L178" s="344">
        <f t="shared" ref="L178:L179" si="89">+J178+K178</f>
        <v>0</v>
      </c>
      <c r="M178" s="344">
        <f t="shared" si="87"/>
        <v>0</v>
      </c>
      <c r="N178" s="337">
        <f t="shared" ref="N178:N179" si="90">+F178-M178</f>
        <v>17500000</v>
      </c>
      <c r="P178" s="340"/>
      <c r="S178" s="347"/>
      <c r="T178" s="347"/>
      <c r="U178" s="382"/>
    </row>
    <row r="179" spans="1:21" s="381" customFormat="1" ht="18" customHeight="1" x14ac:dyDescent="0.25">
      <c r="A179" s="380"/>
      <c r="B179" s="352"/>
      <c r="C179" s="334"/>
      <c r="D179" s="335" t="s">
        <v>447</v>
      </c>
      <c r="E179" s="335" t="s">
        <v>448</v>
      </c>
      <c r="F179" s="337">
        <v>15000000</v>
      </c>
      <c r="G179" s="344"/>
      <c r="H179" s="344"/>
      <c r="I179" s="344">
        <f t="shared" si="88"/>
        <v>0</v>
      </c>
      <c r="J179" s="344"/>
      <c r="K179" s="344"/>
      <c r="L179" s="344">
        <f t="shared" si="89"/>
        <v>0</v>
      </c>
      <c r="M179" s="344">
        <f t="shared" si="87"/>
        <v>0</v>
      </c>
      <c r="N179" s="337">
        <f t="shared" si="90"/>
        <v>15000000</v>
      </c>
      <c r="P179" s="340"/>
      <c r="S179" s="347"/>
      <c r="T179" s="347"/>
      <c r="U179" s="382"/>
    </row>
    <row r="180" spans="1:21" s="339" customFormat="1" ht="18" customHeight="1" x14ac:dyDescent="0.25">
      <c r="A180" s="334"/>
      <c r="B180" s="335"/>
      <c r="C180" s="334"/>
      <c r="D180" s="365" t="s">
        <v>265</v>
      </c>
      <c r="E180" s="335" t="s">
        <v>266</v>
      </c>
      <c r="F180" s="337">
        <f t="shared" si="85"/>
        <v>1567950000</v>
      </c>
      <c r="G180" s="344">
        <f>+G181</f>
        <v>0</v>
      </c>
      <c r="H180" s="344">
        <f>+H181</f>
        <v>142125000</v>
      </c>
      <c r="I180" s="344">
        <f>+G180+H180</f>
        <v>142125000</v>
      </c>
      <c r="J180" s="344">
        <f t="shared" si="86"/>
        <v>0</v>
      </c>
      <c r="K180" s="344">
        <f t="shared" si="86"/>
        <v>56100600</v>
      </c>
      <c r="L180" s="344">
        <f>+J180+K180</f>
        <v>56100600</v>
      </c>
      <c r="M180" s="344">
        <f t="shared" si="87"/>
        <v>198225600</v>
      </c>
      <c r="N180" s="337">
        <f>+F180-M180</f>
        <v>1369724400</v>
      </c>
      <c r="P180" s="340"/>
      <c r="S180" s="347"/>
      <c r="T180" s="347"/>
      <c r="U180" s="342"/>
    </row>
    <row r="181" spans="1:21" s="381" customFormat="1" ht="18" customHeight="1" x14ac:dyDescent="0.25">
      <c r="A181" s="380"/>
      <c r="B181" s="352"/>
      <c r="C181" s="334"/>
      <c r="D181" s="335" t="s">
        <v>71</v>
      </c>
      <c r="E181" s="335" t="s">
        <v>72</v>
      </c>
      <c r="F181" s="337">
        <f>SUM(F182:F183)</f>
        <v>1567950000</v>
      </c>
      <c r="G181" s="344">
        <f>SUM(G182:G183)</f>
        <v>0</v>
      </c>
      <c r="H181" s="344">
        <f>SUM(H182:H183)</f>
        <v>142125000</v>
      </c>
      <c r="I181" s="344">
        <f>+G181+H181</f>
        <v>142125000</v>
      </c>
      <c r="J181" s="344">
        <f>SUM(J182:J183)</f>
        <v>0</v>
      </c>
      <c r="K181" s="344">
        <f>SUM(K182:K183)</f>
        <v>56100600</v>
      </c>
      <c r="L181" s="344">
        <f>+J181+K181</f>
        <v>56100600</v>
      </c>
      <c r="M181" s="344">
        <f t="shared" si="87"/>
        <v>198225600</v>
      </c>
      <c r="N181" s="337">
        <f>+F181-M181</f>
        <v>1369724400</v>
      </c>
      <c r="P181" s="340"/>
      <c r="S181" s="347"/>
      <c r="T181" s="347"/>
      <c r="U181" s="382"/>
    </row>
    <row r="182" spans="1:21" s="381" customFormat="1" ht="18" customHeight="1" x14ac:dyDescent="0.25">
      <c r="A182" s="380"/>
      <c r="B182" s="352"/>
      <c r="C182" s="334"/>
      <c r="D182" s="335" t="s">
        <v>73</v>
      </c>
      <c r="E182" s="335" t="s">
        <v>74</v>
      </c>
      <c r="F182" s="337">
        <v>1501270000</v>
      </c>
      <c r="G182" s="344"/>
      <c r="H182" s="344">
        <v>142125000</v>
      </c>
      <c r="I182" s="344">
        <f t="shared" ref="I182" si="91">+G182+H182</f>
        <v>142125000</v>
      </c>
      <c r="J182" s="344"/>
      <c r="K182" s="344">
        <f>16020000+954000+256000+655000+505000+256000+1105000+676000+970000+970000+23964000+1889000+695000</f>
        <v>48915000</v>
      </c>
      <c r="L182" s="344">
        <f t="shared" ref="L182:L193" si="92">+J182+K182</f>
        <v>48915000</v>
      </c>
      <c r="M182" s="344">
        <f t="shared" si="87"/>
        <v>191040000</v>
      </c>
      <c r="N182" s="337">
        <f t="shared" ref="N182:N183" si="93">+F182-M182</f>
        <v>1310230000</v>
      </c>
      <c r="P182" s="340"/>
      <c r="S182" s="346">
        <f>23964000+1889000+695000+16020000+954000+256000+655000+505000+256000+1105000+676000+970000+970000</f>
        <v>48915000</v>
      </c>
      <c r="T182" s="346">
        <v>142125000</v>
      </c>
      <c r="U182" s="382"/>
    </row>
    <row r="183" spans="1:21" s="388" customFormat="1" ht="18" customHeight="1" x14ac:dyDescent="0.25">
      <c r="A183" s="386"/>
      <c r="B183" s="387"/>
      <c r="C183" s="353"/>
      <c r="D183" s="355" t="s">
        <v>88</v>
      </c>
      <c r="E183" s="355" t="s">
        <v>89</v>
      </c>
      <c r="F183" s="356">
        <v>66680000</v>
      </c>
      <c r="G183" s="357"/>
      <c r="H183" s="357"/>
      <c r="I183" s="357"/>
      <c r="J183" s="357"/>
      <c r="K183" s="357">
        <f>340000+340000+340000+340000+340000+340000+340000+340000+880000+2068100+969500+338000+210000</f>
        <v>7185600</v>
      </c>
      <c r="L183" s="357">
        <f t="shared" si="92"/>
        <v>7185600</v>
      </c>
      <c r="M183" s="357">
        <f>+I183+L183</f>
        <v>7185600</v>
      </c>
      <c r="N183" s="356">
        <f t="shared" si="93"/>
        <v>59494400</v>
      </c>
      <c r="P183" s="200"/>
      <c r="S183" s="358">
        <f>2068100+969500+338000+210000+340000+340000+340000+1700000+880000</f>
        <v>7185600</v>
      </c>
      <c r="T183" s="221"/>
      <c r="U183" s="389"/>
    </row>
    <row r="184" spans="1:21" s="319" customFormat="1" ht="18" customHeight="1" x14ac:dyDescent="0.25">
      <c r="A184" s="276">
        <v>9</v>
      </c>
      <c r="B184" s="305"/>
      <c r="C184" s="390" t="s">
        <v>109</v>
      </c>
      <c r="D184" s="363"/>
      <c r="E184" s="364" t="s">
        <v>110</v>
      </c>
      <c r="F184" s="307">
        <f>+F185+F201</f>
        <v>200844000</v>
      </c>
      <c r="G184" s="308">
        <f>+G185+G201</f>
        <v>0</v>
      </c>
      <c r="H184" s="308">
        <f>+H185+H201</f>
        <v>0</v>
      </c>
      <c r="I184" s="308">
        <f>+G184+H184</f>
        <v>0</v>
      </c>
      <c r="J184" s="308">
        <f>+J185+J201</f>
        <v>6240000</v>
      </c>
      <c r="K184" s="308">
        <f>+K185+K201</f>
        <v>6240000</v>
      </c>
      <c r="L184" s="308">
        <f t="shared" si="92"/>
        <v>12480000</v>
      </c>
      <c r="M184" s="308">
        <f>+I184+L184</f>
        <v>12480000</v>
      </c>
      <c r="N184" s="307">
        <f>+F184-M184</f>
        <v>188364000</v>
      </c>
      <c r="P184" s="320"/>
      <c r="R184" s="321"/>
      <c r="S184" s="349"/>
      <c r="T184" s="349"/>
      <c r="U184" s="350"/>
    </row>
    <row r="185" spans="1:21" s="329" customFormat="1" ht="18" customHeight="1" x14ac:dyDescent="0.25">
      <c r="A185" s="323"/>
      <c r="B185" s="324"/>
      <c r="C185" s="379"/>
      <c r="D185" s="325" t="s">
        <v>207</v>
      </c>
      <c r="E185" s="326" t="s">
        <v>262</v>
      </c>
      <c r="F185" s="327">
        <f>+F186</f>
        <v>174844000</v>
      </c>
      <c r="G185" s="328">
        <f>+G186</f>
        <v>0</v>
      </c>
      <c r="H185" s="328">
        <f>+H186</f>
        <v>0</v>
      </c>
      <c r="I185" s="328">
        <f>+G185+H185</f>
        <v>0</v>
      </c>
      <c r="J185" s="328">
        <f>+J186</f>
        <v>6240000</v>
      </c>
      <c r="K185" s="328">
        <f>+K186</f>
        <v>6240000</v>
      </c>
      <c r="L185" s="328">
        <f t="shared" si="92"/>
        <v>12480000</v>
      </c>
      <c r="M185" s="328">
        <f>+I185+L185</f>
        <v>12480000</v>
      </c>
      <c r="N185" s="327">
        <f>+F185-M185</f>
        <v>162364000</v>
      </c>
      <c r="P185" s="330"/>
      <c r="R185" s="331"/>
      <c r="S185" s="351"/>
      <c r="T185" s="351"/>
      <c r="U185" s="333"/>
    </row>
    <row r="186" spans="1:21" s="381" customFormat="1" ht="18" customHeight="1" x14ac:dyDescent="0.25">
      <c r="A186" s="380"/>
      <c r="B186" s="352"/>
      <c r="C186" s="334"/>
      <c r="D186" s="335" t="s">
        <v>63</v>
      </c>
      <c r="E186" s="335" t="s">
        <v>30</v>
      </c>
      <c r="F186" s="337">
        <f>+F187+F194+F198</f>
        <v>174844000</v>
      </c>
      <c r="G186" s="344">
        <f>+G187+G194</f>
        <v>0</v>
      </c>
      <c r="H186" s="344">
        <f>+H187+H194</f>
        <v>0</v>
      </c>
      <c r="I186" s="344">
        <f>+G186+H186</f>
        <v>0</v>
      </c>
      <c r="J186" s="344">
        <f>+J187+J194</f>
        <v>6240000</v>
      </c>
      <c r="K186" s="344">
        <f>+K187+K194</f>
        <v>6240000</v>
      </c>
      <c r="L186" s="344">
        <f t="shared" si="92"/>
        <v>12480000</v>
      </c>
      <c r="M186" s="344">
        <f t="shared" ref="M186:M196" si="94">+I186+L186</f>
        <v>12480000</v>
      </c>
      <c r="N186" s="337">
        <f>+F186-M186</f>
        <v>162364000</v>
      </c>
      <c r="P186" s="340"/>
      <c r="S186" s="347"/>
      <c r="T186" s="347"/>
      <c r="U186" s="382"/>
    </row>
    <row r="187" spans="1:21" s="339" customFormat="1" ht="18" customHeight="1" x14ac:dyDescent="0.25">
      <c r="A187" s="334"/>
      <c r="B187" s="335"/>
      <c r="C187" s="334"/>
      <c r="D187" s="365" t="s">
        <v>263</v>
      </c>
      <c r="E187" s="335" t="s">
        <v>264</v>
      </c>
      <c r="F187" s="337">
        <f t="shared" ref="F187" si="95">+F188</f>
        <v>44044000</v>
      </c>
      <c r="G187" s="344">
        <f>+G188</f>
        <v>0</v>
      </c>
      <c r="H187" s="344">
        <f>+H188</f>
        <v>0</v>
      </c>
      <c r="I187" s="344">
        <f>+G187+H187</f>
        <v>0</v>
      </c>
      <c r="J187" s="344">
        <f>+J188</f>
        <v>0</v>
      </c>
      <c r="K187" s="344">
        <f>+K188</f>
        <v>0</v>
      </c>
      <c r="L187" s="344">
        <f t="shared" si="92"/>
        <v>0</v>
      </c>
      <c r="M187" s="344">
        <f t="shared" si="94"/>
        <v>0</v>
      </c>
      <c r="N187" s="337">
        <f>+F187-M187</f>
        <v>44044000</v>
      </c>
      <c r="P187" s="340"/>
      <c r="S187" s="347"/>
      <c r="T187" s="347"/>
      <c r="U187" s="342"/>
    </row>
    <row r="188" spans="1:21" s="381" customFormat="1" ht="18" customHeight="1" x14ac:dyDescent="0.25">
      <c r="A188" s="380"/>
      <c r="B188" s="352"/>
      <c r="C188" s="334"/>
      <c r="D188" s="335" t="s">
        <v>64</v>
      </c>
      <c r="E188" s="335" t="s">
        <v>65</v>
      </c>
      <c r="F188" s="337">
        <f>SUM(F189:F193)</f>
        <v>44044000</v>
      </c>
      <c r="G188" s="344">
        <f>SUM(G189:G193)</f>
        <v>0</v>
      </c>
      <c r="H188" s="344">
        <f>SUM(H189:H193)</f>
        <v>0</v>
      </c>
      <c r="I188" s="344">
        <f>+G188+H188</f>
        <v>0</v>
      </c>
      <c r="J188" s="344">
        <f>SUM(J189:J193)</f>
        <v>0</v>
      </c>
      <c r="K188" s="344">
        <f>SUM(K189:K193)</f>
        <v>0</v>
      </c>
      <c r="L188" s="344">
        <f t="shared" si="92"/>
        <v>0</v>
      </c>
      <c r="M188" s="344">
        <f t="shared" si="94"/>
        <v>0</v>
      </c>
      <c r="N188" s="337">
        <f>+F188-M188</f>
        <v>44044000</v>
      </c>
      <c r="P188" s="340"/>
      <c r="S188" s="347"/>
      <c r="T188" s="347"/>
      <c r="U188" s="382"/>
    </row>
    <row r="189" spans="1:21" s="381" customFormat="1" ht="18" customHeight="1" x14ac:dyDescent="0.25">
      <c r="A189" s="380"/>
      <c r="B189" s="352"/>
      <c r="C189" s="334"/>
      <c r="D189" s="335" t="s">
        <v>66</v>
      </c>
      <c r="E189" s="335" t="s">
        <v>67</v>
      </c>
      <c r="F189" s="337">
        <v>24037500</v>
      </c>
      <c r="G189" s="344"/>
      <c r="H189" s="344"/>
      <c r="I189" s="344">
        <f t="shared" ref="I189" si="96">+G189+H189</f>
        <v>0</v>
      </c>
      <c r="J189" s="344"/>
      <c r="K189" s="344"/>
      <c r="L189" s="344">
        <f t="shared" si="92"/>
        <v>0</v>
      </c>
      <c r="M189" s="357">
        <f t="shared" si="94"/>
        <v>0</v>
      </c>
      <c r="N189" s="337">
        <f t="shared" ref="N189:N193" si="97">+F189-M189</f>
        <v>24037500</v>
      </c>
      <c r="P189" s="340"/>
      <c r="S189" s="347"/>
      <c r="T189" s="347"/>
      <c r="U189" s="382"/>
    </row>
    <row r="190" spans="1:21" s="381" customFormat="1" ht="18" customHeight="1" x14ac:dyDescent="0.25">
      <c r="A190" s="380"/>
      <c r="B190" s="352"/>
      <c r="C190" s="334"/>
      <c r="D190" s="335" t="s">
        <v>337</v>
      </c>
      <c r="E190" s="335" t="s">
        <v>338</v>
      </c>
      <c r="F190" s="337">
        <v>12104000</v>
      </c>
      <c r="G190" s="344"/>
      <c r="H190" s="344"/>
      <c r="I190" s="344"/>
      <c r="J190" s="344"/>
      <c r="K190" s="344"/>
      <c r="L190" s="344">
        <f t="shared" si="92"/>
        <v>0</v>
      </c>
      <c r="M190" s="357">
        <f t="shared" si="94"/>
        <v>0</v>
      </c>
      <c r="N190" s="337">
        <f t="shared" si="97"/>
        <v>12104000</v>
      </c>
      <c r="P190" s="340"/>
      <c r="S190" s="347"/>
      <c r="T190" s="347"/>
      <c r="U190" s="382"/>
    </row>
    <row r="191" spans="1:21" s="381" customFormat="1" ht="18" customHeight="1" x14ac:dyDescent="0.25">
      <c r="A191" s="380"/>
      <c r="B191" s="352"/>
      <c r="C191" s="334"/>
      <c r="D191" s="335" t="s">
        <v>367</v>
      </c>
      <c r="E191" s="335" t="s">
        <v>368</v>
      </c>
      <c r="F191" s="337">
        <v>3142500</v>
      </c>
      <c r="G191" s="344"/>
      <c r="H191" s="344"/>
      <c r="I191" s="344"/>
      <c r="J191" s="344"/>
      <c r="K191" s="344"/>
      <c r="L191" s="344">
        <f t="shared" si="92"/>
        <v>0</v>
      </c>
      <c r="M191" s="357">
        <f t="shared" si="94"/>
        <v>0</v>
      </c>
      <c r="N191" s="337">
        <f t="shared" si="97"/>
        <v>3142500</v>
      </c>
      <c r="P191" s="340"/>
      <c r="S191" s="347"/>
      <c r="T191" s="347"/>
      <c r="U191" s="382"/>
    </row>
    <row r="192" spans="1:21" s="381" customFormat="1" ht="18" customHeight="1" x14ac:dyDescent="0.25">
      <c r="A192" s="380"/>
      <c r="B192" s="352"/>
      <c r="C192" s="334"/>
      <c r="D192" s="335" t="s">
        <v>373</v>
      </c>
      <c r="E192" s="335" t="s">
        <v>392</v>
      </c>
      <c r="F192" s="337">
        <v>560000</v>
      </c>
      <c r="G192" s="344"/>
      <c r="H192" s="344"/>
      <c r="I192" s="344"/>
      <c r="J192" s="344"/>
      <c r="K192" s="344"/>
      <c r="L192" s="344">
        <f t="shared" si="92"/>
        <v>0</v>
      </c>
      <c r="M192" s="357">
        <f t="shared" si="94"/>
        <v>0</v>
      </c>
      <c r="N192" s="337">
        <f t="shared" si="97"/>
        <v>560000</v>
      </c>
      <c r="P192" s="340"/>
      <c r="S192" s="347"/>
      <c r="T192" s="347"/>
      <c r="U192" s="382"/>
    </row>
    <row r="193" spans="1:21" s="381" customFormat="1" ht="18" customHeight="1" x14ac:dyDescent="0.25">
      <c r="A193" s="380"/>
      <c r="B193" s="352"/>
      <c r="C193" s="334"/>
      <c r="D193" s="335" t="s">
        <v>70</v>
      </c>
      <c r="E193" s="335" t="s">
        <v>33</v>
      </c>
      <c r="F193" s="337">
        <v>4200000</v>
      </c>
      <c r="G193" s="344"/>
      <c r="H193" s="344"/>
      <c r="I193" s="344"/>
      <c r="J193" s="344"/>
      <c r="K193" s="344"/>
      <c r="L193" s="344">
        <f t="shared" si="92"/>
        <v>0</v>
      </c>
      <c r="M193" s="357">
        <f t="shared" si="94"/>
        <v>0</v>
      </c>
      <c r="N193" s="337">
        <f t="shared" si="97"/>
        <v>4200000</v>
      </c>
      <c r="P193" s="340"/>
      <c r="S193" s="347"/>
      <c r="T193" s="347"/>
      <c r="U193" s="382"/>
    </row>
    <row r="194" spans="1:21" s="339" customFormat="1" ht="18" customHeight="1" x14ac:dyDescent="0.25">
      <c r="A194" s="334"/>
      <c r="B194" s="335"/>
      <c r="C194" s="334"/>
      <c r="D194" s="365" t="s">
        <v>271</v>
      </c>
      <c r="E194" s="335" t="s">
        <v>272</v>
      </c>
      <c r="F194" s="337">
        <f t="shared" ref="F194" si="98">+F195</f>
        <v>78300000</v>
      </c>
      <c r="G194" s="344">
        <f>+G195</f>
        <v>0</v>
      </c>
      <c r="H194" s="344">
        <f>+H195</f>
        <v>0</v>
      </c>
      <c r="I194" s="344">
        <f>+G194+H194</f>
        <v>0</v>
      </c>
      <c r="J194" s="344">
        <f>+J195</f>
        <v>6240000</v>
      </c>
      <c r="K194" s="344">
        <f>+K195</f>
        <v>6240000</v>
      </c>
      <c r="L194" s="344">
        <f>+J194+K194</f>
        <v>12480000</v>
      </c>
      <c r="M194" s="344">
        <f t="shared" si="94"/>
        <v>12480000</v>
      </c>
      <c r="N194" s="337">
        <f>+F194-M194</f>
        <v>65820000</v>
      </c>
      <c r="P194" s="340"/>
      <c r="S194" s="347"/>
      <c r="T194" s="347"/>
      <c r="U194" s="342"/>
    </row>
    <row r="195" spans="1:21" s="381" customFormat="1" ht="18" customHeight="1" x14ac:dyDescent="0.25">
      <c r="A195" s="380"/>
      <c r="B195" s="352"/>
      <c r="C195" s="334"/>
      <c r="D195" s="335" t="s">
        <v>81</v>
      </c>
      <c r="E195" s="335" t="s">
        <v>31</v>
      </c>
      <c r="F195" s="337">
        <f>SUM(F196:F197)</f>
        <v>78300000</v>
      </c>
      <c r="G195" s="344">
        <f>SUM(G197:G197)</f>
        <v>0</v>
      </c>
      <c r="H195" s="344">
        <f>+H197</f>
        <v>0</v>
      </c>
      <c r="I195" s="344">
        <f>+G195+H195</f>
        <v>0</v>
      </c>
      <c r="J195" s="344">
        <f>SUM(J197:J197)</f>
        <v>6240000</v>
      </c>
      <c r="K195" s="344">
        <f>+K197</f>
        <v>6240000</v>
      </c>
      <c r="L195" s="344">
        <f>+J195+K195</f>
        <v>12480000</v>
      </c>
      <c r="M195" s="344">
        <f t="shared" si="94"/>
        <v>12480000</v>
      </c>
      <c r="N195" s="337">
        <f>+F195-M195</f>
        <v>65820000</v>
      </c>
      <c r="P195" s="340"/>
      <c r="S195" s="347"/>
      <c r="T195" s="347"/>
      <c r="U195" s="382"/>
    </row>
    <row r="196" spans="1:21" s="381" customFormat="1" ht="18" customHeight="1" x14ac:dyDescent="0.25">
      <c r="A196" s="380"/>
      <c r="B196" s="352"/>
      <c r="C196" s="334"/>
      <c r="D196" s="335" t="s">
        <v>451</v>
      </c>
      <c r="E196" s="335" t="s">
        <v>452</v>
      </c>
      <c r="F196" s="337">
        <v>1500000</v>
      </c>
      <c r="G196" s="344"/>
      <c r="H196" s="344"/>
      <c r="I196" s="344">
        <f t="shared" ref="I196" si="99">+G196+H196</f>
        <v>0</v>
      </c>
      <c r="J196" s="344"/>
      <c r="K196" s="344"/>
      <c r="L196" s="344">
        <f t="shared" ref="L196" si="100">+J196+K196</f>
        <v>0</v>
      </c>
      <c r="M196" s="344">
        <f t="shared" si="94"/>
        <v>0</v>
      </c>
      <c r="N196" s="337">
        <f t="shared" ref="N196:N197" si="101">+F196-M196</f>
        <v>1500000</v>
      </c>
      <c r="P196" s="340"/>
      <c r="S196" s="347"/>
      <c r="T196" s="347"/>
      <c r="U196" s="382"/>
    </row>
    <row r="197" spans="1:21" s="381" customFormat="1" ht="18" customHeight="1" x14ac:dyDescent="0.25">
      <c r="A197" s="380"/>
      <c r="B197" s="352"/>
      <c r="C197" s="334"/>
      <c r="D197" s="335" t="s">
        <v>82</v>
      </c>
      <c r="E197" s="335" t="s">
        <v>83</v>
      </c>
      <c r="F197" s="337">
        <v>76800000</v>
      </c>
      <c r="G197" s="344"/>
      <c r="H197" s="344"/>
      <c r="I197" s="344">
        <f>+G197+H197</f>
        <v>0</v>
      </c>
      <c r="J197" s="344">
        <v>6240000</v>
      </c>
      <c r="K197" s="344">
        <v>6240000</v>
      </c>
      <c r="L197" s="344">
        <f>+J197+K197</f>
        <v>12480000</v>
      </c>
      <c r="M197" s="344">
        <f>+I197+L197</f>
        <v>12480000</v>
      </c>
      <c r="N197" s="337">
        <f t="shared" si="101"/>
        <v>64320000</v>
      </c>
      <c r="P197" s="340"/>
      <c r="S197" s="346">
        <v>6240000</v>
      </c>
      <c r="T197" s="347"/>
      <c r="U197" s="382"/>
    </row>
    <row r="198" spans="1:21" s="339" customFormat="1" ht="18" customHeight="1" x14ac:dyDescent="0.25">
      <c r="A198" s="334"/>
      <c r="B198" s="335"/>
      <c r="C198" s="334"/>
      <c r="D198" s="365" t="s">
        <v>275</v>
      </c>
      <c r="E198" s="335" t="s">
        <v>276</v>
      </c>
      <c r="F198" s="337">
        <f>+F199</f>
        <v>52500000</v>
      </c>
      <c r="G198" s="344">
        <f>+G199</f>
        <v>0</v>
      </c>
      <c r="H198" s="344">
        <f>+H199</f>
        <v>0</v>
      </c>
      <c r="I198" s="344">
        <f>+G198+H198</f>
        <v>0</v>
      </c>
      <c r="J198" s="344">
        <f>+J199</f>
        <v>0</v>
      </c>
      <c r="K198" s="344">
        <f>+K199</f>
        <v>0</v>
      </c>
      <c r="L198" s="344">
        <f>+J198+K198</f>
        <v>0</v>
      </c>
      <c r="M198" s="344">
        <f t="shared" ref="M198:M205" si="102">+I198+L198</f>
        <v>0</v>
      </c>
      <c r="N198" s="337">
        <f>+F198-M198</f>
        <v>52500000</v>
      </c>
      <c r="P198" s="340"/>
      <c r="S198" s="347"/>
      <c r="T198" s="347"/>
      <c r="U198" s="342"/>
    </row>
    <row r="199" spans="1:21" s="381" customFormat="1" ht="18" customHeight="1" x14ac:dyDescent="0.25">
      <c r="A199" s="380"/>
      <c r="B199" s="352"/>
      <c r="C199" s="334"/>
      <c r="D199" s="335" t="s">
        <v>150</v>
      </c>
      <c r="E199" s="335" t="s">
        <v>32</v>
      </c>
      <c r="F199" s="337">
        <f>+F200</f>
        <v>52500000</v>
      </c>
      <c r="G199" s="344">
        <f>SUM(G201:G201)</f>
        <v>0</v>
      </c>
      <c r="H199" s="344">
        <f>+H201</f>
        <v>0</v>
      </c>
      <c r="I199" s="344">
        <f>+G199+H199</f>
        <v>0</v>
      </c>
      <c r="J199" s="344">
        <f>SUM(J201:J201)</f>
        <v>0</v>
      </c>
      <c r="K199" s="344">
        <f>+K201</f>
        <v>0</v>
      </c>
      <c r="L199" s="344">
        <f>+J199+K199</f>
        <v>0</v>
      </c>
      <c r="M199" s="344">
        <f t="shared" si="102"/>
        <v>0</v>
      </c>
      <c r="N199" s="337">
        <f>+F199-M199</f>
        <v>52500000</v>
      </c>
      <c r="P199" s="340"/>
      <c r="S199" s="347"/>
      <c r="T199" s="347"/>
      <c r="U199" s="382"/>
    </row>
    <row r="200" spans="1:21" s="381" customFormat="1" ht="36" customHeight="1" x14ac:dyDescent="0.25">
      <c r="A200" s="380"/>
      <c r="B200" s="352"/>
      <c r="C200" s="334"/>
      <c r="D200" s="335" t="s">
        <v>462</v>
      </c>
      <c r="E200" s="391" t="s">
        <v>463</v>
      </c>
      <c r="F200" s="337">
        <v>52500000</v>
      </c>
      <c r="G200" s="344"/>
      <c r="H200" s="344"/>
      <c r="I200" s="344">
        <f t="shared" ref="I200" si="103">+G200+H200</f>
        <v>0</v>
      </c>
      <c r="J200" s="344"/>
      <c r="K200" s="344"/>
      <c r="L200" s="344">
        <f t="shared" ref="L200" si="104">+J200+K200</f>
        <v>0</v>
      </c>
      <c r="M200" s="344">
        <f t="shared" si="102"/>
        <v>0</v>
      </c>
      <c r="N200" s="337">
        <f t="shared" ref="N200" si="105">+F200-M200</f>
        <v>52500000</v>
      </c>
      <c r="P200" s="340"/>
      <c r="S200" s="347"/>
      <c r="T200" s="347"/>
      <c r="U200" s="382"/>
    </row>
    <row r="201" spans="1:21" s="381" customFormat="1" ht="18" customHeight="1" x14ac:dyDescent="0.25">
      <c r="A201" s="380"/>
      <c r="B201" s="383"/>
      <c r="C201" s="384"/>
      <c r="D201" s="365" t="s">
        <v>267</v>
      </c>
      <c r="E201" s="335" t="s">
        <v>268</v>
      </c>
      <c r="F201" s="337">
        <f t="shared" ref="F201:H203" si="106">+F202</f>
        <v>26000000</v>
      </c>
      <c r="G201" s="344">
        <f t="shared" si="106"/>
        <v>0</v>
      </c>
      <c r="H201" s="344">
        <f t="shared" si="106"/>
        <v>0</v>
      </c>
      <c r="I201" s="344">
        <f>+G201+H201</f>
        <v>0</v>
      </c>
      <c r="J201" s="344">
        <f t="shared" ref="J201:K204" si="107">+J202</f>
        <v>0</v>
      </c>
      <c r="K201" s="344">
        <f t="shared" si="107"/>
        <v>0</v>
      </c>
      <c r="L201" s="344">
        <f>+J201+K201</f>
        <v>0</v>
      </c>
      <c r="M201" s="344">
        <f t="shared" si="102"/>
        <v>0</v>
      </c>
      <c r="N201" s="337">
        <f>+F201-M201</f>
        <v>26000000</v>
      </c>
      <c r="P201" s="340"/>
      <c r="R201" s="385"/>
      <c r="S201" s="347"/>
      <c r="T201" s="347"/>
      <c r="U201" s="382"/>
    </row>
    <row r="202" spans="1:21" s="381" customFormat="1" ht="18" customHeight="1" x14ac:dyDescent="0.25">
      <c r="A202" s="380"/>
      <c r="B202" s="352"/>
      <c r="C202" s="334"/>
      <c r="D202" s="335" t="s">
        <v>78</v>
      </c>
      <c r="E202" s="335" t="s">
        <v>75</v>
      </c>
      <c r="F202" s="337">
        <f t="shared" si="106"/>
        <v>26000000</v>
      </c>
      <c r="G202" s="344">
        <f t="shared" si="106"/>
        <v>0</v>
      </c>
      <c r="H202" s="344">
        <f t="shared" si="106"/>
        <v>0</v>
      </c>
      <c r="I202" s="344">
        <f t="shared" ref="I202:I205" si="108">+G202+H202</f>
        <v>0</v>
      </c>
      <c r="J202" s="344">
        <f t="shared" si="107"/>
        <v>0</v>
      </c>
      <c r="K202" s="344">
        <f t="shared" si="107"/>
        <v>0</v>
      </c>
      <c r="L202" s="344">
        <f t="shared" ref="L202:L203" si="109">+J202+K202</f>
        <v>0</v>
      </c>
      <c r="M202" s="344">
        <f t="shared" si="102"/>
        <v>0</v>
      </c>
      <c r="N202" s="337">
        <f>+F202-M202</f>
        <v>26000000</v>
      </c>
      <c r="P202" s="340"/>
      <c r="S202" s="347"/>
      <c r="T202" s="347"/>
      <c r="U202" s="382"/>
    </row>
    <row r="203" spans="1:21" s="339" customFormat="1" ht="18" customHeight="1" x14ac:dyDescent="0.25">
      <c r="A203" s="334"/>
      <c r="B203" s="335"/>
      <c r="C203" s="334"/>
      <c r="D203" s="365" t="s">
        <v>269</v>
      </c>
      <c r="E203" s="335" t="s">
        <v>270</v>
      </c>
      <c r="F203" s="337">
        <f t="shared" si="106"/>
        <v>26000000</v>
      </c>
      <c r="G203" s="344">
        <f>+G204</f>
        <v>0</v>
      </c>
      <c r="H203" s="344">
        <f>+H204</f>
        <v>0</v>
      </c>
      <c r="I203" s="344">
        <f t="shared" si="108"/>
        <v>0</v>
      </c>
      <c r="J203" s="344">
        <f t="shared" si="107"/>
        <v>0</v>
      </c>
      <c r="K203" s="344">
        <f t="shared" si="107"/>
        <v>0</v>
      </c>
      <c r="L203" s="344">
        <f t="shared" si="109"/>
        <v>0</v>
      </c>
      <c r="M203" s="344">
        <f t="shared" si="102"/>
        <v>0</v>
      </c>
      <c r="N203" s="337">
        <f>+F203-M203</f>
        <v>26000000</v>
      </c>
      <c r="P203" s="340"/>
      <c r="S203" s="347"/>
      <c r="T203" s="347"/>
      <c r="U203" s="342"/>
    </row>
    <row r="204" spans="1:21" s="381" customFormat="1" ht="18" customHeight="1" x14ac:dyDescent="0.25">
      <c r="A204" s="380"/>
      <c r="B204" s="352"/>
      <c r="C204" s="334"/>
      <c r="D204" s="335" t="s">
        <v>76</v>
      </c>
      <c r="E204" s="335" t="s">
        <v>77</v>
      </c>
      <c r="F204" s="337">
        <f>SUM(F205)</f>
        <v>26000000</v>
      </c>
      <c r="G204" s="344">
        <f>+G205</f>
        <v>0</v>
      </c>
      <c r="H204" s="344">
        <f>+H205</f>
        <v>0</v>
      </c>
      <c r="I204" s="344">
        <f>+G204+H204</f>
        <v>0</v>
      </c>
      <c r="J204" s="344">
        <f t="shared" si="107"/>
        <v>0</v>
      </c>
      <c r="K204" s="344">
        <f t="shared" si="107"/>
        <v>0</v>
      </c>
      <c r="L204" s="344">
        <f>+J204+K204</f>
        <v>0</v>
      </c>
      <c r="M204" s="344">
        <f t="shared" si="102"/>
        <v>0</v>
      </c>
      <c r="N204" s="337">
        <f>+F204-M204</f>
        <v>26000000</v>
      </c>
      <c r="P204" s="340"/>
      <c r="S204" s="347"/>
      <c r="T204" s="347"/>
      <c r="U204" s="382"/>
    </row>
    <row r="205" spans="1:21" s="388" customFormat="1" ht="18" customHeight="1" x14ac:dyDescent="0.25">
      <c r="A205" s="386"/>
      <c r="B205" s="387"/>
      <c r="C205" s="353"/>
      <c r="D205" s="355" t="s">
        <v>393</v>
      </c>
      <c r="E205" s="355" t="s">
        <v>394</v>
      </c>
      <c r="F205" s="356">
        <v>26000000</v>
      </c>
      <c r="G205" s="357"/>
      <c r="H205" s="357"/>
      <c r="I205" s="357">
        <f t="shared" si="108"/>
        <v>0</v>
      </c>
      <c r="J205" s="357"/>
      <c r="K205" s="357"/>
      <c r="L205" s="357">
        <f t="shared" ref="L205" si="110">+J205+K205</f>
        <v>0</v>
      </c>
      <c r="M205" s="357">
        <f t="shared" si="102"/>
        <v>0</v>
      </c>
      <c r="N205" s="356">
        <f t="shared" ref="N205" si="111">+F205-M205</f>
        <v>26000000</v>
      </c>
      <c r="P205" s="200"/>
      <c r="S205" s="221"/>
      <c r="T205" s="221"/>
      <c r="U205" s="389"/>
    </row>
    <row r="206" spans="1:21" s="319" customFormat="1" ht="18" customHeight="1" x14ac:dyDescent="0.25">
      <c r="A206" s="276">
        <v>10</v>
      </c>
      <c r="B206" s="305"/>
      <c r="C206" s="390" t="s">
        <v>112</v>
      </c>
      <c r="D206" s="363"/>
      <c r="E206" s="364" t="s">
        <v>113</v>
      </c>
      <c r="F206" s="307">
        <f>+F207+F221</f>
        <v>810211500</v>
      </c>
      <c r="G206" s="308">
        <f>G207+G221</f>
        <v>0</v>
      </c>
      <c r="H206" s="308">
        <f>H207+H221</f>
        <v>0</v>
      </c>
      <c r="I206" s="308">
        <f>+G206+H206</f>
        <v>0</v>
      </c>
      <c r="J206" s="308">
        <f>J207+J221</f>
        <v>1600000</v>
      </c>
      <c r="K206" s="308">
        <f>K207+K221</f>
        <v>1600000</v>
      </c>
      <c r="L206" s="308">
        <f>+J206+K206</f>
        <v>3200000</v>
      </c>
      <c r="M206" s="308">
        <f>+I206+L206</f>
        <v>3200000</v>
      </c>
      <c r="N206" s="307">
        <f>+F206-M206</f>
        <v>807011500</v>
      </c>
      <c r="P206" s="320"/>
      <c r="R206" s="321"/>
      <c r="S206" s="349"/>
      <c r="T206" s="349"/>
      <c r="U206" s="350"/>
    </row>
    <row r="207" spans="1:21" s="329" customFormat="1" ht="18" customHeight="1" x14ac:dyDescent="0.25">
      <c r="A207" s="323"/>
      <c r="B207" s="324"/>
      <c r="C207" s="379"/>
      <c r="D207" s="325" t="s">
        <v>207</v>
      </c>
      <c r="E207" s="326" t="s">
        <v>262</v>
      </c>
      <c r="F207" s="327">
        <f>+F208</f>
        <v>441471500</v>
      </c>
      <c r="G207" s="328">
        <f>+G208</f>
        <v>0</v>
      </c>
      <c r="H207" s="328">
        <f>+H208</f>
        <v>0</v>
      </c>
      <c r="I207" s="328">
        <f>+G207+H207</f>
        <v>0</v>
      </c>
      <c r="J207" s="328">
        <f>+J208</f>
        <v>1600000</v>
      </c>
      <c r="K207" s="328">
        <f>+K208</f>
        <v>1600000</v>
      </c>
      <c r="L207" s="328">
        <f>+J207+K207</f>
        <v>3200000</v>
      </c>
      <c r="M207" s="328">
        <f t="shared" ref="M207:M220" si="112">+I207+L207</f>
        <v>3200000</v>
      </c>
      <c r="N207" s="327">
        <f>+F207-M207</f>
        <v>438271500</v>
      </c>
      <c r="P207" s="330"/>
      <c r="R207" s="331"/>
      <c r="S207" s="351"/>
      <c r="T207" s="351"/>
      <c r="U207" s="333"/>
    </row>
    <row r="208" spans="1:21" s="381" customFormat="1" ht="18" customHeight="1" x14ac:dyDescent="0.25">
      <c r="A208" s="380"/>
      <c r="B208" s="352"/>
      <c r="C208" s="334"/>
      <c r="D208" s="335" t="s">
        <v>63</v>
      </c>
      <c r="E208" s="335" t="s">
        <v>30</v>
      </c>
      <c r="F208" s="337">
        <f>+F209+F212+F216</f>
        <v>441471500</v>
      </c>
      <c r="G208" s="344">
        <f>+G209+G212+G216</f>
        <v>0</v>
      </c>
      <c r="H208" s="344">
        <f>+H209+H212+H216</f>
        <v>0</v>
      </c>
      <c r="I208" s="344">
        <f t="shared" ref="I208:I218" si="113">+G208+H208</f>
        <v>0</v>
      </c>
      <c r="J208" s="344">
        <f>+J209+J212+J216</f>
        <v>1600000</v>
      </c>
      <c r="K208" s="344">
        <f>+K209+K212+K216</f>
        <v>1600000</v>
      </c>
      <c r="L208" s="344">
        <f t="shared" ref="L208:L209" si="114">+J208+K208</f>
        <v>3200000</v>
      </c>
      <c r="M208" s="344">
        <f t="shared" si="112"/>
        <v>3200000</v>
      </c>
      <c r="N208" s="337">
        <f>+F208-M208</f>
        <v>438271500</v>
      </c>
      <c r="P208" s="340"/>
      <c r="S208" s="347"/>
      <c r="T208" s="347"/>
      <c r="U208" s="382"/>
    </row>
    <row r="209" spans="1:21" s="339" customFormat="1" ht="18" customHeight="1" x14ac:dyDescent="0.25">
      <c r="A209" s="334"/>
      <c r="B209" s="335"/>
      <c r="C209" s="334"/>
      <c r="D209" s="365" t="s">
        <v>263</v>
      </c>
      <c r="E209" s="335" t="s">
        <v>264</v>
      </c>
      <c r="F209" s="337">
        <f t="shared" ref="F209:H209" si="115">+F210</f>
        <v>4031500</v>
      </c>
      <c r="G209" s="344">
        <f>+G210</f>
        <v>0</v>
      </c>
      <c r="H209" s="344">
        <f t="shared" si="115"/>
        <v>0</v>
      </c>
      <c r="I209" s="344">
        <f t="shared" si="113"/>
        <v>0</v>
      </c>
      <c r="J209" s="344">
        <f>+J210</f>
        <v>0</v>
      </c>
      <c r="K209" s="344">
        <f t="shared" ref="K209" si="116">+K210</f>
        <v>0</v>
      </c>
      <c r="L209" s="344">
        <f t="shared" si="114"/>
        <v>0</v>
      </c>
      <c r="M209" s="344">
        <f t="shared" si="112"/>
        <v>0</v>
      </c>
      <c r="N209" s="337">
        <f>+F209-M209</f>
        <v>4031500</v>
      </c>
      <c r="P209" s="340"/>
      <c r="S209" s="347"/>
      <c r="T209" s="347"/>
      <c r="U209" s="342"/>
    </row>
    <row r="210" spans="1:21" s="381" customFormat="1" ht="18" customHeight="1" x14ac:dyDescent="0.25">
      <c r="A210" s="380"/>
      <c r="B210" s="352"/>
      <c r="C210" s="334"/>
      <c r="D210" s="335" t="s">
        <v>64</v>
      </c>
      <c r="E210" s="335" t="s">
        <v>65</v>
      </c>
      <c r="F210" s="337">
        <f>F211</f>
        <v>4031500</v>
      </c>
      <c r="G210" s="344">
        <f>SUM(G211:G211)</f>
        <v>0</v>
      </c>
      <c r="H210" s="344">
        <f>SUM(H211:H211)</f>
        <v>0</v>
      </c>
      <c r="I210" s="344">
        <f>+G210+H210</f>
        <v>0</v>
      </c>
      <c r="J210" s="344">
        <f>SUM(J211:J211)</f>
        <v>0</v>
      </c>
      <c r="K210" s="344">
        <f>SUM(K211:K211)</f>
        <v>0</v>
      </c>
      <c r="L210" s="344">
        <f>+J210+K210</f>
        <v>0</v>
      </c>
      <c r="M210" s="344">
        <f t="shared" si="112"/>
        <v>0</v>
      </c>
      <c r="N210" s="337">
        <f>+F210-M210</f>
        <v>4031500</v>
      </c>
      <c r="P210" s="340"/>
      <c r="S210" s="347"/>
      <c r="T210" s="347"/>
      <c r="U210" s="382"/>
    </row>
    <row r="211" spans="1:21" s="381" customFormat="1" ht="18" customHeight="1" x14ac:dyDescent="0.25">
      <c r="A211" s="380"/>
      <c r="B211" s="352"/>
      <c r="C211" s="334"/>
      <c r="D211" s="335" t="s">
        <v>339</v>
      </c>
      <c r="E211" s="335" t="s">
        <v>340</v>
      </c>
      <c r="F211" s="337">
        <v>4031500</v>
      </c>
      <c r="G211" s="344"/>
      <c r="H211" s="344"/>
      <c r="I211" s="344">
        <f t="shared" si="113"/>
        <v>0</v>
      </c>
      <c r="J211" s="344"/>
      <c r="K211" s="344"/>
      <c r="L211" s="344">
        <f t="shared" ref="L211" si="117">+J211+K211</f>
        <v>0</v>
      </c>
      <c r="M211" s="344">
        <f t="shared" si="112"/>
        <v>0</v>
      </c>
      <c r="N211" s="337">
        <f t="shared" ref="N211" si="118">+F211-M211</f>
        <v>4031500</v>
      </c>
      <c r="P211" s="340"/>
      <c r="S211" s="347"/>
      <c r="T211" s="347"/>
      <c r="U211" s="382"/>
    </row>
    <row r="212" spans="1:21" s="339" customFormat="1" ht="18" customHeight="1" x14ac:dyDescent="0.25">
      <c r="A212" s="334"/>
      <c r="B212" s="335"/>
      <c r="C212" s="334"/>
      <c r="D212" s="365" t="s">
        <v>271</v>
      </c>
      <c r="E212" s="335" t="s">
        <v>272</v>
      </c>
      <c r="F212" s="337">
        <f t="shared" ref="F212:H212" si="119">+F213</f>
        <v>98700000</v>
      </c>
      <c r="G212" s="344">
        <f>+G213</f>
        <v>0</v>
      </c>
      <c r="H212" s="344">
        <f t="shared" si="119"/>
        <v>0</v>
      </c>
      <c r="I212" s="344">
        <f t="shared" si="113"/>
        <v>0</v>
      </c>
      <c r="J212" s="344">
        <f>+J213</f>
        <v>1600000</v>
      </c>
      <c r="K212" s="344">
        <f t="shared" ref="K212" si="120">+K213</f>
        <v>1600000</v>
      </c>
      <c r="L212" s="344">
        <f>+J212+K212</f>
        <v>3200000</v>
      </c>
      <c r="M212" s="344">
        <f t="shared" si="112"/>
        <v>3200000</v>
      </c>
      <c r="N212" s="337">
        <f>+F212-M212</f>
        <v>95500000</v>
      </c>
      <c r="P212" s="340"/>
      <c r="S212" s="347"/>
      <c r="T212" s="347"/>
      <c r="U212" s="342"/>
    </row>
    <row r="213" spans="1:21" s="381" customFormat="1" ht="18" customHeight="1" x14ac:dyDescent="0.25">
      <c r="A213" s="380"/>
      <c r="B213" s="352"/>
      <c r="C213" s="334"/>
      <c r="D213" s="335" t="s">
        <v>81</v>
      </c>
      <c r="E213" s="335" t="s">
        <v>31</v>
      </c>
      <c r="F213" s="337">
        <f>SUM(F214:F215)</f>
        <v>98700000</v>
      </c>
      <c r="G213" s="344">
        <f>SUM(G214:G215)</f>
        <v>0</v>
      </c>
      <c r="H213" s="344">
        <f>SUM(H214:H215)</f>
        <v>0</v>
      </c>
      <c r="I213" s="344">
        <f t="shared" si="113"/>
        <v>0</v>
      </c>
      <c r="J213" s="344">
        <f>SUM(J214:J215)</f>
        <v>1600000</v>
      </c>
      <c r="K213" s="344">
        <f>SUM(K214:K215)</f>
        <v>1600000</v>
      </c>
      <c r="L213" s="344">
        <f>+J213+K213</f>
        <v>3200000</v>
      </c>
      <c r="M213" s="344">
        <f t="shared" si="112"/>
        <v>3200000</v>
      </c>
      <c r="N213" s="337">
        <f>+F213-M213</f>
        <v>95500000</v>
      </c>
      <c r="P213" s="340"/>
      <c r="S213" s="347"/>
      <c r="T213" s="347"/>
      <c r="U213" s="382"/>
    </row>
    <row r="214" spans="1:21" s="381" customFormat="1" ht="18" customHeight="1" x14ac:dyDescent="0.25">
      <c r="A214" s="392"/>
      <c r="B214" s="339"/>
      <c r="C214" s="366"/>
      <c r="D214" s="367" t="s">
        <v>82</v>
      </c>
      <c r="E214" s="367" t="s">
        <v>83</v>
      </c>
      <c r="F214" s="370">
        <v>38400000</v>
      </c>
      <c r="G214" s="371"/>
      <c r="H214" s="371"/>
      <c r="I214" s="371">
        <f t="shared" si="113"/>
        <v>0</v>
      </c>
      <c r="J214" s="371">
        <v>1600000</v>
      </c>
      <c r="K214" s="371">
        <v>1600000</v>
      </c>
      <c r="L214" s="371">
        <f>+J214+K214</f>
        <v>3200000</v>
      </c>
      <c r="M214" s="371">
        <f>+I214+L214</f>
        <v>3200000</v>
      </c>
      <c r="N214" s="370">
        <f>+F214-M214</f>
        <v>35200000</v>
      </c>
      <c r="P214" s="340"/>
      <c r="S214" s="346">
        <v>1600000</v>
      </c>
      <c r="T214" s="347"/>
      <c r="U214" s="382"/>
    </row>
    <row r="215" spans="1:21" s="381" customFormat="1" ht="18" customHeight="1" x14ac:dyDescent="0.25">
      <c r="A215" s="392"/>
      <c r="B215" s="339"/>
      <c r="C215" s="366"/>
      <c r="D215" s="367" t="s">
        <v>111</v>
      </c>
      <c r="E215" s="367" t="s">
        <v>44</v>
      </c>
      <c r="F215" s="370">
        <v>60300000</v>
      </c>
      <c r="G215" s="371"/>
      <c r="H215" s="371"/>
      <c r="I215" s="371">
        <f t="shared" si="113"/>
        <v>0</v>
      </c>
      <c r="J215" s="371"/>
      <c r="K215" s="371"/>
      <c r="L215" s="371">
        <f t="shared" ref="L215" si="121">+J215+K215</f>
        <v>0</v>
      </c>
      <c r="M215" s="371">
        <f t="shared" si="112"/>
        <v>0</v>
      </c>
      <c r="N215" s="370">
        <f t="shared" ref="N215" si="122">+F215-M215</f>
        <v>60300000</v>
      </c>
      <c r="P215" s="340"/>
      <c r="S215" s="347"/>
      <c r="T215" s="347"/>
      <c r="U215" s="382"/>
    </row>
    <row r="216" spans="1:21" s="339" customFormat="1" ht="18" customHeight="1" x14ac:dyDescent="0.25">
      <c r="A216" s="334"/>
      <c r="B216" s="335"/>
      <c r="C216" s="334"/>
      <c r="D216" s="365" t="s">
        <v>275</v>
      </c>
      <c r="E216" s="335" t="s">
        <v>276</v>
      </c>
      <c r="F216" s="337">
        <f t="shared" ref="F216:H216" si="123">+F217</f>
        <v>338740000</v>
      </c>
      <c r="G216" s="344">
        <f>+G217</f>
        <v>0</v>
      </c>
      <c r="H216" s="344">
        <f t="shared" si="123"/>
        <v>0</v>
      </c>
      <c r="I216" s="344">
        <f t="shared" si="113"/>
        <v>0</v>
      </c>
      <c r="J216" s="344">
        <f>+J217</f>
        <v>0</v>
      </c>
      <c r="K216" s="344">
        <f t="shared" ref="K216" si="124">+K217</f>
        <v>0</v>
      </c>
      <c r="L216" s="344">
        <f>+J216+K216</f>
        <v>0</v>
      </c>
      <c r="M216" s="344">
        <f t="shared" si="112"/>
        <v>0</v>
      </c>
      <c r="N216" s="337">
        <f>+F216-M216</f>
        <v>338740000</v>
      </c>
      <c r="P216" s="340"/>
      <c r="S216" s="347"/>
      <c r="T216" s="347"/>
      <c r="U216" s="342"/>
    </row>
    <row r="217" spans="1:21" s="381" customFormat="1" ht="18" customHeight="1" x14ac:dyDescent="0.25">
      <c r="A217" s="380"/>
      <c r="B217" s="352"/>
      <c r="C217" s="334"/>
      <c r="D217" s="335" t="s">
        <v>114</v>
      </c>
      <c r="E217" s="335" t="s">
        <v>43</v>
      </c>
      <c r="F217" s="337">
        <f>SUM(F218:F220)</f>
        <v>338740000</v>
      </c>
      <c r="G217" s="344">
        <f>SUM(G218:G220)</f>
        <v>0</v>
      </c>
      <c r="H217" s="344">
        <f>SUM(H218:H220)</f>
        <v>0</v>
      </c>
      <c r="I217" s="344">
        <f t="shared" si="113"/>
        <v>0</v>
      </c>
      <c r="J217" s="344">
        <f>SUM(J218:J220)</f>
        <v>0</v>
      </c>
      <c r="K217" s="344">
        <f>SUM(K218:K220)</f>
        <v>0</v>
      </c>
      <c r="L217" s="344">
        <f>+J217+K217</f>
        <v>0</v>
      </c>
      <c r="M217" s="344">
        <f t="shared" si="112"/>
        <v>0</v>
      </c>
      <c r="N217" s="337">
        <f>+F217-M217</f>
        <v>338740000</v>
      </c>
      <c r="P217" s="340"/>
      <c r="S217" s="347"/>
      <c r="T217" s="347"/>
      <c r="U217" s="382"/>
    </row>
    <row r="218" spans="1:21" s="381" customFormat="1" ht="21" customHeight="1" x14ac:dyDescent="0.25">
      <c r="A218" s="392"/>
      <c r="B218" s="339"/>
      <c r="C218" s="366"/>
      <c r="D218" s="367" t="s">
        <v>349</v>
      </c>
      <c r="E218" s="369" t="s">
        <v>350</v>
      </c>
      <c r="F218" s="370">
        <v>21240000</v>
      </c>
      <c r="G218" s="371"/>
      <c r="H218" s="371"/>
      <c r="I218" s="371">
        <f t="shared" si="113"/>
        <v>0</v>
      </c>
      <c r="J218" s="371"/>
      <c r="K218" s="371"/>
      <c r="L218" s="371">
        <f t="shared" ref="L218" si="125">+J218+K218</f>
        <v>0</v>
      </c>
      <c r="M218" s="371">
        <f t="shared" si="112"/>
        <v>0</v>
      </c>
      <c r="N218" s="370">
        <f>+F218-M218</f>
        <v>21240000</v>
      </c>
      <c r="P218" s="340"/>
      <c r="S218" s="347"/>
      <c r="T218" s="347"/>
      <c r="U218" s="382"/>
    </row>
    <row r="219" spans="1:21" s="381" customFormat="1" ht="30.75" customHeight="1" x14ac:dyDescent="0.25">
      <c r="A219" s="392"/>
      <c r="B219" s="339"/>
      <c r="C219" s="366"/>
      <c r="D219" s="367" t="s">
        <v>395</v>
      </c>
      <c r="E219" s="369" t="s">
        <v>396</v>
      </c>
      <c r="F219" s="370">
        <v>2500000</v>
      </c>
      <c r="G219" s="371"/>
      <c r="H219" s="371"/>
      <c r="I219" s="371"/>
      <c r="J219" s="371"/>
      <c r="K219" s="371"/>
      <c r="L219" s="371">
        <f>+J219+K219</f>
        <v>0</v>
      </c>
      <c r="M219" s="371">
        <f t="shared" si="112"/>
        <v>0</v>
      </c>
      <c r="N219" s="370">
        <f>+F219-M219</f>
        <v>2500000</v>
      </c>
      <c r="P219" s="340"/>
      <c r="S219" s="347"/>
      <c r="T219" s="347"/>
      <c r="U219" s="382"/>
    </row>
    <row r="220" spans="1:21" s="381" customFormat="1" ht="18" customHeight="1" x14ac:dyDescent="0.25">
      <c r="A220" s="392"/>
      <c r="B220" s="339"/>
      <c r="C220" s="366"/>
      <c r="D220" s="367" t="s">
        <v>354</v>
      </c>
      <c r="E220" s="369" t="s">
        <v>355</v>
      </c>
      <c r="F220" s="370">
        <v>315000000</v>
      </c>
      <c r="G220" s="371"/>
      <c r="H220" s="371"/>
      <c r="I220" s="371">
        <f>+G220+H220</f>
        <v>0</v>
      </c>
      <c r="J220" s="371"/>
      <c r="K220" s="371"/>
      <c r="L220" s="371"/>
      <c r="M220" s="371">
        <f t="shared" si="112"/>
        <v>0</v>
      </c>
      <c r="N220" s="370">
        <f t="shared" ref="N220" si="126">+F220-M220</f>
        <v>315000000</v>
      </c>
      <c r="P220" s="340"/>
      <c r="S220" s="347"/>
      <c r="T220" s="346"/>
      <c r="U220" s="382"/>
    </row>
    <row r="221" spans="1:21" s="381" customFormat="1" ht="18" customHeight="1" x14ac:dyDescent="0.25">
      <c r="A221" s="380"/>
      <c r="B221" s="383"/>
      <c r="C221" s="384"/>
      <c r="D221" s="365" t="s">
        <v>267</v>
      </c>
      <c r="E221" s="335" t="s">
        <v>268</v>
      </c>
      <c r="F221" s="337">
        <f>+F222+F234</f>
        <v>368740000</v>
      </c>
      <c r="G221" s="344">
        <f>+G222+G234</f>
        <v>0</v>
      </c>
      <c r="H221" s="344">
        <f>+H222+H234</f>
        <v>0</v>
      </c>
      <c r="I221" s="344">
        <f>+G221+H221</f>
        <v>0</v>
      </c>
      <c r="J221" s="344">
        <f>+J222</f>
        <v>0</v>
      </c>
      <c r="K221" s="344">
        <f>+K222</f>
        <v>0</v>
      </c>
      <c r="L221" s="344">
        <f>+J221+K221</f>
        <v>0</v>
      </c>
      <c r="M221" s="344">
        <f>+I221+L221</f>
        <v>0</v>
      </c>
      <c r="N221" s="337">
        <f>+F221-M221</f>
        <v>368740000</v>
      </c>
      <c r="P221" s="340"/>
      <c r="R221" s="385"/>
      <c r="S221" s="347"/>
      <c r="T221" s="347"/>
      <c r="U221" s="382"/>
    </row>
    <row r="222" spans="1:21" s="381" customFormat="1" ht="18" customHeight="1" x14ac:dyDescent="0.25">
      <c r="A222" s="380"/>
      <c r="B222" s="352"/>
      <c r="C222" s="334"/>
      <c r="D222" s="335" t="s">
        <v>78</v>
      </c>
      <c r="E222" s="335" t="s">
        <v>75</v>
      </c>
      <c r="F222" s="337">
        <f>+F223+F226+F231</f>
        <v>268740000</v>
      </c>
      <c r="G222" s="344">
        <f>+G223+G226</f>
        <v>0</v>
      </c>
      <c r="H222" s="344">
        <f>+H223+H226</f>
        <v>0</v>
      </c>
      <c r="I222" s="344">
        <f t="shared" ref="I222:I235" si="127">+G222+H222</f>
        <v>0</v>
      </c>
      <c r="J222" s="344">
        <f>+J223+J226</f>
        <v>0</v>
      </c>
      <c r="K222" s="344">
        <f t="shared" ref="K222:K223" si="128">+K223</f>
        <v>0</v>
      </c>
      <c r="L222" s="344">
        <f t="shared" ref="L222:L223" si="129">+J222+K222</f>
        <v>0</v>
      </c>
      <c r="M222" s="344">
        <f t="shared" ref="M222:M226" si="130">+I222+L222</f>
        <v>0</v>
      </c>
      <c r="N222" s="337">
        <f>+F222-M222</f>
        <v>268740000</v>
      </c>
      <c r="P222" s="340"/>
      <c r="S222" s="347"/>
      <c r="T222" s="347"/>
      <c r="U222" s="382"/>
    </row>
    <row r="223" spans="1:21" s="339" customFormat="1" ht="18" customHeight="1" x14ac:dyDescent="0.25">
      <c r="A223" s="334"/>
      <c r="B223" s="335"/>
      <c r="C223" s="334"/>
      <c r="D223" s="365" t="s">
        <v>269</v>
      </c>
      <c r="E223" s="335" t="s">
        <v>270</v>
      </c>
      <c r="F223" s="337">
        <f t="shared" ref="F223:H223" si="131">+F224</f>
        <v>32340000</v>
      </c>
      <c r="G223" s="344">
        <f>+G224</f>
        <v>0</v>
      </c>
      <c r="H223" s="344">
        <f t="shared" si="131"/>
        <v>0</v>
      </c>
      <c r="I223" s="344">
        <f t="shared" si="127"/>
        <v>0</v>
      </c>
      <c r="J223" s="344">
        <f>+J224</f>
        <v>0</v>
      </c>
      <c r="K223" s="344">
        <f t="shared" si="128"/>
        <v>0</v>
      </c>
      <c r="L223" s="344">
        <f t="shared" si="129"/>
        <v>0</v>
      </c>
      <c r="M223" s="344">
        <f t="shared" si="130"/>
        <v>0</v>
      </c>
      <c r="N223" s="337">
        <f>+F223-M223</f>
        <v>32340000</v>
      </c>
      <c r="P223" s="340"/>
      <c r="S223" s="347"/>
      <c r="T223" s="347"/>
      <c r="U223" s="342"/>
    </row>
    <row r="224" spans="1:21" s="381" customFormat="1" ht="18" customHeight="1" x14ac:dyDescent="0.25">
      <c r="A224" s="380"/>
      <c r="B224" s="352"/>
      <c r="C224" s="334"/>
      <c r="D224" s="335" t="s">
        <v>92</v>
      </c>
      <c r="E224" s="335" t="s">
        <v>94</v>
      </c>
      <c r="F224" s="337">
        <f>SUM(F225)</f>
        <v>32340000</v>
      </c>
      <c r="G224" s="344">
        <f>+G225</f>
        <v>0</v>
      </c>
      <c r="H224" s="344">
        <f>+H225</f>
        <v>0</v>
      </c>
      <c r="I224" s="344">
        <f>+G224+H224</f>
        <v>0</v>
      </c>
      <c r="J224" s="344">
        <f>+J225</f>
        <v>0</v>
      </c>
      <c r="K224" s="344">
        <f>+K225</f>
        <v>0</v>
      </c>
      <c r="L224" s="344">
        <f>+J224+K224</f>
        <v>0</v>
      </c>
      <c r="M224" s="344">
        <f t="shared" si="130"/>
        <v>0</v>
      </c>
      <c r="N224" s="337">
        <f>+F224-M224</f>
        <v>32340000</v>
      </c>
      <c r="P224" s="340"/>
      <c r="S224" s="347"/>
      <c r="T224" s="347"/>
      <c r="U224" s="382"/>
    </row>
    <row r="225" spans="1:21" s="381" customFormat="1" ht="18" customHeight="1" x14ac:dyDescent="0.25">
      <c r="A225" s="380"/>
      <c r="B225" s="352"/>
      <c r="C225" s="334"/>
      <c r="D225" s="335" t="s">
        <v>397</v>
      </c>
      <c r="E225" s="335" t="s">
        <v>398</v>
      </c>
      <c r="F225" s="337">
        <v>32340000</v>
      </c>
      <c r="G225" s="344"/>
      <c r="H225" s="344"/>
      <c r="I225" s="344">
        <f t="shared" si="127"/>
        <v>0</v>
      </c>
      <c r="J225" s="344"/>
      <c r="K225" s="344"/>
      <c r="L225" s="344">
        <f t="shared" ref="L225:L235" si="132">+J225+K225</f>
        <v>0</v>
      </c>
      <c r="M225" s="344">
        <f t="shared" si="130"/>
        <v>0</v>
      </c>
      <c r="N225" s="337">
        <f t="shared" ref="N225:N237" si="133">+F225-M225</f>
        <v>32340000</v>
      </c>
      <c r="P225" s="340"/>
      <c r="S225" s="347"/>
      <c r="T225" s="347"/>
      <c r="U225" s="382"/>
    </row>
    <row r="226" spans="1:21" s="339" customFormat="1" ht="18" customHeight="1" x14ac:dyDescent="0.25">
      <c r="A226" s="334"/>
      <c r="B226" s="335"/>
      <c r="C226" s="334"/>
      <c r="D226" s="365" t="s">
        <v>399</v>
      </c>
      <c r="E226" s="335" t="s">
        <v>400</v>
      </c>
      <c r="F226" s="337">
        <f t="shared" ref="F226:H226" si="134">+F227</f>
        <v>234600000</v>
      </c>
      <c r="G226" s="344">
        <f>+G227</f>
        <v>0</v>
      </c>
      <c r="H226" s="344">
        <f t="shared" si="134"/>
        <v>0</v>
      </c>
      <c r="I226" s="344">
        <f t="shared" si="127"/>
        <v>0</v>
      </c>
      <c r="J226" s="344">
        <f>+J227</f>
        <v>0</v>
      </c>
      <c r="K226" s="344">
        <f t="shared" ref="K226" si="135">+K227</f>
        <v>0</v>
      </c>
      <c r="L226" s="344">
        <f t="shared" si="132"/>
        <v>0</v>
      </c>
      <c r="M226" s="344">
        <f t="shared" si="130"/>
        <v>0</v>
      </c>
      <c r="N226" s="337">
        <f t="shared" si="133"/>
        <v>234600000</v>
      </c>
      <c r="P226" s="340"/>
      <c r="S226" s="347"/>
      <c r="T226" s="347"/>
      <c r="U226" s="342"/>
    </row>
    <row r="227" spans="1:21" s="381" customFormat="1" ht="18" customHeight="1" x14ac:dyDescent="0.25">
      <c r="A227" s="380"/>
      <c r="B227" s="352"/>
      <c r="C227" s="334"/>
      <c r="D227" s="335" t="s">
        <v>401</v>
      </c>
      <c r="E227" s="335" t="s">
        <v>402</v>
      </c>
      <c r="F227" s="337">
        <f>SUM(F228:F230)</f>
        <v>234600000</v>
      </c>
      <c r="G227" s="344">
        <f>SUM(G229:G229)</f>
        <v>0</v>
      </c>
      <c r="H227" s="344">
        <f>SUM(H229:H229)</f>
        <v>0</v>
      </c>
      <c r="I227" s="344">
        <f t="shared" si="127"/>
        <v>0</v>
      </c>
      <c r="J227" s="344">
        <f>SUM(J229:J229)</f>
        <v>0</v>
      </c>
      <c r="K227" s="344">
        <f>SUM(K229:K229)</f>
        <v>0</v>
      </c>
      <c r="L227" s="344">
        <f t="shared" si="132"/>
        <v>0</v>
      </c>
      <c r="M227" s="344">
        <f>+I227+L227</f>
        <v>0</v>
      </c>
      <c r="N227" s="337">
        <f t="shared" si="133"/>
        <v>234600000</v>
      </c>
      <c r="P227" s="340"/>
      <c r="S227" s="347"/>
      <c r="T227" s="347"/>
      <c r="U227" s="382"/>
    </row>
    <row r="228" spans="1:21" s="381" customFormat="1" ht="18" customHeight="1" x14ac:dyDescent="0.25">
      <c r="A228" s="380"/>
      <c r="B228" s="352"/>
      <c r="C228" s="334"/>
      <c r="D228" s="335" t="s">
        <v>464</v>
      </c>
      <c r="E228" s="335" t="s">
        <v>465</v>
      </c>
      <c r="F228" s="337">
        <v>3000000</v>
      </c>
      <c r="G228" s="344"/>
      <c r="H228" s="344"/>
      <c r="I228" s="344">
        <f t="shared" si="127"/>
        <v>0</v>
      </c>
      <c r="J228" s="344"/>
      <c r="K228" s="344"/>
      <c r="L228" s="344">
        <f t="shared" si="132"/>
        <v>0</v>
      </c>
      <c r="M228" s="344">
        <f>+I228+L228</f>
        <v>0</v>
      </c>
      <c r="N228" s="337">
        <f t="shared" si="133"/>
        <v>3000000</v>
      </c>
      <c r="P228" s="340"/>
      <c r="S228" s="347"/>
      <c r="T228" s="347"/>
      <c r="U228" s="382"/>
    </row>
    <row r="229" spans="1:21" s="381" customFormat="1" ht="18" customHeight="1" x14ac:dyDescent="0.25">
      <c r="A229" s="380"/>
      <c r="B229" s="352"/>
      <c r="C229" s="334"/>
      <c r="D229" s="335" t="s">
        <v>403</v>
      </c>
      <c r="E229" s="335" t="s">
        <v>404</v>
      </c>
      <c r="F229" s="337">
        <v>36600000</v>
      </c>
      <c r="G229" s="344"/>
      <c r="H229" s="344"/>
      <c r="I229" s="344">
        <f t="shared" si="127"/>
        <v>0</v>
      </c>
      <c r="J229" s="344"/>
      <c r="K229" s="344"/>
      <c r="L229" s="344">
        <f t="shared" si="132"/>
        <v>0</v>
      </c>
      <c r="M229" s="344">
        <f>+I229+L229</f>
        <v>0</v>
      </c>
      <c r="N229" s="337">
        <f t="shared" si="133"/>
        <v>36600000</v>
      </c>
      <c r="P229" s="340"/>
      <c r="S229" s="347"/>
      <c r="T229" s="347"/>
      <c r="U229" s="382"/>
    </row>
    <row r="230" spans="1:21" s="381" customFormat="1" ht="18" customHeight="1" x14ac:dyDescent="0.25">
      <c r="A230" s="380"/>
      <c r="B230" s="352"/>
      <c r="C230" s="334"/>
      <c r="D230" s="335" t="s">
        <v>459</v>
      </c>
      <c r="E230" s="335" t="s">
        <v>460</v>
      </c>
      <c r="F230" s="337">
        <v>195000000</v>
      </c>
      <c r="G230" s="344"/>
      <c r="H230" s="344"/>
      <c r="I230" s="344">
        <f t="shared" si="127"/>
        <v>0</v>
      </c>
      <c r="J230" s="344"/>
      <c r="K230" s="344"/>
      <c r="L230" s="344">
        <f t="shared" si="132"/>
        <v>0</v>
      </c>
      <c r="M230" s="344">
        <f>+I230+L230</f>
        <v>0</v>
      </c>
      <c r="N230" s="337">
        <f t="shared" si="133"/>
        <v>195000000</v>
      </c>
      <c r="P230" s="340"/>
      <c r="S230" s="347"/>
      <c r="T230" s="347"/>
      <c r="U230" s="382"/>
    </row>
    <row r="231" spans="1:21" s="339" customFormat="1" ht="18" customHeight="1" x14ac:dyDescent="0.25">
      <c r="A231" s="334"/>
      <c r="B231" s="335"/>
      <c r="C231" s="334"/>
      <c r="D231" s="365" t="s">
        <v>273</v>
      </c>
      <c r="E231" s="335" t="s">
        <v>274</v>
      </c>
      <c r="F231" s="337">
        <f>+F232</f>
        <v>1800000</v>
      </c>
      <c r="G231" s="344">
        <f>+G232</f>
        <v>0</v>
      </c>
      <c r="H231" s="344">
        <f t="shared" ref="H231" si="136">+H232</f>
        <v>0</v>
      </c>
      <c r="I231" s="344">
        <f t="shared" si="127"/>
        <v>0</v>
      </c>
      <c r="J231" s="344">
        <f>+J232</f>
        <v>0</v>
      </c>
      <c r="K231" s="344">
        <f t="shared" ref="K231" si="137">+K232</f>
        <v>0</v>
      </c>
      <c r="L231" s="344">
        <f t="shared" si="132"/>
        <v>0</v>
      </c>
      <c r="M231" s="344">
        <f t="shared" ref="M231" si="138">+I231+L231</f>
        <v>0</v>
      </c>
      <c r="N231" s="337">
        <f t="shared" si="133"/>
        <v>1800000</v>
      </c>
      <c r="P231" s="340"/>
      <c r="S231" s="347"/>
      <c r="T231" s="347"/>
      <c r="U231" s="342"/>
    </row>
    <row r="232" spans="1:21" s="381" customFormat="1" ht="18" customHeight="1" x14ac:dyDescent="0.25">
      <c r="A232" s="380"/>
      <c r="B232" s="352"/>
      <c r="C232" s="334"/>
      <c r="D232" s="335" t="s">
        <v>382</v>
      </c>
      <c r="E232" s="335" t="s">
        <v>383</v>
      </c>
      <c r="F232" s="337">
        <f>+F233</f>
        <v>1800000</v>
      </c>
      <c r="G232" s="344">
        <f>SUM(G234:G234)</f>
        <v>0</v>
      </c>
      <c r="H232" s="344">
        <f>SUM(H234:H234)</f>
        <v>0</v>
      </c>
      <c r="I232" s="344">
        <f t="shared" si="127"/>
        <v>0</v>
      </c>
      <c r="J232" s="344">
        <f>SUM(J234:J234)</f>
        <v>0</v>
      </c>
      <c r="K232" s="344">
        <f>SUM(K234:K234)</f>
        <v>0</v>
      </c>
      <c r="L232" s="344">
        <f t="shared" si="132"/>
        <v>0</v>
      </c>
      <c r="M232" s="344">
        <f>+I232+L232</f>
        <v>0</v>
      </c>
      <c r="N232" s="337">
        <f t="shared" si="133"/>
        <v>1800000</v>
      </c>
      <c r="P232" s="340"/>
      <c r="S232" s="347"/>
      <c r="T232" s="347"/>
      <c r="U232" s="382"/>
    </row>
    <row r="233" spans="1:21" s="381" customFormat="1" ht="18" customHeight="1" x14ac:dyDescent="0.25">
      <c r="A233" s="380"/>
      <c r="B233" s="352"/>
      <c r="C233" s="334"/>
      <c r="D233" s="335" t="s">
        <v>386</v>
      </c>
      <c r="E233" s="335" t="s">
        <v>387</v>
      </c>
      <c r="F233" s="337">
        <v>1800000</v>
      </c>
      <c r="G233" s="344"/>
      <c r="H233" s="344"/>
      <c r="I233" s="344">
        <f t="shared" si="127"/>
        <v>0</v>
      </c>
      <c r="J233" s="344"/>
      <c r="K233" s="344"/>
      <c r="L233" s="344">
        <f t="shared" si="132"/>
        <v>0</v>
      </c>
      <c r="M233" s="344">
        <f>+I233+L233</f>
        <v>0</v>
      </c>
      <c r="N233" s="337">
        <f t="shared" si="133"/>
        <v>1800000</v>
      </c>
      <c r="P233" s="340"/>
      <c r="S233" s="347"/>
      <c r="T233" s="347"/>
      <c r="U233" s="382"/>
    </row>
    <row r="234" spans="1:21" s="381" customFormat="1" ht="18" customHeight="1" x14ac:dyDescent="0.25">
      <c r="A234" s="380"/>
      <c r="B234" s="352"/>
      <c r="C234" s="334"/>
      <c r="D234" s="335" t="s">
        <v>466</v>
      </c>
      <c r="E234" s="335" t="s">
        <v>467</v>
      </c>
      <c r="F234" s="337">
        <f>+F235</f>
        <v>100000000</v>
      </c>
      <c r="G234" s="344">
        <f>+G235</f>
        <v>0</v>
      </c>
      <c r="H234" s="344">
        <f>+H235+H238</f>
        <v>0</v>
      </c>
      <c r="I234" s="344">
        <f t="shared" si="127"/>
        <v>0</v>
      </c>
      <c r="J234" s="344">
        <f>+J235</f>
        <v>0</v>
      </c>
      <c r="K234" s="344">
        <f t="shared" ref="K234:K235" si="139">+K235</f>
        <v>0</v>
      </c>
      <c r="L234" s="344">
        <f t="shared" si="132"/>
        <v>0</v>
      </c>
      <c r="M234" s="344">
        <f>+I234+L234</f>
        <v>0</v>
      </c>
      <c r="N234" s="337">
        <f t="shared" si="133"/>
        <v>100000000</v>
      </c>
      <c r="P234" s="340"/>
      <c r="S234" s="347"/>
      <c r="T234" s="347"/>
      <c r="U234" s="382"/>
    </row>
    <row r="235" spans="1:21" s="339" customFormat="1" ht="18" customHeight="1" x14ac:dyDescent="0.25">
      <c r="A235" s="334"/>
      <c r="B235" s="335"/>
      <c r="C235" s="334"/>
      <c r="D235" s="365" t="s">
        <v>468</v>
      </c>
      <c r="E235" s="335" t="s">
        <v>469</v>
      </c>
      <c r="F235" s="337">
        <f t="shared" ref="F235:H235" si="140">+F236</f>
        <v>100000000</v>
      </c>
      <c r="G235" s="344">
        <f>+G236</f>
        <v>0</v>
      </c>
      <c r="H235" s="344">
        <f t="shared" si="140"/>
        <v>0</v>
      </c>
      <c r="I235" s="344">
        <f t="shared" si="127"/>
        <v>0</v>
      </c>
      <c r="J235" s="344">
        <f>+J236</f>
        <v>0</v>
      </c>
      <c r="K235" s="344">
        <f t="shared" si="139"/>
        <v>0</v>
      </c>
      <c r="L235" s="344">
        <f t="shared" si="132"/>
        <v>0</v>
      </c>
      <c r="M235" s="344">
        <f t="shared" ref="M235:M236" si="141">+I235+L235</f>
        <v>0</v>
      </c>
      <c r="N235" s="337">
        <f t="shared" si="133"/>
        <v>100000000</v>
      </c>
      <c r="P235" s="340"/>
      <c r="S235" s="347"/>
      <c r="T235" s="347"/>
      <c r="U235" s="342"/>
    </row>
    <row r="236" spans="1:21" s="381" customFormat="1" ht="18" customHeight="1" x14ac:dyDescent="0.25">
      <c r="A236" s="380"/>
      <c r="B236" s="352"/>
      <c r="C236" s="334"/>
      <c r="D236" s="335" t="s">
        <v>470</v>
      </c>
      <c r="E236" s="335" t="s">
        <v>471</v>
      </c>
      <c r="F236" s="337">
        <f>SUM(F237)</f>
        <v>100000000</v>
      </c>
      <c r="G236" s="344">
        <f>+G237</f>
        <v>0</v>
      </c>
      <c r="H236" s="344">
        <f>+H237</f>
        <v>0</v>
      </c>
      <c r="I236" s="344">
        <f>+G236+H236</f>
        <v>0</v>
      </c>
      <c r="J236" s="344">
        <f>+J237</f>
        <v>0</v>
      </c>
      <c r="K236" s="344">
        <f>+K237</f>
        <v>0</v>
      </c>
      <c r="L236" s="344">
        <f>+J236+K236</f>
        <v>0</v>
      </c>
      <c r="M236" s="344">
        <f t="shared" si="141"/>
        <v>0</v>
      </c>
      <c r="N236" s="337">
        <f t="shared" si="133"/>
        <v>100000000</v>
      </c>
      <c r="P236" s="340"/>
      <c r="S236" s="347"/>
      <c r="T236" s="347"/>
      <c r="U236" s="382"/>
    </row>
    <row r="237" spans="1:21" s="381" customFormat="1" ht="18" customHeight="1" x14ac:dyDescent="0.25">
      <c r="A237" s="380"/>
      <c r="B237" s="352"/>
      <c r="C237" s="334"/>
      <c r="D237" s="335" t="s">
        <v>472</v>
      </c>
      <c r="E237" s="335" t="s">
        <v>473</v>
      </c>
      <c r="F237" s="337">
        <v>100000000</v>
      </c>
      <c r="G237" s="344"/>
      <c r="H237" s="344"/>
      <c r="I237" s="344">
        <f>+G237+H237</f>
        <v>0</v>
      </c>
      <c r="J237" s="344"/>
      <c r="K237" s="344"/>
      <c r="L237" s="344">
        <f t="shared" ref="L237" si="142">+J237+K237</f>
        <v>0</v>
      </c>
      <c r="M237" s="344">
        <f>+I237+L237</f>
        <v>0</v>
      </c>
      <c r="N237" s="337">
        <f t="shared" si="133"/>
        <v>100000000</v>
      </c>
      <c r="P237" s="340"/>
      <c r="S237" s="347"/>
      <c r="T237" s="347"/>
      <c r="U237" s="382"/>
    </row>
    <row r="238" spans="1:21" s="153" customFormat="1" ht="18" customHeight="1" x14ac:dyDescent="0.25">
      <c r="A238" s="353"/>
      <c r="B238" s="355"/>
      <c r="C238" s="355"/>
      <c r="D238" s="355"/>
      <c r="E238" s="355"/>
      <c r="F238" s="356"/>
      <c r="G238" s="357"/>
      <c r="H238" s="357"/>
      <c r="I238" s="357"/>
      <c r="J238" s="357"/>
      <c r="K238" s="357"/>
      <c r="L238" s="357"/>
      <c r="M238" s="357"/>
      <c r="N238" s="356"/>
      <c r="P238" s="200"/>
      <c r="S238" s="221"/>
      <c r="T238" s="221"/>
      <c r="U238" s="254"/>
    </row>
    <row r="239" spans="1:21" s="319" customFormat="1" ht="18" customHeight="1" x14ac:dyDescent="0.25">
      <c r="A239" s="276"/>
      <c r="B239" s="305" t="s">
        <v>357</v>
      </c>
      <c r="C239" s="305"/>
      <c r="D239" s="305"/>
      <c r="E239" s="305" t="s">
        <v>358</v>
      </c>
      <c r="F239" s="359">
        <f>+F241</f>
        <v>260000000</v>
      </c>
      <c r="G239" s="360">
        <f>+G240</f>
        <v>0</v>
      </c>
      <c r="H239" s="360">
        <f>+H240</f>
        <v>0</v>
      </c>
      <c r="I239" s="360">
        <f>+G239+H239</f>
        <v>0</v>
      </c>
      <c r="J239" s="360">
        <f>+J240</f>
        <v>0</v>
      </c>
      <c r="K239" s="360">
        <f>+K240</f>
        <v>0</v>
      </c>
      <c r="L239" s="360">
        <f>+J239+K239</f>
        <v>0</v>
      </c>
      <c r="M239" s="360">
        <f t="shared" ref="M239" si="143">+I239+L239</f>
        <v>0</v>
      </c>
      <c r="N239" s="359">
        <f t="shared" ref="N239:N245" si="144">+F239-M239</f>
        <v>260000000</v>
      </c>
      <c r="P239" s="361"/>
      <c r="R239" s="321"/>
      <c r="S239" s="362"/>
      <c r="T239" s="362"/>
      <c r="U239" s="350"/>
    </row>
    <row r="240" spans="1:21" s="319" customFormat="1" ht="18" customHeight="1" x14ac:dyDescent="0.25">
      <c r="A240" s="276">
        <v>11</v>
      </c>
      <c r="B240" s="305"/>
      <c r="C240" s="305" t="s">
        <v>119</v>
      </c>
      <c r="D240" s="363"/>
      <c r="E240" s="364" t="s">
        <v>120</v>
      </c>
      <c r="F240" s="307">
        <f>+F241</f>
        <v>260000000</v>
      </c>
      <c r="G240" s="308">
        <f>+G241</f>
        <v>0</v>
      </c>
      <c r="H240" s="308">
        <f>+H241</f>
        <v>0</v>
      </c>
      <c r="I240" s="308">
        <f>+G240+H240</f>
        <v>0</v>
      </c>
      <c r="J240" s="308">
        <f>+J241</f>
        <v>0</v>
      </c>
      <c r="K240" s="308">
        <f>+K241</f>
        <v>0</v>
      </c>
      <c r="L240" s="308">
        <f>+J240+K240</f>
        <v>0</v>
      </c>
      <c r="M240" s="308">
        <f>+I240+L240</f>
        <v>0</v>
      </c>
      <c r="N240" s="307">
        <f t="shared" si="144"/>
        <v>260000000</v>
      </c>
      <c r="P240" s="320"/>
      <c r="R240" s="321"/>
      <c r="S240" s="349"/>
      <c r="T240" s="349"/>
      <c r="U240" s="350"/>
    </row>
    <row r="241" spans="1:21" s="329" customFormat="1" ht="18" customHeight="1" x14ac:dyDescent="0.25">
      <c r="A241" s="323"/>
      <c r="B241" s="324"/>
      <c r="C241" s="324"/>
      <c r="D241" s="325" t="s">
        <v>267</v>
      </c>
      <c r="E241" s="326" t="s">
        <v>268</v>
      </c>
      <c r="F241" s="327">
        <f t="shared" ref="F241:H243" si="145">+F242</f>
        <v>260000000</v>
      </c>
      <c r="G241" s="328">
        <f>+G242</f>
        <v>0</v>
      </c>
      <c r="H241" s="328">
        <f t="shared" si="145"/>
        <v>0</v>
      </c>
      <c r="I241" s="328">
        <f t="shared" ref="I241:I245" si="146">+G241+H241</f>
        <v>0</v>
      </c>
      <c r="J241" s="328">
        <f>+J242</f>
        <v>0</v>
      </c>
      <c r="K241" s="328">
        <f t="shared" ref="K241:K243" si="147">+K242</f>
        <v>0</v>
      </c>
      <c r="L241" s="328">
        <f t="shared" ref="L241:L244" si="148">+J241+K241</f>
        <v>0</v>
      </c>
      <c r="M241" s="328">
        <f t="shared" ref="M241:M244" si="149">+I241+L241</f>
        <v>0</v>
      </c>
      <c r="N241" s="327">
        <f t="shared" si="144"/>
        <v>260000000</v>
      </c>
      <c r="P241" s="330"/>
      <c r="R241" s="331"/>
      <c r="S241" s="351"/>
      <c r="T241" s="351"/>
      <c r="U241" s="333"/>
    </row>
    <row r="242" spans="1:21" s="339" customFormat="1" ht="18" customHeight="1" x14ac:dyDescent="0.25">
      <c r="A242" s="334"/>
      <c r="B242" s="352"/>
      <c r="C242" s="334"/>
      <c r="D242" s="335" t="s">
        <v>78</v>
      </c>
      <c r="E242" s="335" t="s">
        <v>75</v>
      </c>
      <c r="F242" s="337">
        <f t="shared" si="145"/>
        <v>260000000</v>
      </c>
      <c r="G242" s="344">
        <f>+G243</f>
        <v>0</v>
      </c>
      <c r="H242" s="344">
        <f t="shared" si="145"/>
        <v>0</v>
      </c>
      <c r="I242" s="344">
        <f t="shared" si="146"/>
        <v>0</v>
      </c>
      <c r="J242" s="344">
        <f>+J243</f>
        <v>0</v>
      </c>
      <c r="K242" s="344">
        <f t="shared" si="147"/>
        <v>0</v>
      </c>
      <c r="L242" s="344">
        <f t="shared" si="148"/>
        <v>0</v>
      </c>
      <c r="M242" s="344">
        <f t="shared" si="149"/>
        <v>0</v>
      </c>
      <c r="N242" s="337">
        <f t="shared" si="144"/>
        <v>260000000</v>
      </c>
      <c r="P242" s="340"/>
      <c r="S242" s="347"/>
      <c r="T242" s="347"/>
      <c r="U242" s="342"/>
    </row>
    <row r="243" spans="1:21" s="339" customFormat="1" ht="18" customHeight="1" x14ac:dyDescent="0.25">
      <c r="A243" s="334"/>
      <c r="B243" s="335"/>
      <c r="C243" s="334"/>
      <c r="D243" s="365" t="s">
        <v>277</v>
      </c>
      <c r="E243" s="335" t="s">
        <v>278</v>
      </c>
      <c r="F243" s="337">
        <f t="shared" si="145"/>
        <v>260000000</v>
      </c>
      <c r="G243" s="344">
        <f>+G244</f>
        <v>0</v>
      </c>
      <c r="H243" s="344">
        <f t="shared" si="145"/>
        <v>0</v>
      </c>
      <c r="I243" s="344">
        <f t="shared" si="146"/>
        <v>0</v>
      </c>
      <c r="J243" s="344">
        <f>+J244</f>
        <v>0</v>
      </c>
      <c r="K243" s="344">
        <f t="shared" si="147"/>
        <v>0</v>
      </c>
      <c r="L243" s="344">
        <f t="shared" si="148"/>
        <v>0</v>
      </c>
      <c r="M243" s="344">
        <f t="shared" si="149"/>
        <v>0</v>
      </c>
      <c r="N243" s="337">
        <f t="shared" si="144"/>
        <v>260000000</v>
      </c>
      <c r="P243" s="340"/>
      <c r="S243" s="347"/>
      <c r="T243" s="347"/>
      <c r="U243" s="342"/>
    </row>
    <row r="244" spans="1:21" s="339" customFormat="1" ht="18" customHeight="1" x14ac:dyDescent="0.25">
      <c r="A244" s="334"/>
      <c r="B244" s="352"/>
      <c r="C244" s="334"/>
      <c r="D244" s="335" t="s">
        <v>121</v>
      </c>
      <c r="E244" s="335" t="s">
        <v>123</v>
      </c>
      <c r="F244" s="337">
        <f>F245</f>
        <v>260000000</v>
      </c>
      <c r="G244" s="344">
        <f>+G245</f>
        <v>0</v>
      </c>
      <c r="H244" s="344">
        <f>+H245</f>
        <v>0</v>
      </c>
      <c r="I244" s="344">
        <f t="shared" si="146"/>
        <v>0</v>
      </c>
      <c r="J244" s="344">
        <f>+J245</f>
        <v>0</v>
      </c>
      <c r="K244" s="344">
        <f>+K245</f>
        <v>0</v>
      </c>
      <c r="L244" s="344">
        <f t="shared" si="148"/>
        <v>0</v>
      </c>
      <c r="M244" s="344">
        <f t="shared" si="149"/>
        <v>0</v>
      </c>
      <c r="N244" s="337">
        <f t="shared" si="144"/>
        <v>260000000</v>
      </c>
      <c r="P244" s="340"/>
      <c r="S244" s="347"/>
      <c r="T244" s="347"/>
      <c r="U244" s="342"/>
    </row>
    <row r="245" spans="1:21" s="339" customFormat="1" ht="18" customHeight="1" x14ac:dyDescent="0.25">
      <c r="A245" s="334"/>
      <c r="B245" s="352"/>
      <c r="C245" s="334"/>
      <c r="D245" s="335" t="s">
        <v>122</v>
      </c>
      <c r="E245" s="335" t="s">
        <v>124</v>
      </c>
      <c r="F245" s="337">
        <v>260000000</v>
      </c>
      <c r="G245" s="344"/>
      <c r="H245" s="344"/>
      <c r="I245" s="344">
        <f t="shared" si="146"/>
        <v>0</v>
      </c>
      <c r="J245" s="344"/>
      <c r="K245" s="344"/>
      <c r="L245" s="344"/>
      <c r="M245" s="344">
        <f>+I245+L245</f>
        <v>0</v>
      </c>
      <c r="N245" s="337">
        <f t="shared" si="144"/>
        <v>260000000</v>
      </c>
      <c r="P245" s="340"/>
      <c r="S245" s="347"/>
      <c r="T245" s="346"/>
      <c r="U245" s="342"/>
    </row>
    <row r="246" spans="1:21" s="153" customFormat="1" ht="18" customHeight="1" x14ac:dyDescent="0.25">
      <c r="A246" s="353"/>
      <c r="B246" s="355"/>
      <c r="C246" s="355"/>
      <c r="D246" s="355"/>
      <c r="E246" s="355"/>
      <c r="F246" s="356"/>
      <c r="G246" s="357"/>
      <c r="H246" s="357"/>
      <c r="I246" s="357"/>
      <c r="J246" s="357"/>
      <c r="K246" s="357"/>
      <c r="L246" s="357"/>
      <c r="M246" s="357"/>
      <c r="N246" s="356"/>
      <c r="P246" s="200"/>
      <c r="S246" s="221"/>
      <c r="T246" s="221"/>
      <c r="U246" s="254"/>
    </row>
    <row r="247" spans="1:21" s="319" customFormat="1" ht="16.5" customHeight="1" x14ac:dyDescent="0.25">
      <c r="A247" s="276"/>
      <c r="B247" s="305" t="s">
        <v>359</v>
      </c>
      <c r="C247" s="305"/>
      <c r="D247" s="305"/>
      <c r="E247" s="305" t="s">
        <v>360</v>
      </c>
      <c r="F247" s="359">
        <f>+F248+F256+F269+F278</f>
        <v>39780847375</v>
      </c>
      <c r="G247" s="360">
        <f>+G248+G256+G269+G278</f>
        <v>3058644020</v>
      </c>
      <c r="H247" s="360">
        <f>+H248+H256+H269+H278</f>
        <v>3059777388</v>
      </c>
      <c r="I247" s="360">
        <f>+G247+H247</f>
        <v>6118421408</v>
      </c>
      <c r="J247" s="360">
        <f>+J248+J256+J269+J278</f>
        <v>94954700</v>
      </c>
      <c r="K247" s="360">
        <f>+K248+K256+K269+K278</f>
        <v>112274189</v>
      </c>
      <c r="L247" s="360">
        <f>+J247+K247</f>
        <v>207228889</v>
      </c>
      <c r="M247" s="308">
        <f t="shared" ref="M247" si="150">+I247+L247</f>
        <v>6325650297</v>
      </c>
      <c r="N247" s="359">
        <f t="shared" ref="N247:N255" si="151">+F247-M247</f>
        <v>33455197078</v>
      </c>
      <c r="P247" s="361"/>
      <c r="R247" s="321"/>
      <c r="S247" s="362"/>
      <c r="T247" s="362"/>
      <c r="U247" s="350"/>
    </row>
    <row r="248" spans="1:21" s="319" customFormat="1" ht="18" customHeight="1" x14ac:dyDescent="0.25">
      <c r="A248" s="276">
        <v>12</v>
      </c>
      <c r="B248" s="305"/>
      <c r="C248" s="305" t="s">
        <v>125</v>
      </c>
      <c r="D248" s="363"/>
      <c r="E248" s="364" t="s">
        <v>34</v>
      </c>
      <c r="F248" s="307">
        <f>+F249</f>
        <v>219414700</v>
      </c>
      <c r="G248" s="308">
        <f>+G249</f>
        <v>0</v>
      </c>
      <c r="H248" s="308">
        <f>+H249</f>
        <v>0</v>
      </c>
      <c r="I248" s="308">
        <f>+G248+H248</f>
        <v>0</v>
      </c>
      <c r="J248" s="308">
        <f>+J249</f>
        <v>0</v>
      </c>
      <c r="K248" s="308">
        <f>+K249</f>
        <v>2400000</v>
      </c>
      <c r="L248" s="308">
        <f>+J248+K248</f>
        <v>2400000</v>
      </c>
      <c r="M248" s="308">
        <f>+I248+L248</f>
        <v>2400000</v>
      </c>
      <c r="N248" s="307">
        <f t="shared" si="151"/>
        <v>217014700</v>
      </c>
      <c r="P248" s="320"/>
      <c r="R248" s="321"/>
      <c r="S248" s="349"/>
      <c r="T248" s="349"/>
      <c r="U248" s="350"/>
    </row>
    <row r="249" spans="1:21" s="329" customFormat="1" ht="18" customHeight="1" x14ac:dyDescent="0.25">
      <c r="A249" s="323"/>
      <c r="B249" s="324"/>
      <c r="C249" s="379"/>
      <c r="D249" s="325" t="s">
        <v>207</v>
      </c>
      <c r="E249" s="326" t="s">
        <v>262</v>
      </c>
      <c r="F249" s="327">
        <f t="shared" ref="F249:H251" si="152">+F250</f>
        <v>219414700</v>
      </c>
      <c r="G249" s="328">
        <f>+G250</f>
        <v>0</v>
      </c>
      <c r="H249" s="328">
        <f t="shared" si="152"/>
        <v>0</v>
      </c>
      <c r="I249" s="328">
        <f t="shared" ref="I249:I253" si="153">+G249+H249</f>
        <v>0</v>
      </c>
      <c r="J249" s="328">
        <f t="shared" ref="J249:K251" si="154">+J250</f>
        <v>0</v>
      </c>
      <c r="K249" s="328">
        <f t="shared" si="154"/>
        <v>2400000</v>
      </c>
      <c r="L249" s="328">
        <f t="shared" ref="L249:L251" si="155">+J249+K249</f>
        <v>2400000</v>
      </c>
      <c r="M249" s="328">
        <f t="shared" ref="M249:M252" si="156">+I249+L249</f>
        <v>2400000</v>
      </c>
      <c r="N249" s="327">
        <f t="shared" si="151"/>
        <v>217014700</v>
      </c>
      <c r="P249" s="330"/>
      <c r="R249" s="331"/>
      <c r="S249" s="351"/>
      <c r="T249" s="351"/>
      <c r="U249" s="333"/>
    </row>
    <row r="250" spans="1:21" s="339" customFormat="1" ht="18" customHeight="1" x14ac:dyDescent="0.25">
      <c r="A250" s="334"/>
      <c r="B250" s="352"/>
      <c r="C250" s="334"/>
      <c r="D250" s="335" t="s">
        <v>63</v>
      </c>
      <c r="E250" s="335" t="s">
        <v>30</v>
      </c>
      <c r="F250" s="337">
        <f t="shared" si="152"/>
        <v>219414700</v>
      </c>
      <c r="G250" s="344">
        <f>+G251</f>
        <v>0</v>
      </c>
      <c r="H250" s="344">
        <f t="shared" si="152"/>
        <v>0</v>
      </c>
      <c r="I250" s="344">
        <f t="shared" si="153"/>
        <v>0</v>
      </c>
      <c r="J250" s="344">
        <f t="shared" si="154"/>
        <v>0</v>
      </c>
      <c r="K250" s="344">
        <f t="shared" si="154"/>
        <v>2400000</v>
      </c>
      <c r="L250" s="344">
        <f t="shared" si="155"/>
        <v>2400000</v>
      </c>
      <c r="M250" s="344">
        <f t="shared" si="156"/>
        <v>2400000</v>
      </c>
      <c r="N250" s="337">
        <f t="shared" si="151"/>
        <v>217014700</v>
      </c>
      <c r="P250" s="340"/>
      <c r="S250" s="347"/>
      <c r="T250" s="347"/>
      <c r="U250" s="342"/>
    </row>
    <row r="251" spans="1:21" s="339" customFormat="1" ht="18" customHeight="1" x14ac:dyDescent="0.25">
      <c r="A251" s="334"/>
      <c r="B251" s="335"/>
      <c r="C251" s="334"/>
      <c r="D251" s="365" t="s">
        <v>263</v>
      </c>
      <c r="E251" s="335" t="s">
        <v>264</v>
      </c>
      <c r="F251" s="337">
        <f t="shared" si="152"/>
        <v>219414700</v>
      </c>
      <c r="G251" s="344">
        <f>+G252</f>
        <v>0</v>
      </c>
      <c r="H251" s="344">
        <f t="shared" si="152"/>
        <v>0</v>
      </c>
      <c r="I251" s="344">
        <f t="shared" si="153"/>
        <v>0</v>
      </c>
      <c r="J251" s="344">
        <f t="shared" si="154"/>
        <v>0</v>
      </c>
      <c r="K251" s="344">
        <f t="shared" si="154"/>
        <v>2400000</v>
      </c>
      <c r="L251" s="344">
        <f t="shared" si="155"/>
        <v>2400000</v>
      </c>
      <c r="M251" s="344">
        <f t="shared" si="156"/>
        <v>2400000</v>
      </c>
      <c r="N251" s="337">
        <f t="shared" si="151"/>
        <v>217014700</v>
      </c>
      <c r="P251" s="340"/>
      <c r="S251" s="347"/>
      <c r="T251" s="347"/>
      <c r="U251" s="342"/>
    </row>
    <row r="252" spans="1:21" s="339" customFormat="1" ht="18" customHeight="1" x14ac:dyDescent="0.25">
      <c r="A252" s="334"/>
      <c r="B252" s="352"/>
      <c r="C252" s="334"/>
      <c r="D252" s="335" t="s">
        <v>64</v>
      </c>
      <c r="E252" s="335" t="s">
        <v>65</v>
      </c>
      <c r="F252" s="337">
        <f>SUM(F253:F255)</f>
        <v>219414700</v>
      </c>
      <c r="G252" s="344">
        <f>SUM(G253:G255)</f>
        <v>0</v>
      </c>
      <c r="H252" s="344">
        <f>SUM(H253:H255)</f>
        <v>0</v>
      </c>
      <c r="I252" s="344">
        <f t="shared" si="153"/>
        <v>0</v>
      </c>
      <c r="J252" s="344">
        <f>SUM(J253:J255)</f>
        <v>0</v>
      </c>
      <c r="K252" s="344">
        <f>SUM(K253:K255)</f>
        <v>2400000</v>
      </c>
      <c r="L252" s="344">
        <f>+J252+K252</f>
        <v>2400000</v>
      </c>
      <c r="M252" s="344">
        <f t="shared" si="156"/>
        <v>2400000</v>
      </c>
      <c r="N252" s="337">
        <f t="shared" si="151"/>
        <v>217014700</v>
      </c>
      <c r="P252" s="340"/>
      <c r="S252" s="347"/>
      <c r="T252" s="347"/>
      <c r="U252" s="342"/>
    </row>
    <row r="253" spans="1:21" s="339" customFormat="1" ht="18" customHeight="1" x14ac:dyDescent="0.25">
      <c r="A253" s="334"/>
      <c r="B253" s="352"/>
      <c r="C253" s="334"/>
      <c r="D253" s="335" t="s">
        <v>337</v>
      </c>
      <c r="E253" s="335" t="s">
        <v>338</v>
      </c>
      <c r="F253" s="337">
        <v>875000</v>
      </c>
      <c r="G253" s="344"/>
      <c r="H253" s="344"/>
      <c r="I253" s="344">
        <f t="shared" si="153"/>
        <v>0</v>
      </c>
      <c r="J253" s="344"/>
      <c r="K253" s="344"/>
      <c r="L253" s="344">
        <f>+J253+K253</f>
        <v>0</v>
      </c>
      <c r="M253" s="344">
        <f>+I253+L253</f>
        <v>0</v>
      </c>
      <c r="N253" s="337">
        <f t="shared" si="151"/>
        <v>875000</v>
      </c>
      <c r="P253" s="340"/>
      <c r="S253" s="347"/>
      <c r="T253" s="347"/>
      <c r="U253" s="342"/>
    </row>
    <row r="254" spans="1:21" s="339" customFormat="1" ht="18" customHeight="1" x14ac:dyDescent="0.25">
      <c r="A254" s="334"/>
      <c r="B254" s="352"/>
      <c r="C254" s="334"/>
      <c r="D254" s="335" t="s">
        <v>68</v>
      </c>
      <c r="E254" s="335" t="s">
        <v>69</v>
      </c>
      <c r="F254" s="337">
        <v>182539700</v>
      </c>
      <c r="G254" s="344"/>
      <c r="H254" s="344"/>
      <c r="I254" s="344">
        <f>+G254+H254</f>
        <v>0</v>
      </c>
      <c r="J254" s="344"/>
      <c r="K254" s="344"/>
      <c r="L254" s="344">
        <f>+J254+K254</f>
        <v>0</v>
      </c>
      <c r="M254" s="344">
        <f>+I254+L254</f>
        <v>0</v>
      </c>
      <c r="N254" s="337">
        <f t="shared" si="151"/>
        <v>182539700</v>
      </c>
      <c r="P254" s="340"/>
      <c r="S254" s="347"/>
      <c r="T254" s="347"/>
      <c r="U254" s="342"/>
    </row>
    <row r="255" spans="1:21" s="153" customFormat="1" ht="18" customHeight="1" x14ac:dyDescent="0.25">
      <c r="A255" s="353"/>
      <c r="B255" s="387"/>
      <c r="C255" s="353"/>
      <c r="D255" s="355" t="s">
        <v>126</v>
      </c>
      <c r="E255" s="355" t="s">
        <v>127</v>
      </c>
      <c r="F255" s="356">
        <v>36000000</v>
      </c>
      <c r="G255" s="357">
        <v>0</v>
      </c>
      <c r="H255" s="357"/>
      <c r="I255" s="357">
        <f>+G255+H255</f>
        <v>0</v>
      </c>
      <c r="J255" s="357"/>
      <c r="K255" s="357">
        <v>2400000</v>
      </c>
      <c r="L255" s="357">
        <f>+J255+K255</f>
        <v>2400000</v>
      </c>
      <c r="M255" s="357">
        <f>+I255+L255</f>
        <v>2400000</v>
      </c>
      <c r="N255" s="356">
        <f t="shared" si="151"/>
        <v>33600000</v>
      </c>
      <c r="P255" s="200"/>
      <c r="S255" s="358">
        <v>2400000</v>
      </c>
      <c r="T255" s="221"/>
      <c r="U255" s="254"/>
    </row>
    <row r="256" spans="1:21" s="319" customFormat="1" ht="18" customHeight="1" x14ac:dyDescent="0.25">
      <c r="A256" s="276">
        <v>13</v>
      </c>
      <c r="B256" s="305"/>
      <c r="C256" s="305" t="s">
        <v>128</v>
      </c>
      <c r="D256" s="363"/>
      <c r="E256" s="364" t="s">
        <v>46</v>
      </c>
      <c r="F256" s="307">
        <f>+F257</f>
        <v>38400620000</v>
      </c>
      <c r="G256" s="308">
        <f>+G257</f>
        <v>3058644020</v>
      </c>
      <c r="H256" s="308">
        <f>+H257</f>
        <v>3059777388</v>
      </c>
      <c r="I256" s="308">
        <f>+G256+H256</f>
        <v>6118421408</v>
      </c>
      <c r="J256" s="308">
        <f>+J257</f>
        <v>22194700</v>
      </c>
      <c r="K256" s="308">
        <f>+K257</f>
        <v>25914189</v>
      </c>
      <c r="L256" s="308">
        <f>+J256+K256</f>
        <v>48108889</v>
      </c>
      <c r="M256" s="308">
        <f>+I256+L256</f>
        <v>6166530297</v>
      </c>
      <c r="N256" s="307">
        <f>+F256-M256</f>
        <v>32234089703</v>
      </c>
      <c r="P256" s="320"/>
      <c r="R256" s="321"/>
      <c r="S256" s="349"/>
      <c r="T256" s="349"/>
      <c r="U256" s="350"/>
    </row>
    <row r="257" spans="1:21" s="329" customFormat="1" ht="18" customHeight="1" x14ac:dyDescent="0.25">
      <c r="A257" s="323"/>
      <c r="B257" s="324"/>
      <c r="C257" s="379"/>
      <c r="D257" s="325" t="s">
        <v>207</v>
      </c>
      <c r="E257" s="326" t="s">
        <v>262</v>
      </c>
      <c r="F257" s="327">
        <f>+F258</f>
        <v>38400620000</v>
      </c>
      <c r="G257" s="328">
        <f>+G258</f>
        <v>3058644020</v>
      </c>
      <c r="H257" s="328">
        <f t="shared" ref="F257:H259" si="157">+H258</f>
        <v>3059777388</v>
      </c>
      <c r="I257" s="328">
        <f t="shared" ref="I257:I262" si="158">+G257+H257</f>
        <v>6118421408</v>
      </c>
      <c r="J257" s="328">
        <f t="shared" ref="J257:K259" si="159">+J258</f>
        <v>22194700</v>
      </c>
      <c r="K257" s="328">
        <f t="shared" si="159"/>
        <v>25914189</v>
      </c>
      <c r="L257" s="328">
        <f t="shared" ref="L257:L260" si="160">+J257+K257</f>
        <v>48108889</v>
      </c>
      <c r="M257" s="328">
        <f t="shared" ref="M257:M260" si="161">+I257+L257</f>
        <v>6166530297</v>
      </c>
      <c r="N257" s="327">
        <f>+F257-M257</f>
        <v>32234089703</v>
      </c>
      <c r="P257" s="330"/>
      <c r="R257" s="331"/>
      <c r="S257" s="351"/>
      <c r="T257" s="351"/>
      <c r="U257" s="333"/>
    </row>
    <row r="258" spans="1:21" s="339" customFormat="1" ht="18" customHeight="1" x14ac:dyDescent="0.25">
      <c r="A258" s="334"/>
      <c r="B258" s="352"/>
      <c r="C258" s="334"/>
      <c r="D258" s="335" t="s">
        <v>63</v>
      </c>
      <c r="E258" s="335" t="s">
        <v>30</v>
      </c>
      <c r="F258" s="337">
        <f>+F259+F262</f>
        <v>38400620000</v>
      </c>
      <c r="G258" s="344">
        <f>+G259+G262</f>
        <v>3058644020</v>
      </c>
      <c r="H258" s="344">
        <f>+H259+H262</f>
        <v>3059777388</v>
      </c>
      <c r="I258" s="344">
        <f t="shared" si="158"/>
        <v>6118421408</v>
      </c>
      <c r="J258" s="344">
        <f>+J259+J262</f>
        <v>22194700</v>
      </c>
      <c r="K258" s="344">
        <f>+K259+K262</f>
        <v>25914189</v>
      </c>
      <c r="L258" s="344">
        <f t="shared" si="160"/>
        <v>48108889</v>
      </c>
      <c r="M258" s="344">
        <f t="shared" si="161"/>
        <v>6166530297</v>
      </c>
      <c r="N258" s="337">
        <f>+F258-M258</f>
        <v>32234089703</v>
      </c>
      <c r="P258" s="340"/>
      <c r="S258" s="347"/>
      <c r="T258" s="347"/>
      <c r="U258" s="342"/>
    </row>
    <row r="259" spans="1:21" s="339" customFormat="1" ht="18" customHeight="1" x14ac:dyDescent="0.25">
      <c r="A259" s="334"/>
      <c r="B259" s="335"/>
      <c r="C259" s="334"/>
      <c r="D259" s="365" t="s">
        <v>263</v>
      </c>
      <c r="E259" s="335" t="s">
        <v>264</v>
      </c>
      <c r="F259" s="337">
        <f t="shared" si="157"/>
        <v>35000000</v>
      </c>
      <c r="G259" s="344">
        <f>+G260</f>
        <v>0</v>
      </c>
      <c r="H259" s="344">
        <f t="shared" si="157"/>
        <v>0</v>
      </c>
      <c r="I259" s="344">
        <f t="shared" si="158"/>
        <v>0</v>
      </c>
      <c r="J259" s="344">
        <f t="shared" si="159"/>
        <v>0</v>
      </c>
      <c r="K259" s="344">
        <f t="shared" si="159"/>
        <v>3000000</v>
      </c>
      <c r="L259" s="344">
        <f t="shared" si="160"/>
        <v>3000000</v>
      </c>
      <c r="M259" s="344">
        <f t="shared" si="161"/>
        <v>3000000</v>
      </c>
      <c r="N259" s="337">
        <f>+F259-M259</f>
        <v>32000000</v>
      </c>
      <c r="P259" s="340"/>
      <c r="S259" s="347"/>
      <c r="T259" s="347"/>
      <c r="U259" s="342"/>
    </row>
    <row r="260" spans="1:21" s="339" customFormat="1" ht="18" customHeight="1" x14ac:dyDescent="0.25">
      <c r="A260" s="334"/>
      <c r="B260" s="352"/>
      <c r="C260" s="334"/>
      <c r="D260" s="335" t="s">
        <v>64</v>
      </c>
      <c r="E260" s="335" t="s">
        <v>65</v>
      </c>
      <c r="F260" s="337">
        <f>+F261</f>
        <v>35000000</v>
      </c>
      <c r="G260" s="344">
        <f>+G261</f>
        <v>0</v>
      </c>
      <c r="H260" s="344">
        <f>+H261+H265</f>
        <v>0</v>
      </c>
      <c r="I260" s="344">
        <f t="shared" si="158"/>
        <v>0</v>
      </c>
      <c r="J260" s="344">
        <f>J261</f>
        <v>0</v>
      </c>
      <c r="K260" s="344">
        <f>+K261</f>
        <v>3000000</v>
      </c>
      <c r="L260" s="344">
        <f t="shared" si="160"/>
        <v>3000000</v>
      </c>
      <c r="M260" s="344">
        <f t="shared" si="161"/>
        <v>3000000</v>
      </c>
      <c r="N260" s="337">
        <f>+F260-M260</f>
        <v>32000000</v>
      </c>
      <c r="P260" s="340"/>
      <c r="S260" s="347"/>
      <c r="T260" s="347"/>
      <c r="U260" s="342"/>
    </row>
    <row r="261" spans="1:21" s="339" customFormat="1" ht="18" customHeight="1" x14ac:dyDescent="0.25">
      <c r="A261" s="334"/>
      <c r="B261" s="352"/>
      <c r="C261" s="334"/>
      <c r="D261" s="335" t="s">
        <v>129</v>
      </c>
      <c r="E261" s="335" t="s">
        <v>130</v>
      </c>
      <c r="F261" s="337">
        <v>35000000</v>
      </c>
      <c r="G261" s="344"/>
      <c r="H261" s="344"/>
      <c r="I261" s="344">
        <f t="shared" si="158"/>
        <v>0</v>
      </c>
      <c r="J261" s="344"/>
      <c r="K261" s="344">
        <f>2000000+1000000</f>
        <v>3000000</v>
      </c>
      <c r="L261" s="344">
        <f>+J261+K261</f>
        <v>3000000</v>
      </c>
      <c r="M261" s="344">
        <f>+I261+L261</f>
        <v>3000000</v>
      </c>
      <c r="N261" s="337">
        <f t="shared" ref="N261" si="162">+F261-M261</f>
        <v>32000000</v>
      </c>
      <c r="P261" s="340"/>
      <c r="S261" s="346">
        <v>3000000</v>
      </c>
      <c r="T261" s="347"/>
      <c r="U261" s="342"/>
    </row>
    <row r="262" spans="1:21" s="339" customFormat="1" ht="18" customHeight="1" x14ac:dyDescent="0.25">
      <c r="A262" s="334"/>
      <c r="B262" s="335"/>
      <c r="C262" s="334"/>
      <c r="D262" s="365" t="s">
        <v>271</v>
      </c>
      <c r="E262" s="335" t="s">
        <v>272</v>
      </c>
      <c r="F262" s="337">
        <f t="shared" ref="F262:H262" si="163">+F263</f>
        <v>38365620000</v>
      </c>
      <c r="G262" s="344">
        <f>+G263</f>
        <v>3058644020</v>
      </c>
      <c r="H262" s="344">
        <f t="shared" si="163"/>
        <v>3059777388</v>
      </c>
      <c r="I262" s="344">
        <f t="shared" si="158"/>
        <v>6118421408</v>
      </c>
      <c r="J262" s="344">
        <f>+J263</f>
        <v>22194700</v>
      </c>
      <c r="K262" s="344">
        <f t="shared" ref="K262" si="164">+K263</f>
        <v>22914189</v>
      </c>
      <c r="L262" s="344">
        <f t="shared" ref="L262" si="165">+J262+K262</f>
        <v>45108889</v>
      </c>
      <c r="M262" s="344">
        <f t="shared" ref="M262:M263" si="166">+I262+L262</f>
        <v>6163530297</v>
      </c>
      <c r="N262" s="337">
        <f>+F262-M262</f>
        <v>32202089703</v>
      </c>
      <c r="P262" s="340"/>
      <c r="S262" s="346"/>
      <c r="T262" s="347"/>
      <c r="U262" s="342"/>
    </row>
    <row r="263" spans="1:21" s="339" customFormat="1" ht="18" customHeight="1" x14ac:dyDescent="0.25">
      <c r="A263" s="334"/>
      <c r="B263" s="352"/>
      <c r="C263" s="334"/>
      <c r="D263" s="335" t="s">
        <v>81</v>
      </c>
      <c r="E263" s="335" t="s">
        <v>31</v>
      </c>
      <c r="F263" s="337">
        <f>SUM(F264:F268)</f>
        <v>38365620000</v>
      </c>
      <c r="G263" s="344">
        <f>SUM(G264:G268)</f>
        <v>3058644020</v>
      </c>
      <c r="H263" s="344">
        <f>SUM(H264:H268)</f>
        <v>3059777388</v>
      </c>
      <c r="I263" s="344">
        <f>+G263+H263</f>
        <v>6118421408</v>
      </c>
      <c r="J263" s="344">
        <f>SUM(J264:J268)</f>
        <v>22194700</v>
      </c>
      <c r="K263" s="344">
        <f>SUM(K264:K268)</f>
        <v>22914189</v>
      </c>
      <c r="L263" s="344">
        <f>+J263+K263</f>
        <v>45108889</v>
      </c>
      <c r="M263" s="344">
        <f t="shared" si="166"/>
        <v>6163530297</v>
      </c>
      <c r="N263" s="337">
        <f>+F263-M263</f>
        <v>32202089703</v>
      </c>
      <c r="P263" s="340"/>
      <c r="S263" s="346"/>
      <c r="T263" s="347"/>
      <c r="U263" s="342"/>
    </row>
    <row r="264" spans="1:21" s="339" customFormat="1" ht="18" customHeight="1" x14ac:dyDescent="0.25">
      <c r="A264" s="334"/>
      <c r="B264" s="352"/>
      <c r="C264" s="334"/>
      <c r="D264" s="335" t="s">
        <v>131</v>
      </c>
      <c r="E264" s="335" t="s">
        <v>132</v>
      </c>
      <c r="F264" s="337">
        <v>16800000</v>
      </c>
      <c r="G264" s="344"/>
      <c r="H264" s="344"/>
      <c r="I264" s="344">
        <f t="shared" ref="I264:I268" si="167">+G264+H264</f>
        <v>0</v>
      </c>
      <c r="J264" s="344"/>
      <c r="K264" s="344">
        <f>75561+34634+34357</f>
        <v>144552</v>
      </c>
      <c r="L264" s="344">
        <f>+J264+K264</f>
        <v>144552</v>
      </c>
      <c r="M264" s="344">
        <f>+I264+L264</f>
        <v>144552</v>
      </c>
      <c r="N264" s="337">
        <f t="shared" ref="N264:N268" si="168">+F264-M264</f>
        <v>16655448</v>
      </c>
      <c r="P264" s="340"/>
      <c r="S264" s="346">
        <f>75561+34634+34357</f>
        <v>144552</v>
      </c>
      <c r="T264" s="347"/>
      <c r="U264" s="342"/>
    </row>
    <row r="265" spans="1:21" s="339" customFormat="1" ht="18" customHeight="1" x14ac:dyDescent="0.25">
      <c r="A265" s="334"/>
      <c r="B265" s="352"/>
      <c r="C265" s="334"/>
      <c r="D265" s="335" t="s">
        <v>133</v>
      </c>
      <c r="E265" s="335" t="s">
        <v>134</v>
      </c>
      <c r="F265" s="337">
        <v>42000000</v>
      </c>
      <c r="G265" s="344">
        <v>0</v>
      </c>
      <c r="H265" s="344"/>
      <c r="I265" s="344">
        <f t="shared" si="167"/>
        <v>0</v>
      </c>
      <c r="J265" s="344">
        <v>2344700</v>
      </c>
      <c r="K265" s="344">
        <v>2395100</v>
      </c>
      <c r="L265" s="344">
        <f>+J265+K265</f>
        <v>4739800</v>
      </c>
      <c r="M265" s="344">
        <f>+I265+L265</f>
        <v>4739800</v>
      </c>
      <c r="N265" s="337">
        <f t="shared" si="168"/>
        <v>37260200</v>
      </c>
      <c r="P265" s="340"/>
      <c r="S265" s="346">
        <v>2395100</v>
      </c>
      <c r="T265" s="347"/>
      <c r="U265" s="342"/>
    </row>
    <row r="266" spans="1:21" s="339" customFormat="1" ht="18" customHeight="1" x14ac:dyDescent="0.25">
      <c r="A266" s="334"/>
      <c r="B266" s="352"/>
      <c r="C266" s="334"/>
      <c r="D266" s="335" t="s">
        <v>135</v>
      </c>
      <c r="E266" s="335" t="s">
        <v>136</v>
      </c>
      <c r="F266" s="337">
        <v>37992800000</v>
      </c>
      <c r="G266" s="344">
        <v>3058644020</v>
      </c>
      <c r="H266" s="344">
        <f>33514534+3026262854</f>
        <v>3059777388</v>
      </c>
      <c r="I266" s="344">
        <f t="shared" si="167"/>
        <v>6118421408</v>
      </c>
      <c r="J266" s="344">
        <v>0</v>
      </c>
      <c r="K266" s="344"/>
      <c r="L266" s="344">
        <f>+J266+K266</f>
        <v>0</v>
      </c>
      <c r="M266" s="344">
        <f>+I266+L266</f>
        <v>6118421408</v>
      </c>
      <c r="N266" s="337">
        <f t="shared" si="168"/>
        <v>31874378592</v>
      </c>
      <c r="P266" s="340"/>
      <c r="S266" s="346"/>
      <c r="T266" s="346">
        <f>33514534+3026262854</f>
        <v>3059777388</v>
      </c>
      <c r="U266" s="342"/>
    </row>
    <row r="267" spans="1:21" s="339" customFormat="1" ht="18" customHeight="1" x14ac:dyDescent="0.25">
      <c r="A267" s="334"/>
      <c r="B267" s="352"/>
      <c r="C267" s="334"/>
      <c r="D267" s="335" t="s">
        <v>137</v>
      </c>
      <c r="E267" s="335" t="s">
        <v>138</v>
      </c>
      <c r="F267" s="337">
        <v>12820000</v>
      </c>
      <c r="G267" s="344"/>
      <c r="H267" s="344"/>
      <c r="I267" s="344">
        <f t="shared" si="167"/>
        <v>0</v>
      </c>
      <c r="J267" s="344">
        <v>0</v>
      </c>
      <c r="K267" s="344">
        <f>230000+230000</f>
        <v>460000</v>
      </c>
      <c r="L267" s="344">
        <f t="shared" ref="L267:L272" si="169">+J267+K267</f>
        <v>460000</v>
      </c>
      <c r="M267" s="344">
        <f t="shared" ref="M267:M268" si="170">+I267+L267</f>
        <v>460000</v>
      </c>
      <c r="N267" s="337">
        <f t="shared" si="168"/>
        <v>12360000</v>
      </c>
      <c r="P267" s="340"/>
      <c r="S267" s="346">
        <f>230000+230000</f>
        <v>460000</v>
      </c>
      <c r="T267" s="347"/>
      <c r="U267" s="342"/>
    </row>
    <row r="268" spans="1:21" s="339" customFormat="1" ht="18" customHeight="1" x14ac:dyDescent="0.25">
      <c r="A268" s="334"/>
      <c r="B268" s="352"/>
      <c r="C268" s="334"/>
      <c r="D268" s="335" t="s">
        <v>139</v>
      </c>
      <c r="E268" s="335" t="s">
        <v>140</v>
      </c>
      <c r="F268" s="337">
        <v>301200000</v>
      </c>
      <c r="G268" s="344"/>
      <c r="H268" s="344"/>
      <c r="I268" s="344">
        <f t="shared" si="167"/>
        <v>0</v>
      </c>
      <c r="J268" s="344">
        <v>19850000</v>
      </c>
      <c r="K268" s="344">
        <f>19850000+64537</f>
        <v>19914537</v>
      </c>
      <c r="L268" s="344">
        <f t="shared" si="169"/>
        <v>39764537</v>
      </c>
      <c r="M268" s="344">
        <f t="shared" si="170"/>
        <v>39764537</v>
      </c>
      <c r="N268" s="337">
        <f t="shared" si="168"/>
        <v>261435463</v>
      </c>
      <c r="P268" s="340"/>
      <c r="S268" s="346">
        <f>19850000+64537</f>
        <v>19914537</v>
      </c>
      <c r="T268" s="347"/>
      <c r="U268" s="342"/>
    </row>
    <row r="269" spans="1:21" s="319" customFormat="1" ht="18" customHeight="1" x14ac:dyDescent="0.25">
      <c r="A269" s="276">
        <v>14</v>
      </c>
      <c r="B269" s="305"/>
      <c r="C269" s="305" t="s">
        <v>141</v>
      </c>
      <c r="D269" s="363"/>
      <c r="E269" s="364" t="s">
        <v>142</v>
      </c>
      <c r="F269" s="307">
        <f>+F270</f>
        <v>100000000</v>
      </c>
      <c r="G269" s="308">
        <f>+G270</f>
        <v>0</v>
      </c>
      <c r="H269" s="308">
        <f>+H270</f>
        <v>0</v>
      </c>
      <c r="I269" s="308">
        <f>+G269+H269</f>
        <v>0</v>
      </c>
      <c r="J269" s="308">
        <f>+J270</f>
        <v>0</v>
      </c>
      <c r="K269" s="308">
        <f>+K270</f>
        <v>0</v>
      </c>
      <c r="L269" s="308">
        <f t="shared" si="169"/>
        <v>0</v>
      </c>
      <c r="M269" s="308">
        <f>+I269+L269</f>
        <v>0</v>
      </c>
      <c r="N269" s="307">
        <f>+F269-M269</f>
        <v>100000000</v>
      </c>
      <c r="P269" s="320"/>
      <c r="R269" s="321"/>
      <c r="S269" s="349"/>
      <c r="T269" s="349"/>
      <c r="U269" s="350"/>
    </row>
    <row r="270" spans="1:21" s="329" customFormat="1" ht="16.5" customHeight="1" x14ac:dyDescent="0.25">
      <c r="A270" s="323"/>
      <c r="B270" s="324"/>
      <c r="C270" s="324"/>
      <c r="D270" s="325" t="s">
        <v>207</v>
      </c>
      <c r="E270" s="326" t="s">
        <v>262</v>
      </c>
      <c r="F270" s="327">
        <f>+F271</f>
        <v>100000000</v>
      </c>
      <c r="G270" s="328">
        <f>+G271</f>
        <v>0</v>
      </c>
      <c r="H270" s="328">
        <f t="shared" ref="F270:H272" si="171">+H271</f>
        <v>0</v>
      </c>
      <c r="I270" s="328">
        <f t="shared" ref="I270:I276" si="172">+G270+H270</f>
        <v>0</v>
      </c>
      <c r="J270" s="328">
        <f t="shared" ref="J270:J272" si="173">+J271</f>
        <v>0</v>
      </c>
      <c r="K270" s="328">
        <f>+K271</f>
        <v>0</v>
      </c>
      <c r="L270" s="328">
        <f t="shared" si="169"/>
        <v>0</v>
      </c>
      <c r="M270" s="328">
        <f t="shared" ref="M270:M273" si="174">+I270+L270</f>
        <v>0</v>
      </c>
      <c r="N270" s="327">
        <f>+F270-M270</f>
        <v>100000000</v>
      </c>
      <c r="P270" s="330"/>
      <c r="R270" s="331"/>
      <c r="S270" s="351"/>
      <c r="T270" s="351"/>
      <c r="U270" s="333"/>
    </row>
    <row r="271" spans="1:21" s="339" customFormat="1" ht="16.5" customHeight="1" x14ac:dyDescent="0.25">
      <c r="A271" s="334"/>
      <c r="B271" s="352"/>
      <c r="C271" s="334"/>
      <c r="D271" s="335" t="s">
        <v>63</v>
      </c>
      <c r="E271" s="335" t="s">
        <v>30</v>
      </c>
      <c r="F271" s="337">
        <f>F272</f>
        <v>100000000</v>
      </c>
      <c r="G271" s="344">
        <f>+G272</f>
        <v>0</v>
      </c>
      <c r="H271" s="344">
        <f t="shared" si="171"/>
        <v>0</v>
      </c>
      <c r="I271" s="344">
        <f t="shared" si="172"/>
        <v>0</v>
      </c>
      <c r="J271" s="344">
        <f t="shared" si="173"/>
        <v>0</v>
      </c>
      <c r="K271" s="344">
        <f>+K272</f>
        <v>0</v>
      </c>
      <c r="L271" s="344">
        <f t="shared" si="169"/>
        <v>0</v>
      </c>
      <c r="M271" s="344">
        <f t="shared" si="174"/>
        <v>0</v>
      </c>
      <c r="N271" s="337">
        <f>+F271-M271</f>
        <v>100000000</v>
      </c>
      <c r="P271" s="340"/>
      <c r="S271" s="347"/>
      <c r="T271" s="347"/>
      <c r="U271" s="342"/>
    </row>
    <row r="272" spans="1:21" s="339" customFormat="1" ht="16.5" customHeight="1" x14ac:dyDescent="0.25">
      <c r="A272" s="334"/>
      <c r="B272" s="335"/>
      <c r="C272" s="334"/>
      <c r="D272" s="365" t="s">
        <v>263</v>
      </c>
      <c r="E272" s="335" t="s">
        <v>264</v>
      </c>
      <c r="F272" s="337">
        <f t="shared" si="171"/>
        <v>100000000</v>
      </c>
      <c r="G272" s="344">
        <f>+G273</f>
        <v>0</v>
      </c>
      <c r="H272" s="344">
        <f t="shared" si="171"/>
        <v>0</v>
      </c>
      <c r="I272" s="344">
        <f t="shared" si="172"/>
        <v>0</v>
      </c>
      <c r="J272" s="344">
        <f t="shared" si="173"/>
        <v>0</v>
      </c>
      <c r="K272" s="344">
        <f>+K273</f>
        <v>0</v>
      </c>
      <c r="L272" s="344">
        <f t="shared" si="169"/>
        <v>0</v>
      </c>
      <c r="M272" s="344">
        <f t="shared" si="174"/>
        <v>0</v>
      </c>
      <c r="N272" s="337">
        <f>+F272-M272</f>
        <v>100000000</v>
      </c>
      <c r="P272" s="340"/>
      <c r="S272" s="347"/>
      <c r="T272" s="347"/>
      <c r="U272" s="342"/>
    </row>
    <row r="273" spans="1:21" s="339" customFormat="1" ht="16.5" customHeight="1" x14ac:dyDescent="0.25">
      <c r="A273" s="334"/>
      <c r="B273" s="352"/>
      <c r="C273" s="334"/>
      <c r="D273" s="335" t="s">
        <v>64</v>
      </c>
      <c r="E273" s="335" t="s">
        <v>65</v>
      </c>
      <c r="F273" s="337">
        <f>SUM(F274:F277)</f>
        <v>100000000</v>
      </c>
      <c r="G273" s="344">
        <f>SUM(G274:G277)</f>
        <v>0</v>
      </c>
      <c r="H273" s="344">
        <f>SUM(H274:H277)</f>
        <v>0</v>
      </c>
      <c r="I273" s="344">
        <f>+G273+H273</f>
        <v>0</v>
      </c>
      <c r="J273" s="344">
        <f>SUM(J274:J277)</f>
        <v>0</v>
      </c>
      <c r="K273" s="344">
        <f>SUM(K274:K277)</f>
        <v>0</v>
      </c>
      <c r="L273" s="344">
        <f>+J273+K273</f>
        <v>0</v>
      </c>
      <c r="M273" s="344">
        <f t="shared" si="174"/>
        <v>0</v>
      </c>
      <c r="N273" s="337">
        <f>+F273-M273</f>
        <v>100000000</v>
      </c>
      <c r="P273" s="340"/>
      <c r="S273" s="347"/>
      <c r="T273" s="347"/>
      <c r="U273" s="342"/>
    </row>
    <row r="274" spans="1:21" s="339" customFormat="1" ht="16.5" customHeight="1" x14ac:dyDescent="0.25">
      <c r="A274" s="334"/>
      <c r="B274" s="352"/>
      <c r="C274" s="334"/>
      <c r="D274" s="335" t="s">
        <v>66</v>
      </c>
      <c r="E274" s="335" t="s">
        <v>67</v>
      </c>
      <c r="F274" s="337">
        <v>57982150</v>
      </c>
      <c r="G274" s="344"/>
      <c r="H274" s="344"/>
      <c r="I274" s="344">
        <f t="shared" si="172"/>
        <v>0</v>
      </c>
      <c r="J274" s="344"/>
      <c r="K274" s="344"/>
      <c r="L274" s="344">
        <f>+J274+K274</f>
        <v>0</v>
      </c>
      <c r="M274" s="344">
        <f>+I274+L274</f>
        <v>0</v>
      </c>
      <c r="N274" s="337">
        <f t="shared" ref="N274:N277" si="175">+F274-M274</f>
        <v>57982150</v>
      </c>
      <c r="P274" s="340"/>
      <c r="S274" s="347"/>
      <c r="T274" s="347"/>
      <c r="U274" s="342"/>
    </row>
    <row r="275" spans="1:21" s="339" customFormat="1" ht="18" customHeight="1" x14ac:dyDescent="0.25">
      <c r="A275" s="334"/>
      <c r="B275" s="352"/>
      <c r="C275" s="334"/>
      <c r="D275" s="335" t="s">
        <v>337</v>
      </c>
      <c r="E275" s="335" t="s">
        <v>338</v>
      </c>
      <c r="F275" s="337">
        <v>29743300</v>
      </c>
      <c r="G275" s="344"/>
      <c r="H275" s="344"/>
      <c r="I275" s="344">
        <f t="shared" si="172"/>
        <v>0</v>
      </c>
      <c r="J275" s="344"/>
      <c r="K275" s="344"/>
      <c r="L275" s="344"/>
      <c r="M275" s="344">
        <f t="shared" ref="M275:M276" si="176">+I275+L275</f>
        <v>0</v>
      </c>
      <c r="N275" s="337">
        <f t="shared" si="175"/>
        <v>29743300</v>
      </c>
      <c r="P275" s="340"/>
      <c r="S275" s="347"/>
      <c r="T275" s="347"/>
      <c r="U275" s="342"/>
    </row>
    <row r="276" spans="1:21" s="339" customFormat="1" ht="18" customHeight="1" x14ac:dyDescent="0.25">
      <c r="A276" s="334"/>
      <c r="B276" s="352"/>
      <c r="C276" s="334"/>
      <c r="D276" s="335" t="s">
        <v>339</v>
      </c>
      <c r="E276" s="335" t="s">
        <v>340</v>
      </c>
      <c r="F276" s="337">
        <v>8842500</v>
      </c>
      <c r="G276" s="344"/>
      <c r="H276" s="344"/>
      <c r="I276" s="344">
        <f t="shared" si="172"/>
        <v>0</v>
      </c>
      <c r="J276" s="344"/>
      <c r="K276" s="344"/>
      <c r="L276" s="344"/>
      <c r="M276" s="344">
        <f t="shared" si="176"/>
        <v>0</v>
      </c>
      <c r="N276" s="337">
        <f t="shared" si="175"/>
        <v>8842500</v>
      </c>
      <c r="P276" s="340"/>
      <c r="S276" s="347"/>
      <c r="T276" s="347"/>
      <c r="U276" s="342"/>
    </row>
    <row r="277" spans="1:21" s="153" customFormat="1" ht="18" customHeight="1" x14ac:dyDescent="0.25">
      <c r="A277" s="353"/>
      <c r="B277" s="387"/>
      <c r="C277" s="353"/>
      <c r="D277" s="355" t="s">
        <v>361</v>
      </c>
      <c r="E277" s="355" t="s">
        <v>362</v>
      </c>
      <c r="F277" s="356">
        <v>3432050</v>
      </c>
      <c r="G277" s="357"/>
      <c r="H277" s="357"/>
      <c r="I277" s="357">
        <f>+G277+H277</f>
        <v>0</v>
      </c>
      <c r="J277" s="357"/>
      <c r="K277" s="357"/>
      <c r="L277" s="357">
        <f>+J277+K277</f>
        <v>0</v>
      </c>
      <c r="M277" s="357">
        <f>+I277+L277</f>
        <v>0</v>
      </c>
      <c r="N277" s="356">
        <f t="shared" si="175"/>
        <v>3432050</v>
      </c>
      <c r="P277" s="200"/>
      <c r="S277" s="221"/>
      <c r="T277" s="221"/>
      <c r="U277" s="254"/>
    </row>
    <row r="278" spans="1:21" s="319" customFormat="1" ht="18" customHeight="1" x14ac:dyDescent="0.25">
      <c r="A278" s="275">
        <v>15</v>
      </c>
      <c r="B278" s="305"/>
      <c r="C278" s="305" t="s">
        <v>363</v>
      </c>
      <c r="D278" s="363"/>
      <c r="E278" s="364" t="s">
        <v>364</v>
      </c>
      <c r="F278" s="307">
        <f t="shared" ref="F278:H279" si="177">+F279</f>
        <v>1060812675</v>
      </c>
      <c r="G278" s="308">
        <f t="shared" si="177"/>
        <v>0</v>
      </c>
      <c r="H278" s="308">
        <f t="shared" si="177"/>
        <v>0</v>
      </c>
      <c r="I278" s="308">
        <f>+G278+H278</f>
        <v>0</v>
      </c>
      <c r="J278" s="308">
        <f>+J279</f>
        <v>72760000</v>
      </c>
      <c r="K278" s="308">
        <f>+K279</f>
        <v>83960000</v>
      </c>
      <c r="L278" s="308">
        <f>+J278+K278</f>
        <v>156720000</v>
      </c>
      <c r="M278" s="308">
        <f>+I278+L278</f>
        <v>156720000</v>
      </c>
      <c r="N278" s="307">
        <f>+F278-M278</f>
        <v>904092675</v>
      </c>
      <c r="P278" s="320"/>
      <c r="R278" s="321"/>
      <c r="S278" s="349"/>
      <c r="T278" s="349"/>
      <c r="U278" s="350"/>
    </row>
    <row r="279" spans="1:21" s="329" customFormat="1" ht="18" customHeight="1" x14ac:dyDescent="0.25">
      <c r="A279" s="323"/>
      <c r="B279" s="324"/>
      <c r="C279" s="324"/>
      <c r="D279" s="325" t="s">
        <v>207</v>
      </c>
      <c r="E279" s="326" t="s">
        <v>262</v>
      </c>
      <c r="F279" s="327">
        <f t="shared" si="177"/>
        <v>1060812675</v>
      </c>
      <c r="G279" s="328">
        <f t="shared" si="177"/>
        <v>0</v>
      </c>
      <c r="H279" s="328">
        <f t="shared" si="177"/>
        <v>0</v>
      </c>
      <c r="I279" s="328">
        <f t="shared" ref="I279:I283" si="178">+G279+H279</f>
        <v>0</v>
      </c>
      <c r="J279" s="328">
        <f>+J280</f>
        <v>72760000</v>
      </c>
      <c r="K279" s="328">
        <f>+K280</f>
        <v>83960000</v>
      </c>
      <c r="L279" s="328">
        <f t="shared" ref="L279:L281" si="179">+J279+K279</f>
        <v>156720000</v>
      </c>
      <c r="M279" s="328">
        <f t="shared" ref="M279:M282" si="180">+I279+L279</f>
        <v>156720000</v>
      </c>
      <c r="N279" s="327">
        <f>+F279-M279</f>
        <v>904092675</v>
      </c>
      <c r="P279" s="330"/>
      <c r="R279" s="331"/>
      <c r="S279" s="351"/>
      <c r="T279" s="351"/>
      <c r="U279" s="333"/>
    </row>
    <row r="280" spans="1:21" s="339" customFormat="1" ht="18" customHeight="1" x14ac:dyDescent="0.25">
      <c r="A280" s="334"/>
      <c r="B280" s="352"/>
      <c r="C280" s="334"/>
      <c r="D280" s="335" t="s">
        <v>63</v>
      </c>
      <c r="E280" s="335" t="s">
        <v>30</v>
      </c>
      <c r="F280" s="337">
        <f>+F281+F291</f>
        <v>1060812675</v>
      </c>
      <c r="G280" s="344">
        <f>+G281+G291</f>
        <v>0</v>
      </c>
      <c r="H280" s="344">
        <f>+H281+H291</f>
        <v>0</v>
      </c>
      <c r="I280" s="344">
        <f t="shared" si="178"/>
        <v>0</v>
      </c>
      <c r="J280" s="344">
        <f>+J281+J291</f>
        <v>72760000</v>
      </c>
      <c r="K280" s="344">
        <f>+K281+K291</f>
        <v>83960000</v>
      </c>
      <c r="L280" s="344">
        <f t="shared" si="179"/>
        <v>156720000</v>
      </c>
      <c r="M280" s="344">
        <f t="shared" si="180"/>
        <v>156720000</v>
      </c>
      <c r="N280" s="337">
        <f>+F280-M280</f>
        <v>904092675</v>
      </c>
      <c r="P280" s="340"/>
      <c r="S280" s="347"/>
      <c r="T280" s="347"/>
      <c r="U280" s="342"/>
    </row>
    <row r="281" spans="1:21" s="339" customFormat="1" ht="18" customHeight="1" x14ac:dyDescent="0.25">
      <c r="A281" s="334"/>
      <c r="B281" s="335"/>
      <c r="C281" s="334"/>
      <c r="D281" s="365" t="s">
        <v>263</v>
      </c>
      <c r="E281" s="335" t="s">
        <v>264</v>
      </c>
      <c r="F281" s="337">
        <f>+F282</f>
        <v>105412675</v>
      </c>
      <c r="G281" s="344">
        <f t="shared" ref="G281:J281" si="181">+G282</f>
        <v>0</v>
      </c>
      <c r="H281" s="344">
        <f>+H282</f>
        <v>0</v>
      </c>
      <c r="I281" s="344">
        <f t="shared" si="178"/>
        <v>0</v>
      </c>
      <c r="J281" s="344">
        <f t="shared" si="181"/>
        <v>0</v>
      </c>
      <c r="K281" s="344">
        <f>+K282</f>
        <v>0</v>
      </c>
      <c r="L281" s="344">
        <f t="shared" si="179"/>
        <v>0</v>
      </c>
      <c r="M281" s="344">
        <f t="shared" si="180"/>
        <v>0</v>
      </c>
      <c r="N281" s="337">
        <f>+F281-M281</f>
        <v>105412675</v>
      </c>
      <c r="P281" s="340"/>
      <c r="S281" s="347"/>
      <c r="T281" s="347"/>
      <c r="U281" s="342"/>
    </row>
    <row r="282" spans="1:21" s="339" customFormat="1" ht="18" customHeight="1" x14ac:dyDescent="0.25">
      <c r="A282" s="334"/>
      <c r="B282" s="352"/>
      <c r="C282" s="334"/>
      <c r="D282" s="335" t="s">
        <v>64</v>
      </c>
      <c r="E282" s="335" t="s">
        <v>65</v>
      </c>
      <c r="F282" s="337">
        <f>SUM(F283:F290)</f>
        <v>105412675</v>
      </c>
      <c r="G282" s="344">
        <f>SUM(G283:G290)</f>
        <v>0</v>
      </c>
      <c r="H282" s="344">
        <f>SUM(H283:H290)</f>
        <v>0</v>
      </c>
      <c r="I282" s="344">
        <f>+G282+H282</f>
        <v>0</v>
      </c>
      <c r="J282" s="344">
        <f>SUM(J283:J290)</f>
        <v>0</v>
      </c>
      <c r="K282" s="344">
        <f>SUM(K283:K290)</f>
        <v>0</v>
      </c>
      <c r="L282" s="344">
        <f>+J282+K282</f>
        <v>0</v>
      </c>
      <c r="M282" s="344">
        <f t="shared" si="180"/>
        <v>0</v>
      </c>
      <c r="N282" s="337">
        <f>+F282-M282</f>
        <v>105412675</v>
      </c>
      <c r="P282" s="340"/>
      <c r="S282" s="347"/>
      <c r="T282" s="347"/>
      <c r="U282" s="342"/>
    </row>
    <row r="283" spans="1:21" s="339" customFormat="1" ht="18" customHeight="1" x14ac:dyDescent="0.25">
      <c r="A283" s="366"/>
      <c r="C283" s="366"/>
      <c r="D283" s="367" t="s">
        <v>365</v>
      </c>
      <c r="E283" s="367" t="s">
        <v>366</v>
      </c>
      <c r="F283" s="370">
        <v>9228650</v>
      </c>
      <c r="G283" s="371"/>
      <c r="H283" s="371"/>
      <c r="I283" s="371">
        <f t="shared" si="178"/>
        <v>0</v>
      </c>
      <c r="J283" s="371"/>
      <c r="K283" s="371"/>
      <c r="L283" s="371">
        <f>+J283+K283</f>
        <v>0</v>
      </c>
      <c r="M283" s="371">
        <f>+I283+L283</f>
        <v>0</v>
      </c>
      <c r="N283" s="370">
        <f t="shared" ref="N283:N290" si="182">+F283-M283</f>
        <v>9228650</v>
      </c>
      <c r="P283" s="340"/>
      <c r="S283" s="347"/>
      <c r="T283" s="347"/>
      <c r="U283" s="342"/>
    </row>
    <row r="284" spans="1:21" s="339" customFormat="1" ht="18" customHeight="1" x14ac:dyDescent="0.25">
      <c r="A284" s="366"/>
      <c r="C284" s="366"/>
      <c r="D284" s="367" t="s">
        <v>66</v>
      </c>
      <c r="E284" s="367" t="s">
        <v>67</v>
      </c>
      <c r="F284" s="370">
        <v>4831925</v>
      </c>
      <c r="G284" s="371"/>
      <c r="H284" s="371"/>
      <c r="I284" s="371"/>
      <c r="J284" s="371"/>
      <c r="K284" s="371"/>
      <c r="L284" s="371">
        <f t="shared" ref="L284:L296" si="183">+J284+K284</f>
        <v>0</v>
      </c>
      <c r="M284" s="371">
        <f t="shared" ref="M284:M292" si="184">+I284+L284</f>
        <v>0</v>
      </c>
      <c r="N284" s="370">
        <f t="shared" si="182"/>
        <v>4831925</v>
      </c>
      <c r="P284" s="340"/>
      <c r="S284" s="347"/>
      <c r="T284" s="347"/>
      <c r="U284" s="342"/>
    </row>
    <row r="285" spans="1:21" s="339" customFormat="1" ht="18" customHeight="1" x14ac:dyDescent="0.25">
      <c r="A285" s="366"/>
      <c r="C285" s="366"/>
      <c r="D285" s="367" t="s">
        <v>337</v>
      </c>
      <c r="E285" s="367" t="s">
        <v>338</v>
      </c>
      <c r="F285" s="370">
        <v>18985000</v>
      </c>
      <c r="G285" s="371"/>
      <c r="H285" s="371"/>
      <c r="I285" s="371"/>
      <c r="J285" s="371"/>
      <c r="K285" s="371"/>
      <c r="L285" s="371">
        <f t="shared" si="183"/>
        <v>0</v>
      </c>
      <c r="M285" s="371">
        <f t="shared" si="184"/>
        <v>0</v>
      </c>
      <c r="N285" s="370">
        <f t="shared" si="182"/>
        <v>18985000</v>
      </c>
      <c r="P285" s="340"/>
      <c r="S285" s="347"/>
      <c r="T285" s="347"/>
      <c r="U285" s="342"/>
    </row>
    <row r="286" spans="1:21" s="339" customFormat="1" ht="18" customHeight="1" x14ac:dyDescent="0.25">
      <c r="A286" s="366"/>
      <c r="C286" s="366"/>
      <c r="D286" s="367" t="s">
        <v>339</v>
      </c>
      <c r="E286" s="367" t="s">
        <v>340</v>
      </c>
      <c r="F286" s="370">
        <v>2175000</v>
      </c>
      <c r="G286" s="371"/>
      <c r="H286" s="371"/>
      <c r="I286" s="371"/>
      <c r="J286" s="371"/>
      <c r="K286" s="371"/>
      <c r="L286" s="371">
        <f t="shared" si="183"/>
        <v>0</v>
      </c>
      <c r="M286" s="371">
        <f t="shared" si="184"/>
        <v>0</v>
      </c>
      <c r="N286" s="370">
        <f t="shared" si="182"/>
        <v>2175000</v>
      </c>
      <c r="P286" s="340"/>
      <c r="S286" s="347"/>
      <c r="T286" s="347"/>
      <c r="U286" s="342"/>
    </row>
    <row r="287" spans="1:21" s="339" customFormat="1" ht="18" customHeight="1" x14ac:dyDescent="0.25">
      <c r="A287" s="366"/>
      <c r="C287" s="366"/>
      <c r="D287" s="367" t="s">
        <v>367</v>
      </c>
      <c r="E287" s="367" t="s">
        <v>368</v>
      </c>
      <c r="F287" s="370">
        <v>55592100</v>
      </c>
      <c r="G287" s="371"/>
      <c r="H287" s="371"/>
      <c r="I287" s="371">
        <f>+G287+H287</f>
        <v>0</v>
      </c>
      <c r="J287" s="371"/>
      <c r="K287" s="371"/>
      <c r="L287" s="371">
        <f t="shared" si="183"/>
        <v>0</v>
      </c>
      <c r="M287" s="371">
        <f t="shared" si="184"/>
        <v>0</v>
      </c>
      <c r="N287" s="370">
        <f t="shared" si="182"/>
        <v>55592100</v>
      </c>
      <c r="P287" s="340"/>
      <c r="S287" s="347"/>
      <c r="T287" s="347"/>
      <c r="U287" s="342"/>
    </row>
    <row r="288" spans="1:21" s="339" customFormat="1" ht="22.5" customHeight="1" x14ac:dyDescent="0.25">
      <c r="A288" s="366"/>
      <c r="C288" s="366"/>
      <c r="D288" s="367" t="s">
        <v>369</v>
      </c>
      <c r="E288" s="367" t="s">
        <v>370</v>
      </c>
      <c r="F288" s="370">
        <v>7200000</v>
      </c>
      <c r="G288" s="371"/>
      <c r="H288" s="371"/>
      <c r="I288" s="371"/>
      <c r="J288" s="371"/>
      <c r="K288" s="371"/>
      <c r="L288" s="371">
        <f t="shared" si="183"/>
        <v>0</v>
      </c>
      <c r="M288" s="371">
        <f t="shared" si="184"/>
        <v>0</v>
      </c>
      <c r="N288" s="370">
        <f t="shared" si="182"/>
        <v>7200000</v>
      </c>
      <c r="P288" s="340"/>
      <c r="S288" s="347"/>
      <c r="T288" s="347"/>
      <c r="U288" s="342"/>
    </row>
    <row r="289" spans="1:21" s="339" customFormat="1" ht="18" customHeight="1" x14ac:dyDescent="0.25">
      <c r="A289" s="366"/>
      <c r="C289" s="366"/>
      <c r="D289" s="367" t="s">
        <v>70</v>
      </c>
      <c r="E289" s="367" t="s">
        <v>33</v>
      </c>
      <c r="F289" s="370">
        <v>5000000</v>
      </c>
      <c r="G289" s="371"/>
      <c r="H289" s="371"/>
      <c r="I289" s="371"/>
      <c r="J289" s="371"/>
      <c r="K289" s="371"/>
      <c r="L289" s="371">
        <f t="shared" si="183"/>
        <v>0</v>
      </c>
      <c r="M289" s="371">
        <f t="shared" si="184"/>
        <v>0</v>
      </c>
      <c r="N289" s="370">
        <f t="shared" si="182"/>
        <v>5000000</v>
      </c>
      <c r="P289" s="340"/>
      <c r="S289" s="347"/>
      <c r="T289" s="347"/>
      <c r="U289" s="342"/>
    </row>
    <row r="290" spans="1:21" s="339" customFormat="1" ht="18" customHeight="1" x14ac:dyDescent="0.25">
      <c r="A290" s="366"/>
      <c r="C290" s="366"/>
      <c r="D290" s="367" t="s">
        <v>374</v>
      </c>
      <c r="E290" s="367" t="s">
        <v>375</v>
      </c>
      <c r="F290" s="370">
        <v>2400000</v>
      </c>
      <c r="G290" s="371"/>
      <c r="H290" s="371"/>
      <c r="I290" s="371"/>
      <c r="J290" s="371"/>
      <c r="K290" s="371"/>
      <c r="L290" s="371">
        <f t="shared" si="183"/>
        <v>0</v>
      </c>
      <c r="M290" s="371">
        <f t="shared" si="184"/>
        <v>0</v>
      </c>
      <c r="N290" s="370">
        <f t="shared" si="182"/>
        <v>2400000</v>
      </c>
      <c r="P290" s="340"/>
      <c r="S290" s="347"/>
      <c r="T290" s="347"/>
      <c r="U290" s="342"/>
    </row>
    <row r="291" spans="1:21" s="339" customFormat="1" ht="18" customHeight="1" x14ac:dyDescent="0.25">
      <c r="A291" s="334"/>
      <c r="B291" s="335"/>
      <c r="C291" s="334"/>
      <c r="D291" s="365" t="s">
        <v>271</v>
      </c>
      <c r="E291" s="335" t="s">
        <v>272</v>
      </c>
      <c r="F291" s="337">
        <f t="shared" ref="F291:J291" si="185">+F292</f>
        <v>955400000</v>
      </c>
      <c r="G291" s="344">
        <f t="shared" si="185"/>
        <v>0</v>
      </c>
      <c r="H291" s="344">
        <f>+H292</f>
        <v>0</v>
      </c>
      <c r="I291" s="344">
        <f>+G291+H291</f>
        <v>0</v>
      </c>
      <c r="J291" s="344">
        <f t="shared" si="185"/>
        <v>72760000</v>
      </c>
      <c r="K291" s="344">
        <f>+K292</f>
        <v>83960000</v>
      </c>
      <c r="L291" s="344">
        <f t="shared" si="183"/>
        <v>156720000</v>
      </c>
      <c r="M291" s="344">
        <f t="shared" si="184"/>
        <v>156720000</v>
      </c>
      <c r="N291" s="337">
        <f>+F291-M291</f>
        <v>798680000</v>
      </c>
      <c r="P291" s="340"/>
      <c r="S291" s="347"/>
      <c r="T291" s="347"/>
      <c r="U291" s="342"/>
    </row>
    <row r="292" spans="1:21" s="339" customFormat="1" ht="18" customHeight="1" x14ac:dyDescent="0.25">
      <c r="A292" s="334"/>
      <c r="B292" s="352"/>
      <c r="C292" s="334"/>
      <c r="D292" s="335" t="s">
        <v>81</v>
      </c>
      <c r="E292" s="335" t="s">
        <v>31</v>
      </c>
      <c r="F292" s="337">
        <f>SUM(F293:F296)</f>
        <v>955400000</v>
      </c>
      <c r="G292" s="344">
        <f>SUM(G293:G296)</f>
        <v>0</v>
      </c>
      <c r="H292" s="344">
        <f>SUM(H293:H296)</f>
        <v>0</v>
      </c>
      <c r="I292" s="344">
        <f>+G292+H292</f>
        <v>0</v>
      </c>
      <c r="J292" s="344">
        <f>SUM(J293:J296)</f>
        <v>72760000</v>
      </c>
      <c r="K292" s="344">
        <f>SUM(K293:K296)</f>
        <v>83960000</v>
      </c>
      <c r="L292" s="344">
        <f t="shared" si="183"/>
        <v>156720000</v>
      </c>
      <c r="M292" s="344">
        <f t="shared" si="184"/>
        <v>156720000</v>
      </c>
      <c r="N292" s="337">
        <f>+F292-M292</f>
        <v>798680000</v>
      </c>
      <c r="P292" s="340"/>
      <c r="S292" s="347"/>
      <c r="T292" s="347"/>
      <c r="U292" s="342"/>
    </row>
    <row r="293" spans="1:21" s="339" customFormat="1" ht="18" customHeight="1" x14ac:dyDescent="0.25">
      <c r="A293" s="334"/>
      <c r="B293" s="352"/>
      <c r="C293" s="334"/>
      <c r="D293" s="335" t="s">
        <v>100</v>
      </c>
      <c r="E293" s="335" t="s">
        <v>101</v>
      </c>
      <c r="F293" s="337">
        <v>336000000</v>
      </c>
      <c r="G293" s="344"/>
      <c r="H293" s="344"/>
      <c r="I293" s="344">
        <f t="shared" ref="I293:I294" si="186">+G293+H293</f>
        <v>0</v>
      </c>
      <c r="J293" s="344"/>
      <c r="K293" s="344"/>
      <c r="L293" s="344">
        <f t="shared" si="183"/>
        <v>0</v>
      </c>
      <c r="M293" s="344">
        <f>+I293+L293</f>
        <v>0</v>
      </c>
      <c r="N293" s="337">
        <f t="shared" ref="N293:N296" si="187">+F293-M293</f>
        <v>336000000</v>
      </c>
      <c r="P293" s="340"/>
      <c r="S293" s="347"/>
      <c r="T293" s="347"/>
      <c r="U293" s="342"/>
    </row>
    <row r="294" spans="1:21" s="339" customFormat="1" ht="18" customHeight="1" x14ac:dyDescent="0.25">
      <c r="A294" s="334"/>
      <c r="B294" s="352"/>
      <c r="C294" s="334"/>
      <c r="D294" s="335" t="s">
        <v>474</v>
      </c>
      <c r="E294" s="335" t="s">
        <v>475</v>
      </c>
      <c r="F294" s="337">
        <v>350000000</v>
      </c>
      <c r="G294" s="344"/>
      <c r="H294" s="344"/>
      <c r="I294" s="344">
        <f t="shared" si="186"/>
        <v>0</v>
      </c>
      <c r="J294" s="344"/>
      <c r="K294" s="344"/>
      <c r="L294" s="344">
        <f t="shared" si="183"/>
        <v>0</v>
      </c>
      <c r="M294" s="344">
        <f>+I294+L294</f>
        <v>0</v>
      </c>
      <c r="N294" s="337">
        <f t="shared" si="187"/>
        <v>350000000</v>
      </c>
      <c r="P294" s="340"/>
      <c r="S294" s="347"/>
      <c r="T294" s="347"/>
      <c r="U294" s="342"/>
    </row>
    <row r="295" spans="1:21" s="339" customFormat="1" ht="18" customHeight="1" x14ac:dyDescent="0.25">
      <c r="A295" s="334"/>
      <c r="B295" s="352"/>
      <c r="C295" s="334"/>
      <c r="D295" s="335" t="s">
        <v>376</v>
      </c>
      <c r="E295" s="335" t="s">
        <v>377</v>
      </c>
      <c r="F295" s="337">
        <v>268800000</v>
      </c>
      <c r="G295" s="344">
        <v>0</v>
      </c>
      <c r="H295" s="344"/>
      <c r="I295" s="344">
        <f>+G295+H295</f>
        <v>0</v>
      </c>
      <c r="J295" s="344">
        <v>72760000</v>
      </c>
      <c r="K295" s="344">
        <v>83960000</v>
      </c>
      <c r="L295" s="344">
        <f t="shared" si="183"/>
        <v>156720000</v>
      </c>
      <c r="M295" s="344">
        <f>+I295+L295</f>
        <v>156720000</v>
      </c>
      <c r="N295" s="337">
        <f t="shared" si="187"/>
        <v>112080000</v>
      </c>
      <c r="P295" s="340"/>
      <c r="S295" s="346">
        <v>83960000</v>
      </c>
      <c r="T295" s="347"/>
      <c r="U295" s="342"/>
    </row>
    <row r="296" spans="1:21" s="339" customFormat="1" ht="18" customHeight="1" x14ac:dyDescent="0.25">
      <c r="A296" s="334"/>
      <c r="B296" s="352"/>
      <c r="C296" s="334"/>
      <c r="D296" s="335" t="s">
        <v>378</v>
      </c>
      <c r="E296" s="335" t="s">
        <v>379</v>
      </c>
      <c r="F296" s="337">
        <v>600000</v>
      </c>
      <c r="G296" s="344"/>
      <c r="H296" s="344"/>
      <c r="I296" s="344"/>
      <c r="J296" s="344"/>
      <c r="K296" s="344"/>
      <c r="L296" s="344">
        <f t="shared" si="183"/>
        <v>0</v>
      </c>
      <c r="M296" s="344">
        <f>+I296+L296</f>
        <v>0</v>
      </c>
      <c r="N296" s="337">
        <f t="shared" si="187"/>
        <v>600000</v>
      </c>
      <c r="P296" s="340"/>
      <c r="S296" s="347"/>
      <c r="T296" s="347"/>
      <c r="U296" s="342"/>
    </row>
    <row r="297" spans="1:21" s="388" customFormat="1" ht="18" customHeight="1" x14ac:dyDescent="0.25">
      <c r="A297" s="393"/>
      <c r="B297" s="393"/>
      <c r="C297" s="393"/>
      <c r="D297" s="393"/>
      <c r="E297" s="393"/>
      <c r="F297" s="394"/>
      <c r="G297" s="395"/>
      <c r="H297" s="395"/>
      <c r="I297" s="395"/>
      <c r="J297" s="395"/>
      <c r="K297" s="395"/>
      <c r="L297" s="395"/>
      <c r="M297" s="395"/>
      <c r="N297" s="394"/>
      <c r="P297" s="200"/>
      <c r="S297" s="221"/>
      <c r="T297" s="221"/>
      <c r="U297" s="389"/>
    </row>
    <row r="298" spans="1:21" s="319" customFormat="1" ht="21" customHeight="1" x14ac:dyDescent="0.25">
      <c r="A298" s="276"/>
      <c r="B298" s="305" t="s">
        <v>342</v>
      </c>
      <c r="C298" s="305"/>
      <c r="D298" s="305"/>
      <c r="E298" s="396" t="s">
        <v>341</v>
      </c>
      <c r="F298" s="359">
        <f>+F299+F312+F331+F337+F343</f>
        <v>2394721000</v>
      </c>
      <c r="G298" s="360">
        <f>+G299+G312+G331+G337+G343</f>
        <v>0</v>
      </c>
      <c r="H298" s="360">
        <f>+H299+H312+H331+H337+H343</f>
        <v>0</v>
      </c>
      <c r="I298" s="360">
        <f t="shared" ref="I298:I303" si="188">+G298+H298</f>
        <v>0</v>
      </c>
      <c r="J298" s="360">
        <f>+J299+J312+J331+J337+J343</f>
        <v>3000000</v>
      </c>
      <c r="K298" s="360">
        <f>+K299+K312+K331+K337+K343</f>
        <v>80363817</v>
      </c>
      <c r="L298" s="360">
        <f>+J298+K298</f>
        <v>83363817</v>
      </c>
      <c r="M298" s="360">
        <f t="shared" ref="M298" si="189">+I298+L298</f>
        <v>83363817</v>
      </c>
      <c r="N298" s="359">
        <f t="shared" ref="N298" si="190">+F298-M298</f>
        <v>2311357183</v>
      </c>
      <c r="P298" s="361"/>
      <c r="S298" s="362"/>
      <c r="T298" s="362"/>
      <c r="U298" s="350"/>
    </row>
    <row r="299" spans="1:21" s="319" customFormat="1" ht="35.25" customHeight="1" x14ac:dyDescent="0.25">
      <c r="A299" s="275">
        <v>16</v>
      </c>
      <c r="B299" s="314"/>
      <c r="C299" s="314" t="s">
        <v>476</v>
      </c>
      <c r="D299" s="315"/>
      <c r="E299" s="348" t="s">
        <v>477</v>
      </c>
      <c r="F299" s="317">
        <f t="shared" ref="F299:H300" si="191">+F300</f>
        <v>690000000</v>
      </c>
      <c r="G299" s="318">
        <f t="shared" si="191"/>
        <v>0</v>
      </c>
      <c r="H299" s="318">
        <f t="shared" si="191"/>
        <v>0</v>
      </c>
      <c r="I299" s="318">
        <f t="shared" si="188"/>
        <v>0</v>
      </c>
      <c r="J299" s="318">
        <f>+J300</f>
        <v>1400000</v>
      </c>
      <c r="K299" s="318">
        <f>+K300</f>
        <v>42278817</v>
      </c>
      <c r="L299" s="318">
        <f>+J299+K299</f>
        <v>43678817</v>
      </c>
      <c r="M299" s="318">
        <f>+I299+L299</f>
        <v>43678817</v>
      </c>
      <c r="N299" s="317">
        <f>+F299-M299</f>
        <v>646321183</v>
      </c>
      <c r="P299" s="320"/>
      <c r="R299" s="321"/>
      <c r="S299" s="349"/>
      <c r="T299" s="349"/>
      <c r="U299" s="350"/>
    </row>
    <row r="300" spans="1:21" s="329" customFormat="1" ht="18" customHeight="1" x14ac:dyDescent="0.25">
      <c r="A300" s="323"/>
      <c r="B300" s="324"/>
      <c r="C300" s="324"/>
      <c r="D300" s="325" t="s">
        <v>207</v>
      </c>
      <c r="E300" s="326" t="s">
        <v>262</v>
      </c>
      <c r="F300" s="327">
        <f t="shared" si="191"/>
        <v>690000000</v>
      </c>
      <c r="G300" s="328">
        <f t="shared" si="191"/>
        <v>0</v>
      </c>
      <c r="H300" s="328">
        <f t="shared" si="191"/>
        <v>0</v>
      </c>
      <c r="I300" s="328">
        <f t="shared" si="188"/>
        <v>0</v>
      </c>
      <c r="J300" s="328">
        <f>+J301</f>
        <v>1400000</v>
      </c>
      <c r="K300" s="328">
        <f>+K301</f>
        <v>42278817</v>
      </c>
      <c r="L300" s="328">
        <f t="shared" ref="L300:L304" si="192">+J300+K300</f>
        <v>43678817</v>
      </c>
      <c r="M300" s="328">
        <f t="shared" ref="M300:M311" si="193">+I300+L300</f>
        <v>43678817</v>
      </c>
      <c r="N300" s="327">
        <f t="shared" ref="N300:N311" si="194">+F300-M300</f>
        <v>646321183</v>
      </c>
      <c r="P300" s="330"/>
      <c r="R300" s="331"/>
      <c r="S300" s="351"/>
      <c r="T300" s="351"/>
      <c r="U300" s="333"/>
    </row>
    <row r="301" spans="1:21" s="381" customFormat="1" ht="18" customHeight="1" x14ac:dyDescent="0.25">
      <c r="A301" s="384"/>
      <c r="B301" s="397"/>
      <c r="C301" s="384"/>
      <c r="D301" s="335" t="s">
        <v>63</v>
      </c>
      <c r="E301" s="335" t="s">
        <v>30</v>
      </c>
      <c r="F301" s="337">
        <f>+F302+F305+F309</f>
        <v>690000000</v>
      </c>
      <c r="G301" s="344">
        <f>+G302+G305+G309</f>
        <v>0</v>
      </c>
      <c r="H301" s="344">
        <f>+H302+H305+H309</f>
        <v>0</v>
      </c>
      <c r="I301" s="344">
        <f t="shared" si="188"/>
        <v>0</v>
      </c>
      <c r="J301" s="344">
        <f>+J302+J305+J309</f>
        <v>1400000</v>
      </c>
      <c r="K301" s="344">
        <f>+K302+K305+K309</f>
        <v>42278817</v>
      </c>
      <c r="L301" s="344">
        <f t="shared" si="192"/>
        <v>43678817</v>
      </c>
      <c r="M301" s="344">
        <f t="shared" si="193"/>
        <v>43678817</v>
      </c>
      <c r="N301" s="337">
        <f t="shared" si="194"/>
        <v>646321183</v>
      </c>
      <c r="P301" s="340"/>
      <c r="S301" s="347"/>
      <c r="T301" s="347"/>
      <c r="U301" s="382"/>
    </row>
    <row r="302" spans="1:21" s="339" customFormat="1" ht="18" customHeight="1" x14ac:dyDescent="0.25">
      <c r="A302" s="334"/>
      <c r="B302" s="335"/>
      <c r="C302" s="335"/>
      <c r="D302" s="365" t="s">
        <v>263</v>
      </c>
      <c r="E302" s="335" t="s">
        <v>264</v>
      </c>
      <c r="F302" s="337">
        <f>+F303</f>
        <v>435000000</v>
      </c>
      <c r="G302" s="344">
        <f>+G303</f>
        <v>0</v>
      </c>
      <c r="H302" s="344">
        <f>+H303</f>
        <v>0</v>
      </c>
      <c r="I302" s="344">
        <f t="shared" si="188"/>
        <v>0</v>
      </c>
      <c r="J302" s="344">
        <f>+J303</f>
        <v>0</v>
      </c>
      <c r="K302" s="344">
        <f>+K303</f>
        <v>14950117</v>
      </c>
      <c r="L302" s="344">
        <f t="shared" si="192"/>
        <v>14950117</v>
      </c>
      <c r="M302" s="344">
        <f t="shared" si="193"/>
        <v>14950117</v>
      </c>
      <c r="N302" s="337">
        <f t="shared" si="194"/>
        <v>420049883</v>
      </c>
      <c r="P302" s="340"/>
      <c r="S302" s="347"/>
      <c r="T302" s="347"/>
      <c r="U302" s="342"/>
    </row>
    <row r="303" spans="1:21" s="381" customFormat="1" ht="18" customHeight="1" x14ac:dyDescent="0.25">
      <c r="A303" s="384"/>
      <c r="B303" s="397"/>
      <c r="C303" s="384"/>
      <c r="D303" s="335" t="s">
        <v>64</v>
      </c>
      <c r="E303" s="335" t="s">
        <v>65</v>
      </c>
      <c r="F303" s="337">
        <f>F304</f>
        <v>435000000</v>
      </c>
      <c r="G303" s="344">
        <f>+G304</f>
        <v>0</v>
      </c>
      <c r="H303" s="344">
        <f>+H304</f>
        <v>0</v>
      </c>
      <c r="I303" s="344">
        <f t="shared" si="188"/>
        <v>0</v>
      </c>
      <c r="J303" s="344">
        <f>+J304</f>
        <v>0</v>
      </c>
      <c r="K303" s="344">
        <f>+K304</f>
        <v>14950117</v>
      </c>
      <c r="L303" s="344">
        <f t="shared" si="192"/>
        <v>14950117</v>
      </c>
      <c r="M303" s="344">
        <f t="shared" si="193"/>
        <v>14950117</v>
      </c>
      <c r="N303" s="337">
        <f t="shared" si="194"/>
        <v>420049883</v>
      </c>
      <c r="P303" s="340"/>
      <c r="S303" s="347"/>
      <c r="T303" s="347"/>
      <c r="U303" s="382"/>
    </row>
    <row r="304" spans="1:21" s="339" customFormat="1" ht="18" customHeight="1" x14ac:dyDescent="0.25">
      <c r="A304" s="384"/>
      <c r="B304" s="397"/>
      <c r="C304" s="334"/>
      <c r="D304" s="335" t="s">
        <v>129</v>
      </c>
      <c r="E304" s="335" t="s">
        <v>130</v>
      </c>
      <c r="F304" s="337">
        <v>435000000</v>
      </c>
      <c r="G304" s="398"/>
      <c r="H304" s="398"/>
      <c r="I304" s="398"/>
      <c r="J304" s="344"/>
      <c r="K304" s="344">
        <f>255000+150000+175405+550000+5311512+8508200</f>
        <v>14950117</v>
      </c>
      <c r="L304" s="344">
        <f t="shared" si="192"/>
        <v>14950117</v>
      </c>
      <c r="M304" s="344">
        <f t="shared" si="193"/>
        <v>14950117</v>
      </c>
      <c r="N304" s="337">
        <f t="shared" si="194"/>
        <v>420049883</v>
      </c>
      <c r="P304" s="340"/>
      <c r="S304" s="346">
        <f>255000+150000+175405+550000+750000+896000+883200+640000+268800+268800+794800+797800+798800+800800+802800+806400+268800+806400+793600+281600+281600+1100000+955962+554750+268800</f>
        <v>14950117</v>
      </c>
      <c r="T304" s="347"/>
      <c r="U304" s="342"/>
    </row>
    <row r="305" spans="1:21" s="339" customFormat="1" ht="20.25" x14ac:dyDescent="0.25">
      <c r="A305" s="334"/>
      <c r="B305" s="335"/>
      <c r="C305" s="335"/>
      <c r="D305" s="365" t="s">
        <v>271</v>
      </c>
      <c r="E305" s="335" t="s">
        <v>272</v>
      </c>
      <c r="F305" s="337">
        <f>+F306</f>
        <v>79500000</v>
      </c>
      <c r="G305" s="344">
        <f>+G306</f>
        <v>0</v>
      </c>
      <c r="H305" s="344">
        <f>+H306</f>
        <v>0</v>
      </c>
      <c r="I305" s="344">
        <f t="shared" ref="I305:I316" si="195">+G305+H305</f>
        <v>0</v>
      </c>
      <c r="J305" s="344">
        <f>+J306</f>
        <v>1400000</v>
      </c>
      <c r="K305" s="344">
        <f>+K306</f>
        <v>3088700</v>
      </c>
      <c r="L305" s="344">
        <f>+J305+K305</f>
        <v>4488700</v>
      </c>
      <c r="M305" s="344">
        <f t="shared" si="193"/>
        <v>4488700</v>
      </c>
      <c r="N305" s="337">
        <f t="shared" si="194"/>
        <v>75011300</v>
      </c>
      <c r="P305" s="340"/>
      <c r="S305" s="346"/>
      <c r="T305" s="347"/>
      <c r="U305" s="342"/>
    </row>
    <row r="306" spans="1:21" s="381" customFormat="1" ht="18" customHeight="1" x14ac:dyDescent="0.25">
      <c r="A306" s="334"/>
      <c r="B306" s="352"/>
      <c r="C306" s="334"/>
      <c r="D306" s="335" t="s">
        <v>81</v>
      </c>
      <c r="E306" s="335" t="s">
        <v>31</v>
      </c>
      <c r="F306" s="337">
        <f>F308+F307</f>
        <v>79500000</v>
      </c>
      <c r="G306" s="344">
        <f>SUM(G307:G308)</f>
        <v>0</v>
      </c>
      <c r="H306" s="344">
        <f>SUM(H307:H308)</f>
        <v>0</v>
      </c>
      <c r="I306" s="344">
        <f t="shared" si="195"/>
        <v>0</v>
      </c>
      <c r="J306" s="344">
        <f>SUM(J307:J308)</f>
        <v>1400000</v>
      </c>
      <c r="K306" s="344">
        <f>SUM(K307:K308)</f>
        <v>3088700</v>
      </c>
      <c r="L306" s="344">
        <f>+J306+K306</f>
        <v>4488700</v>
      </c>
      <c r="M306" s="344">
        <f t="shared" si="193"/>
        <v>4488700</v>
      </c>
      <c r="N306" s="337">
        <f t="shared" si="194"/>
        <v>75011300</v>
      </c>
      <c r="P306" s="340"/>
      <c r="R306" s="385"/>
      <c r="S306" s="346"/>
      <c r="T306" s="347"/>
      <c r="U306" s="382"/>
    </row>
    <row r="307" spans="1:21" s="381" customFormat="1" ht="18" customHeight="1" x14ac:dyDescent="0.25">
      <c r="A307" s="334"/>
      <c r="B307" s="352"/>
      <c r="C307" s="334"/>
      <c r="D307" s="335" t="s">
        <v>82</v>
      </c>
      <c r="E307" s="335" t="s">
        <v>83</v>
      </c>
      <c r="F307" s="337">
        <v>18000000</v>
      </c>
      <c r="G307" s="344"/>
      <c r="H307" s="344"/>
      <c r="I307" s="344">
        <f t="shared" si="195"/>
        <v>0</v>
      </c>
      <c r="J307" s="344">
        <v>1400000</v>
      </c>
      <c r="K307" s="344">
        <v>1400000</v>
      </c>
      <c r="L307" s="344">
        <f>J307+K307</f>
        <v>2800000</v>
      </c>
      <c r="M307" s="344">
        <f t="shared" si="193"/>
        <v>2800000</v>
      </c>
      <c r="N307" s="337">
        <f t="shared" si="194"/>
        <v>15200000</v>
      </c>
      <c r="P307" s="340"/>
      <c r="S307" s="346">
        <v>1400000</v>
      </c>
      <c r="T307" s="347"/>
      <c r="U307" s="382"/>
    </row>
    <row r="308" spans="1:21" s="381" customFormat="1" ht="18" customHeight="1" x14ac:dyDescent="0.25">
      <c r="A308" s="334"/>
      <c r="B308" s="352"/>
      <c r="C308" s="334"/>
      <c r="D308" s="335" t="s">
        <v>343</v>
      </c>
      <c r="E308" s="335" t="s">
        <v>344</v>
      </c>
      <c r="F308" s="337">
        <v>61500000</v>
      </c>
      <c r="G308" s="344"/>
      <c r="H308" s="344"/>
      <c r="I308" s="344">
        <f t="shared" si="195"/>
        <v>0</v>
      </c>
      <c r="J308" s="344"/>
      <c r="K308" s="344">
        <v>1688700</v>
      </c>
      <c r="L308" s="344">
        <f>J308+K308</f>
        <v>1688700</v>
      </c>
      <c r="M308" s="344">
        <f t="shared" si="193"/>
        <v>1688700</v>
      </c>
      <c r="N308" s="337">
        <f t="shared" si="194"/>
        <v>59811300</v>
      </c>
      <c r="P308" s="340"/>
      <c r="S308" s="346">
        <v>1688700</v>
      </c>
      <c r="T308" s="347"/>
      <c r="U308" s="382"/>
    </row>
    <row r="309" spans="1:21" s="339" customFormat="1" ht="20.25" x14ac:dyDescent="0.25">
      <c r="A309" s="334"/>
      <c r="B309" s="335"/>
      <c r="C309" s="334"/>
      <c r="D309" s="365" t="s">
        <v>275</v>
      </c>
      <c r="E309" s="335" t="s">
        <v>276</v>
      </c>
      <c r="F309" s="337">
        <f>+F310</f>
        <v>175500000</v>
      </c>
      <c r="G309" s="344">
        <f>+G310</f>
        <v>0</v>
      </c>
      <c r="H309" s="344">
        <f>+H310</f>
        <v>0</v>
      </c>
      <c r="I309" s="344">
        <f t="shared" si="195"/>
        <v>0</v>
      </c>
      <c r="J309" s="344">
        <f>+J310</f>
        <v>0</v>
      </c>
      <c r="K309" s="344">
        <f>+K310</f>
        <v>24240000</v>
      </c>
      <c r="L309" s="344">
        <f>+J309+K309</f>
        <v>24240000</v>
      </c>
      <c r="M309" s="344">
        <f t="shared" si="193"/>
        <v>24240000</v>
      </c>
      <c r="N309" s="337">
        <f t="shared" si="194"/>
        <v>151260000</v>
      </c>
      <c r="P309" s="340"/>
      <c r="S309" s="346"/>
      <c r="T309" s="347"/>
      <c r="U309" s="342"/>
    </row>
    <row r="310" spans="1:21" s="381" customFormat="1" ht="18" customHeight="1" x14ac:dyDescent="0.25">
      <c r="A310" s="334"/>
      <c r="B310" s="352"/>
      <c r="C310" s="334"/>
      <c r="D310" s="335" t="s">
        <v>114</v>
      </c>
      <c r="E310" s="335" t="s">
        <v>43</v>
      </c>
      <c r="F310" s="337">
        <f>+F311</f>
        <v>175500000</v>
      </c>
      <c r="G310" s="344">
        <f>SUM(G311)</f>
        <v>0</v>
      </c>
      <c r="H310" s="344">
        <f>SUM(H311)</f>
        <v>0</v>
      </c>
      <c r="I310" s="344">
        <f t="shared" si="195"/>
        <v>0</v>
      </c>
      <c r="J310" s="344">
        <f>SUM(J311)</f>
        <v>0</v>
      </c>
      <c r="K310" s="344">
        <f>SUM(K311)</f>
        <v>24240000</v>
      </c>
      <c r="L310" s="344">
        <f>+J310+K310</f>
        <v>24240000</v>
      </c>
      <c r="M310" s="344">
        <f t="shared" si="193"/>
        <v>24240000</v>
      </c>
      <c r="N310" s="337">
        <f t="shared" si="194"/>
        <v>151260000</v>
      </c>
      <c r="P310" s="340"/>
      <c r="R310" s="385"/>
      <c r="S310" s="346"/>
      <c r="T310" s="347"/>
      <c r="U310" s="382"/>
    </row>
    <row r="311" spans="1:21" s="388" customFormat="1" ht="33.75" customHeight="1" x14ac:dyDescent="0.25">
      <c r="A311" s="372"/>
      <c r="B311" s="153"/>
      <c r="C311" s="372"/>
      <c r="D311" s="373" t="s">
        <v>345</v>
      </c>
      <c r="E311" s="375" t="s">
        <v>346</v>
      </c>
      <c r="F311" s="376">
        <v>175500000</v>
      </c>
      <c r="G311" s="377"/>
      <c r="H311" s="377"/>
      <c r="I311" s="371">
        <f t="shared" si="195"/>
        <v>0</v>
      </c>
      <c r="J311" s="377"/>
      <c r="K311" s="377">
        <f>1760000+1855000+1860000+8215000+2440000+1750000+1440000+2845000+2075000</f>
        <v>24240000</v>
      </c>
      <c r="L311" s="377">
        <f>J311+K311</f>
        <v>24240000</v>
      </c>
      <c r="M311" s="377">
        <f t="shared" si="193"/>
        <v>24240000</v>
      </c>
      <c r="N311" s="376">
        <f t="shared" si="194"/>
        <v>151260000</v>
      </c>
      <c r="P311" s="200"/>
      <c r="S311" s="358">
        <f>740000+740000+740000+840000+860000+860000+440000+680000+715000+1600000+1760000+1855000+1860000+2440000+1750000+1440000+2845000+2075000</f>
        <v>24240000</v>
      </c>
      <c r="T311" s="221"/>
      <c r="U311" s="389"/>
    </row>
    <row r="312" spans="1:21" s="319" customFormat="1" ht="22.5" customHeight="1" x14ac:dyDescent="0.25">
      <c r="A312" s="275">
        <v>17</v>
      </c>
      <c r="B312" s="314"/>
      <c r="C312" s="314" t="s">
        <v>143</v>
      </c>
      <c r="D312" s="315"/>
      <c r="E312" s="348" t="s">
        <v>144</v>
      </c>
      <c r="F312" s="317">
        <f t="shared" ref="F312:H313" si="196">+F313</f>
        <v>1024733000</v>
      </c>
      <c r="G312" s="318">
        <f t="shared" si="196"/>
        <v>0</v>
      </c>
      <c r="H312" s="318">
        <f t="shared" si="196"/>
        <v>0</v>
      </c>
      <c r="I312" s="318">
        <f t="shared" si="195"/>
        <v>0</v>
      </c>
      <c r="J312" s="318">
        <f>+J313</f>
        <v>1600000</v>
      </c>
      <c r="K312" s="318">
        <f>+K313</f>
        <v>38085000</v>
      </c>
      <c r="L312" s="318">
        <f>+J312+K312</f>
        <v>39685000</v>
      </c>
      <c r="M312" s="318">
        <f>+I312+L312</f>
        <v>39685000</v>
      </c>
      <c r="N312" s="317">
        <f>+F312-M312</f>
        <v>985048000</v>
      </c>
      <c r="P312" s="320"/>
      <c r="R312" s="321"/>
      <c r="S312" s="349"/>
      <c r="T312" s="349"/>
      <c r="U312" s="350"/>
    </row>
    <row r="313" spans="1:21" s="329" customFormat="1" ht="18" customHeight="1" x14ac:dyDescent="0.25">
      <c r="A313" s="323"/>
      <c r="B313" s="324"/>
      <c r="C313" s="324"/>
      <c r="D313" s="325" t="s">
        <v>207</v>
      </c>
      <c r="E313" s="326" t="s">
        <v>262</v>
      </c>
      <c r="F313" s="327">
        <f t="shared" si="196"/>
        <v>1024733000</v>
      </c>
      <c r="G313" s="328">
        <f t="shared" si="196"/>
        <v>0</v>
      </c>
      <c r="H313" s="328">
        <f t="shared" si="196"/>
        <v>0</v>
      </c>
      <c r="I313" s="328">
        <f t="shared" si="195"/>
        <v>0</v>
      </c>
      <c r="J313" s="328">
        <f>+J314</f>
        <v>1600000</v>
      </c>
      <c r="K313" s="328">
        <f>+K314</f>
        <v>38085000</v>
      </c>
      <c r="L313" s="328">
        <f>+J313+K313</f>
        <v>39685000</v>
      </c>
      <c r="M313" s="328">
        <f t="shared" ref="M313:M330" si="197">+I313+L313</f>
        <v>39685000</v>
      </c>
      <c r="N313" s="327">
        <f t="shared" ref="N313:N330" si="198">+F313-M313</f>
        <v>985048000</v>
      </c>
      <c r="P313" s="330"/>
      <c r="R313" s="331"/>
      <c r="S313" s="351"/>
      <c r="T313" s="351"/>
      <c r="U313" s="333"/>
    </row>
    <row r="314" spans="1:21" s="381" customFormat="1" ht="18" customHeight="1" x14ac:dyDescent="0.25">
      <c r="A314" s="384"/>
      <c r="B314" s="397"/>
      <c r="C314" s="384"/>
      <c r="D314" s="335" t="s">
        <v>63</v>
      </c>
      <c r="E314" s="335" t="s">
        <v>30</v>
      </c>
      <c r="F314" s="337">
        <f>+F315+F319+F322</f>
        <v>1024733000</v>
      </c>
      <c r="G314" s="344">
        <f>+G315+G319+G322</f>
        <v>0</v>
      </c>
      <c r="H314" s="344">
        <f>+H315+H319+H322</f>
        <v>0</v>
      </c>
      <c r="I314" s="344">
        <f t="shared" si="195"/>
        <v>0</v>
      </c>
      <c r="J314" s="344">
        <f>+J315+J319+J322</f>
        <v>1600000</v>
      </c>
      <c r="K314" s="344">
        <f>+K315+K319+K322</f>
        <v>38085000</v>
      </c>
      <c r="L314" s="344">
        <f>+J314+K314</f>
        <v>39685000</v>
      </c>
      <c r="M314" s="344">
        <f t="shared" si="197"/>
        <v>39685000</v>
      </c>
      <c r="N314" s="337">
        <f t="shared" si="198"/>
        <v>985048000</v>
      </c>
      <c r="P314" s="340"/>
      <c r="S314" s="347"/>
      <c r="T314" s="347"/>
      <c r="U314" s="382"/>
    </row>
    <row r="315" spans="1:21" s="339" customFormat="1" ht="18" customHeight="1" x14ac:dyDescent="0.25">
      <c r="A315" s="334"/>
      <c r="B315" s="335"/>
      <c r="C315" s="335"/>
      <c r="D315" s="365" t="s">
        <v>263</v>
      </c>
      <c r="E315" s="335" t="s">
        <v>264</v>
      </c>
      <c r="F315" s="337">
        <f>+F316</f>
        <v>160643000</v>
      </c>
      <c r="G315" s="344">
        <f>+G316</f>
        <v>0</v>
      </c>
      <c r="H315" s="344">
        <f>+H316</f>
        <v>0</v>
      </c>
      <c r="I315" s="344">
        <f t="shared" si="195"/>
        <v>0</v>
      </c>
      <c r="J315" s="344">
        <f>+J316</f>
        <v>0</v>
      </c>
      <c r="K315" s="344">
        <f>+K316</f>
        <v>11830000</v>
      </c>
      <c r="L315" s="344">
        <f>+J315+K315</f>
        <v>11830000</v>
      </c>
      <c r="M315" s="344">
        <f t="shared" si="197"/>
        <v>11830000</v>
      </c>
      <c r="N315" s="337">
        <f t="shared" si="198"/>
        <v>148813000</v>
      </c>
      <c r="P315" s="340"/>
      <c r="S315" s="347"/>
      <c r="T315" s="347"/>
      <c r="U315" s="342"/>
    </row>
    <row r="316" spans="1:21" s="381" customFormat="1" ht="18" customHeight="1" x14ac:dyDescent="0.25">
      <c r="A316" s="384"/>
      <c r="B316" s="397"/>
      <c r="C316" s="384"/>
      <c r="D316" s="335" t="s">
        <v>64</v>
      </c>
      <c r="E316" s="335" t="s">
        <v>65</v>
      </c>
      <c r="F316" s="337">
        <f>F317+F318</f>
        <v>160643000</v>
      </c>
      <c r="G316" s="344">
        <f>+G317</f>
        <v>0</v>
      </c>
      <c r="H316" s="344">
        <f>+H317</f>
        <v>0</v>
      </c>
      <c r="I316" s="344">
        <f t="shared" si="195"/>
        <v>0</v>
      </c>
      <c r="J316" s="344">
        <f>+J317</f>
        <v>0</v>
      </c>
      <c r="K316" s="344">
        <f>+K317</f>
        <v>11830000</v>
      </c>
      <c r="L316" s="344">
        <f>+J316+K316</f>
        <v>11830000</v>
      </c>
      <c r="M316" s="344">
        <f t="shared" si="197"/>
        <v>11830000</v>
      </c>
      <c r="N316" s="337">
        <f t="shared" si="198"/>
        <v>148813000</v>
      </c>
      <c r="P316" s="340"/>
      <c r="S316" s="347"/>
      <c r="T316" s="347"/>
      <c r="U316" s="382"/>
    </row>
    <row r="317" spans="1:21" s="339" customFormat="1" ht="18" customHeight="1" x14ac:dyDescent="0.25">
      <c r="A317" s="384"/>
      <c r="B317" s="397"/>
      <c r="C317" s="334"/>
      <c r="D317" s="335" t="s">
        <v>339</v>
      </c>
      <c r="E317" s="335" t="s">
        <v>340</v>
      </c>
      <c r="F317" s="337">
        <v>99000000</v>
      </c>
      <c r="G317" s="398"/>
      <c r="H317" s="398"/>
      <c r="I317" s="398"/>
      <c r="J317" s="344"/>
      <c r="K317" s="344">
        <v>11830000</v>
      </c>
      <c r="L317" s="344">
        <f t="shared" ref="L317:L330" si="199">+J317+K317</f>
        <v>11830000</v>
      </c>
      <c r="M317" s="344">
        <f t="shared" si="197"/>
        <v>11830000</v>
      </c>
      <c r="N317" s="337">
        <f t="shared" si="198"/>
        <v>87170000</v>
      </c>
      <c r="P317" s="343"/>
      <c r="S317" s="346">
        <f>900000+940000+810000+930000+970000+950000+750000+840000+960000+950000+940000+990000+900000</f>
        <v>11830000</v>
      </c>
      <c r="T317" s="347"/>
      <c r="U317" s="342"/>
    </row>
    <row r="318" spans="1:21" s="339" customFormat="1" ht="18" customHeight="1" x14ac:dyDescent="0.25">
      <c r="A318" s="384"/>
      <c r="B318" s="397"/>
      <c r="C318" s="334"/>
      <c r="D318" s="335" t="s">
        <v>361</v>
      </c>
      <c r="E318" s="335" t="s">
        <v>362</v>
      </c>
      <c r="F318" s="337">
        <v>61643000</v>
      </c>
      <c r="G318" s="398"/>
      <c r="H318" s="398"/>
      <c r="I318" s="398"/>
      <c r="J318" s="344"/>
      <c r="K318" s="344"/>
      <c r="L318" s="344">
        <f t="shared" si="199"/>
        <v>0</v>
      </c>
      <c r="M318" s="344">
        <f t="shared" si="197"/>
        <v>0</v>
      </c>
      <c r="N318" s="337">
        <f t="shared" si="198"/>
        <v>61643000</v>
      </c>
      <c r="P318" s="343"/>
      <c r="S318" s="346"/>
      <c r="T318" s="347"/>
      <c r="U318" s="342"/>
    </row>
    <row r="319" spans="1:21" s="339" customFormat="1" ht="18" customHeight="1" x14ac:dyDescent="0.25">
      <c r="A319" s="334"/>
      <c r="B319" s="335"/>
      <c r="C319" s="335"/>
      <c r="D319" s="365" t="s">
        <v>271</v>
      </c>
      <c r="E319" s="335" t="s">
        <v>272</v>
      </c>
      <c r="F319" s="337">
        <f>+F320</f>
        <v>36480000</v>
      </c>
      <c r="G319" s="344">
        <f>+G320</f>
        <v>0</v>
      </c>
      <c r="H319" s="344">
        <f>+H320</f>
        <v>0</v>
      </c>
      <c r="I319" s="344">
        <f>+G319+H319</f>
        <v>0</v>
      </c>
      <c r="J319" s="344">
        <f>+J320</f>
        <v>1600000</v>
      </c>
      <c r="K319" s="344">
        <f>+K320</f>
        <v>1600000</v>
      </c>
      <c r="L319" s="344">
        <f t="shared" si="199"/>
        <v>3200000</v>
      </c>
      <c r="M319" s="344">
        <f t="shared" si="197"/>
        <v>3200000</v>
      </c>
      <c r="N319" s="337">
        <f t="shared" si="198"/>
        <v>33280000</v>
      </c>
      <c r="P319" s="343"/>
      <c r="S319" s="346"/>
      <c r="T319" s="347"/>
      <c r="U319" s="342"/>
    </row>
    <row r="320" spans="1:21" s="381" customFormat="1" ht="18" customHeight="1" x14ac:dyDescent="0.25">
      <c r="A320" s="384"/>
      <c r="B320" s="397"/>
      <c r="C320" s="384"/>
      <c r="D320" s="335" t="s">
        <v>81</v>
      </c>
      <c r="E320" s="335" t="s">
        <v>31</v>
      </c>
      <c r="F320" s="337">
        <f>F321</f>
        <v>36480000</v>
      </c>
      <c r="G320" s="344">
        <f>+G321</f>
        <v>0</v>
      </c>
      <c r="H320" s="344">
        <f>+H321</f>
        <v>0</v>
      </c>
      <c r="I320" s="344">
        <f>+G320+H320</f>
        <v>0</v>
      </c>
      <c r="J320" s="344">
        <f>+J321</f>
        <v>1600000</v>
      </c>
      <c r="K320" s="344">
        <f>+K321</f>
        <v>1600000</v>
      </c>
      <c r="L320" s="344">
        <f t="shared" si="199"/>
        <v>3200000</v>
      </c>
      <c r="M320" s="344">
        <f t="shared" si="197"/>
        <v>3200000</v>
      </c>
      <c r="N320" s="337">
        <f t="shared" si="198"/>
        <v>33280000</v>
      </c>
      <c r="P320" s="343"/>
      <c r="S320" s="346"/>
      <c r="T320" s="347"/>
      <c r="U320" s="382"/>
    </row>
    <row r="321" spans="1:21" s="339" customFormat="1" ht="18" customHeight="1" x14ac:dyDescent="0.25">
      <c r="A321" s="384"/>
      <c r="B321" s="397"/>
      <c r="C321" s="334"/>
      <c r="D321" s="335" t="s">
        <v>82</v>
      </c>
      <c r="E321" s="335" t="s">
        <v>83</v>
      </c>
      <c r="F321" s="337">
        <v>36480000</v>
      </c>
      <c r="G321" s="398"/>
      <c r="H321" s="344"/>
      <c r="I321" s="398"/>
      <c r="J321" s="344">
        <v>1600000</v>
      </c>
      <c r="K321" s="344">
        <v>1600000</v>
      </c>
      <c r="L321" s="344">
        <f t="shared" si="199"/>
        <v>3200000</v>
      </c>
      <c r="M321" s="344">
        <f t="shared" si="197"/>
        <v>3200000</v>
      </c>
      <c r="N321" s="337">
        <f t="shared" si="198"/>
        <v>33280000</v>
      </c>
      <c r="P321" s="343"/>
      <c r="S321" s="346">
        <v>1600000</v>
      </c>
      <c r="T321" s="347"/>
      <c r="U321" s="342"/>
    </row>
    <row r="322" spans="1:21" s="339" customFormat="1" ht="18" customHeight="1" x14ac:dyDescent="0.25">
      <c r="A322" s="334"/>
      <c r="B322" s="335"/>
      <c r="C322" s="335"/>
      <c r="D322" s="365" t="s">
        <v>275</v>
      </c>
      <c r="E322" s="335" t="s">
        <v>276</v>
      </c>
      <c r="F322" s="337">
        <f>+F323</f>
        <v>827610000</v>
      </c>
      <c r="G322" s="344">
        <f>+G323</f>
        <v>0</v>
      </c>
      <c r="H322" s="344">
        <f>+H323</f>
        <v>0</v>
      </c>
      <c r="I322" s="344">
        <f>+G322+H322</f>
        <v>0</v>
      </c>
      <c r="J322" s="344">
        <f>+J323</f>
        <v>0</v>
      </c>
      <c r="K322" s="344">
        <f>+K323</f>
        <v>24655000</v>
      </c>
      <c r="L322" s="344">
        <f>+J322+K322</f>
        <v>24655000</v>
      </c>
      <c r="M322" s="344">
        <f t="shared" si="197"/>
        <v>24655000</v>
      </c>
      <c r="N322" s="337">
        <f t="shared" si="198"/>
        <v>802955000</v>
      </c>
      <c r="P322" s="343"/>
      <c r="S322" s="347"/>
      <c r="T322" s="347"/>
      <c r="U322" s="342"/>
    </row>
    <row r="323" spans="1:21" s="381" customFormat="1" ht="18" customHeight="1" x14ac:dyDescent="0.25">
      <c r="A323" s="384"/>
      <c r="B323" s="397"/>
      <c r="C323" s="384"/>
      <c r="D323" s="335" t="s">
        <v>114</v>
      </c>
      <c r="E323" s="335" t="s">
        <v>43</v>
      </c>
      <c r="F323" s="337">
        <f>SUM(F324:F330)</f>
        <v>827610000</v>
      </c>
      <c r="G323" s="344">
        <f>SUM(G325:G330)</f>
        <v>0</v>
      </c>
      <c r="H323" s="344">
        <f>SUM(H325:H330)</f>
        <v>0</v>
      </c>
      <c r="I323" s="344">
        <f>+G323+H323</f>
        <v>0</v>
      </c>
      <c r="J323" s="344">
        <f>SUM(J325:J330)</f>
        <v>0</v>
      </c>
      <c r="K323" s="344">
        <f>SUM(K325:K330)</f>
        <v>24655000</v>
      </c>
      <c r="L323" s="344">
        <f>+J323+K323</f>
        <v>24655000</v>
      </c>
      <c r="M323" s="344">
        <f t="shared" si="197"/>
        <v>24655000</v>
      </c>
      <c r="N323" s="337">
        <f t="shared" si="198"/>
        <v>802955000</v>
      </c>
      <c r="P323" s="343"/>
      <c r="S323" s="347"/>
      <c r="T323" s="347"/>
      <c r="U323" s="382"/>
    </row>
    <row r="324" spans="1:21" s="339" customFormat="1" ht="35.25" customHeight="1" x14ac:dyDescent="0.25">
      <c r="A324" s="399"/>
      <c r="B324" s="381"/>
      <c r="C324" s="366"/>
      <c r="D324" s="367" t="s">
        <v>478</v>
      </c>
      <c r="E324" s="369" t="s">
        <v>479</v>
      </c>
      <c r="F324" s="370">
        <v>31700000</v>
      </c>
      <c r="G324" s="400"/>
      <c r="H324" s="400"/>
      <c r="I324" s="400"/>
      <c r="J324" s="371"/>
      <c r="K324" s="371"/>
      <c r="L324" s="371">
        <f t="shared" ref="L324" si="200">+J324+K324</f>
        <v>0</v>
      </c>
      <c r="M324" s="371">
        <f t="shared" si="197"/>
        <v>0</v>
      </c>
      <c r="N324" s="370">
        <f t="shared" si="198"/>
        <v>31700000</v>
      </c>
      <c r="P324" s="343"/>
      <c r="S324" s="347"/>
      <c r="T324" s="347"/>
      <c r="U324" s="342"/>
    </row>
    <row r="325" spans="1:21" s="339" customFormat="1" ht="35.25" customHeight="1" x14ac:dyDescent="0.25">
      <c r="A325" s="399"/>
      <c r="B325" s="381"/>
      <c r="C325" s="366"/>
      <c r="D325" s="367" t="s">
        <v>347</v>
      </c>
      <c r="E325" s="369" t="s">
        <v>348</v>
      </c>
      <c r="F325" s="370">
        <v>8500000</v>
      </c>
      <c r="G325" s="400"/>
      <c r="H325" s="400"/>
      <c r="I325" s="400"/>
      <c r="J325" s="371"/>
      <c r="K325" s="371"/>
      <c r="L325" s="371">
        <f t="shared" si="199"/>
        <v>0</v>
      </c>
      <c r="M325" s="371">
        <f t="shared" si="197"/>
        <v>0</v>
      </c>
      <c r="N325" s="370">
        <f t="shared" si="198"/>
        <v>8500000</v>
      </c>
      <c r="P325" s="343"/>
      <c r="S325" s="347"/>
      <c r="T325" s="347"/>
      <c r="U325" s="342"/>
    </row>
    <row r="326" spans="1:21" s="339" customFormat="1" ht="35.25" customHeight="1" x14ac:dyDescent="0.25">
      <c r="A326" s="399"/>
      <c r="B326" s="381"/>
      <c r="C326" s="367"/>
      <c r="D326" s="367" t="s">
        <v>349</v>
      </c>
      <c r="E326" s="369" t="s">
        <v>350</v>
      </c>
      <c r="F326" s="370">
        <v>99960000</v>
      </c>
      <c r="G326" s="400"/>
      <c r="H326" s="400"/>
      <c r="I326" s="400"/>
      <c r="J326" s="371"/>
      <c r="K326" s="371">
        <f>149000+306000+13515000</f>
        <v>13970000</v>
      </c>
      <c r="L326" s="371">
        <f t="shared" si="199"/>
        <v>13970000</v>
      </c>
      <c r="M326" s="371">
        <f t="shared" si="197"/>
        <v>13970000</v>
      </c>
      <c r="N326" s="370">
        <f>+F326-M326</f>
        <v>85990000</v>
      </c>
      <c r="P326" s="343"/>
      <c r="S326" s="346">
        <f>55000+165000+130000+1000000+450000+900000+200000+950000+850000+1700000+315000+1000000+4920000+880000+149000+306000</f>
        <v>13970000</v>
      </c>
      <c r="T326" s="347"/>
      <c r="U326" s="342"/>
    </row>
    <row r="327" spans="1:21" s="339" customFormat="1" ht="35.25" customHeight="1" x14ac:dyDescent="0.25">
      <c r="A327" s="399"/>
      <c r="B327" s="381"/>
      <c r="C327" s="367"/>
      <c r="D327" s="367" t="s">
        <v>145</v>
      </c>
      <c r="E327" s="369" t="s">
        <v>351</v>
      </c>
      <c r="F327" s="370">
        <v>73200000</v>
      </c>
      <c r="G327" s="400"/>
      <c r="H327" s="400"/>
      <c r="I327" s="400"/>
      <c r="J327" s="371"/>
      <c r="K327" s="371">
        <f>675000+775000+6525000</f>
        <v>7975000</v>
      </c>
      <c r="L327" s="371">
        <f t="shared" si="199"/>
        <v>7975000</v>
      </c>
      <c r="M327" s="371">
        <f t="shared" si="197"/>
        <v>7975000</v>
      </c>
      <c r="N327" s="370">
        <f>+F327-M327</f>
        <v>65225000</v>
      </c>
      <c r="P327" s="343"/>
      <c r="S327" s="346">
        <f>900000+975000+650000+575000+1800000+900000+725000+675000+775000</f>
        <v>7975000</v>
      </c>
      <c r="T327" s="347"/>
      <c r="U327" s="342"/>
    </row>
    <row r="328" spans="1:21" s="339" customFormat="1" ht="26.25" customHeight="1" x14ac:dyDescent="0.25">
      <c r="A328" s="399"/>
      <c r="B328" s="381"/>
      <c r="C328" s="367"/>
      <c r="D328" s="367" t="s">
        <v>115</v>
      </c>
      <c r="E328" s="369" t="s">
        <v>116</v>
      </c>
      <c r="F328" s="370">
        <v>109500000</v>
      </c>
      <c r="G328" s="400"/>
      <c r="H328" s="400"/>
      <c r="I328" s="400"/>
      <c r="J328" s="371"/>
      <c r="K328" s="371">
        <f>230000+140000+550000</f>
        <v>920000</v>
      </c>
      <c r="L328" s="371">
        <f t="shared" si="199"/>
        <v>920000</v>
      </c>
      <c r="M328" s="371">
        <f t="shared" si="197"/>
        <v>920000</v>
      </c>
      <c r="N328" s="370">
        <f>+F328-M328</f>
        <v>108580000</v>
      </c>
      <c r="P328" s="340"/>
      <c r="S328" s="346">
        <f>230000+140000+550000</f>
        <v>920000</v>
      </c>
      <c r="T328" s="347"/>
      <c r="U328" s="342"/>
    </row>
    <row r="329" spans="1:21" s="339" customFormat="1" ht="33.75" customHeight="1" x14ac:dyDescent="0.25">
      <c r="A329" s="399"/>
      <c r="B329" s="381"/>
      <c r="C329" s="367"/>
      <c r="D329" s="367" t="s">
        <v>352</v>
      </c>
      <c r="E329" s="369" t="s">
        <v>353</v>
      </c>
      <c r="F329" s="370">
        <v>108500000</v>
      </c>
      <c r="G329" s="400"/>
      <c r="H329" s="400"/>
      <c r="I329" s="400"/>
      <c r="J329" s="371"/>
      <c r="K329" s="371">
        <f>850000+940000</f>
        <v>1790000</v>
      </c>
      <c r="L329" s="371">
        <f t="shared" si="199"/>
        <v>1790000</v>
      </c>
      <c r="M329" s="371">
        <f t="shared" si="197"/>
        <v>1790000</v>
      </c>
      <c r="N329" s="370">
        <f t="shared" si="198"/>
        <v>106710000</v>
      </c>
      <c r="P329" s="340"/>
      <c r="S329" s="346">
        <f>850000+940000</f>
        <v>1790000</v>
      </c>
      <c r="T329" s="347"/>
      <c r="U329" s="342"/>
    </row>
    <row r="330" spans="1:21" s="153" customFormat="1" ht="18" customHeight="1" x14ac:dyDescent="0.25">
      <c r="A330" s="393"/>
      <c r="B330" s="401"/>
      <c r="C330" s="355"/>
      <c r="D330" s="355" t="s">
        <v>354</v>
      </c>
      <c r="E330" s="402" t="s">
        <v>355</v>
      </c>
      <c r="F330" s="356">
        <v>396250000</v>
      </c>
      <c r="G330" s="357"/>
      <c r="H330" s="357"/>
      <c r="I330" s="357">
        <f t="shared" ref="I330:I347" si="201">+G330+H330</f>
        <v>0</v>
      </c>
      <c r="J330" s="357"/>
      <c r="K330" s="357"/>
      <c r="L330" s="357">
        <f t="shared" si="199"/>
        <v>0</v>
      </c>
      <c r="M330" s="357">
        <f t="shared" si="197"/>
        <v>0</v>
      </c>
      <c r="N330" s="356">
        <f t="shared" si="198"/>
        <v>396250000</v>
      </c>
      <c r="P330" s="200"/>
      <c r="S330" s="221"/>
      <c r="T330" s="358"/>
      <c r="U330" s="254"/>
    </row>
    <row r="331" spans="1:21" s="319" customFormat="1" ht="22.5" customHeight="1" x14ac:dyDescent="0.25">
      <c r="A331" s="275">
        <v>18</v>
      </c>
      <c r="B331" s="314"/>
      <c r="C331" s="314" t="s">
        <v>146</v>
      </c>
      <c r="D331" s="315"/>
      <c r="E331" s="348" t="s">
        <v>356</v>
      </c>
      <c r="F331" s="317">
        <f t="shared" ref="F331:H334" si="202">+F332</f>
        <v>399988000</v>
      </c>
      <c r="G331" s="318">
        <f t="shared" si="202"/>
        <v>0</v>
      </c>
      <c r="H331" s="318">
        <f t="shared" si="202"/>
        <v>0</v>
      </c>
      <c r="I331" s="318">
        <f t="shared" si="201"/>
        <v>0</v>
      </c>
      <c r="J331" s="318">
        <f t="shared" ref="J331:K335" si="203">+J332</f>
        <v>0</v>
      </c>
      <c r="K331" s="318">
        <f t="shared" si="203"/>
        <v>0</v>
      </c>
      <c r="L331" s="318">
        <f>+J331+K331</f>
        <v>0</v>
      </c>
      <c r="M331" s="318">
        <f>+I331+L331</f>
        <v>0</v>
      </c>
      <c r="N331" s="317">
        <f>+F331-M331</f>
        <v>399988000</v>
      </c>
      <c r="P331" s="320"/>
      <c r="R331" s="321"/>
      <c r="S331" s="349"/>
      <c r="T331" s="349"/>
      <c r="U331" s="350"/>
    </row>
    <row r="332" spans="1:21" s="329" customFormat="1" ht="18" customHeight="1" x14ac:dyDescent="0.25">
      <c r="A332" s="323"/>
      <c r="B332" s="324"/>
      <c r="C332" s="324"/>
      <c r="D332" s="325" t="s">
        <v>207</v>
      </c>
      <c r="E332" s="326" t="s">
        <v>262</v>
      </c>
      <c r="F332" s="327">
        <f t="shared" si="202"/>
        <v>399988000</v>
      </c>
      <c r="G332" s="328">
        <f t="shared" si="202"/>
        <v>0</v>
      </c>
      <c r="H332" s="328">
        <f t="shared" si="202"/>
        <v>0</v>
      </c>
      <c r="I332" s="328">
        <f t="shared" si="201"/>
        <v>0</v>
      </c>
      <c r="J332" s="328">
        <f t="shared" si="203"/>
        <v>0</v>
      </c>
      <c r="K332" s="328">
        <f t="shared" si="203"/>
        <v>0</v>
      </c>
      <c r="L332" s="328">
        <f>+J332+K332</f>
        <v>0</v>
      </c>
      <c r="M332" s="328">
        <f t="shared" ref="M332:M336" si="204">+I332+L332</f>
        <v>0</v>
      </c>
      <c r="N332" s="327">
        <f>+F332-M332</f>
        <v>399988000</v>
      </c>
      <c r="P332" s="330"/>
      <c r="R332" s="331"/>
      <c r="S332" s="351"/>
      <c r="T332" s="351"/>
      <c r="U332" s="333"/>
    </row>
    <row r="333" spans="1:21" s="381" customFormat="1" ht="18" customHeight="1" x14ac:dyDescent="0.25">
      <c r="A333" s="384"/>
      <c r="B333" s="397"/>
      <c r="C333" s="384"/>
      <c r="D333" s="335" t="s">
        <v>63</v>
      </c>
      <c r="E333" s="335" t="s">
        <v>30</v>
      </c>
      <c r="F333" s="337">
        <f t="shared" si="202"/>
        <v>399988000</v>
      </c>
      <c r="G333" s="344">
        <f t="shared" si="202"/>
        <v>0</v>
      </c>
      <c r="H333" s="344">
        <f t="shared" si="202"/>
        <v>0</v>
      </c>
      <c r="I333" s="344">
        <f t="shared" si="201"/>
        <v>0</v>
      </c>
      <c r="J333" s="344">
        <f t="shared" si="203"/>
        <v>0</v>
      </c>
      <c r="K333" s="344">
        <f t="shared" si="203"/>
        <v>0</v>
      </c>
      <c r="L333" s="344">
        <f>+J333+K333</f>
        <v>0</v>
      </c>
      <c r="M333" s="344">
        <f t="shared" si="204"/>
        <v>0</v>
      </c>
      <c r="N333" s="337">
        <f t="shared" ref="N333:N336" si="205">+F333-M333</f>
        <v>399988000</v>
      </c>
      <c r="P333" s="340"/>
      <c r="S333" s="347"/>
      <c r="T333" s="347"/>
      <c r="U333" s="382"/>
    </row>
    <row r="334" spans="1:21" s="339" customFormat="1" ht="18" customHeight="1" x14ac:dyDescent="0.25">
      <c r="A334" s="334"/>
      <c r="B334" s="335"/>
      <c r="C334" s="335"/>
      <c r="D334" s="365" t="s">
        <v>275</v>
      </c>
      <c r="E334" s="335" t="s">
        <v>276</v>
      </c>
      <c r="F334" s="337">
        <f t="shared" si="202"/>
        <v>399988000</v>
      </c>
      <c r="G334" s="344">
        <f t="shared" si="202"/>
        <v>0</v>
      </c>
      <c r="H334" s="344">
        <f t="shared" si="202"/>
        <v>0</v>
      </c>
      <c r="I334" s="344">
        <f t="shared" si="201"/>
        <v>0</v>
      </c>
      <c r="J334" s="344">
        <f t="shared" si="203"/>
        <v>0</v>
      </c>
      <c r="K334" s="344">
        <f t="shared" si="203"/>
        <v>0</v>
      </c>
      <c r="L334" s="344">
        <f>+J334+K334</f>
        <v>0</v>
      </c>
      <c r="M334" s="344">
        <f t="shared" si="204"/>
        <v>0</v>
      </c>
      <c r="N334" s="337">
        <f t="shared" si="205"/>
        <v>399988000</v>
      </c>
      <c r="P334" s="340"/>
      <c r="S334" s="347"/>
      <c r="T334" s="347"/>
      <c r="U334" s="342"/>
    </row>
    <row r="335" spans="1:21" s="381" customFormat="1" ht="18" customHeight="1" x14ac:dyDescent="0.25">
      <c r="A335" s="384"/>
      <c r="B335" s="397"/>
      <c r="C335" s="384"/>
      <c r="D335" s="335" t="s">
        <v>147</v>
      </c>
      <c r="E335" s="335" t="s">
        <v>35</v>
      </c>
      <c r="F335" s="337">
        <f>F336</f>
        <v>399988000</v>
      </c>
      <c r="G335" s="344">
        <f>+G336</f>
        <v>0</v>
      </c>
      <c r="H335" s="344">
        <f>+H336</f>
        <v>0</v>
      </c>
      <c r="I335" s="344">
        <f t="shared" si="201"/>
        <v>0</v>
      </c>
      <c r="J335" s="344">
        <f t="shared" si="203"/>
        <v>0</v>
      </c>
      <c r="K335" s="344">
        <f t="shared" si="203"/>
        <v>0</v>
      </c>
      <c r="L335" s="344">
        <f>+J335+K335</f>
        <v>0</v>
      </c>
      <c r="M335" s="344">
        <f t="shared" si="204"/>
        <v>0</v>
      </c>
      <c r="N335" s="337">
        <f t="shared" si="205"/>
        <v>399988000</v>
      </c>
      <c r="P335" s="340"/>
      <c r="S335" s="347"/>
      <c r="T335" s="347"/>
      <c r="U335" s="382"/>
    </row>
    <row r="336" spans="1:21" s="153" customFormat="1" ht="33.75" customHeight="1" x14ac:dyDescent="0.25">
      <c r="A336" s="403"/>
      <c r="B336" s="388"/>
      <c r="C336" s="372"/>
      <c r="D336" s="373" t="s">
        <v>148</v>
      </c>
      <c r="E336" s="375" t="s">
        <v>149</v>
      </c>
      <c r="F336" s="376">
        <v>399988000</v>
      </c>
      <c r="G336" s="404"/>
      <c r="H336" s="377"/>
      <c r="I336" s="377">
        <f t="shared" si="201"/>
        <v>0</v>
      </c>
      <c r="J336" s="377"/>
      <c r="K336" s="377"/>
      <c r="L336" s="377">
        <f t="shared" ref="L336" si="206">+J336+K336</f>
        <v>0</v>
      </c>
      <c r="M336" s="377">
        <f t="shared" si="204"/>
        <v>0</v>
      </c>
      <c r="N336" s="376">
        <f t="shared" si="205"/>
        <v>399988000</v>
      </c>
      <c r="P336" s="200"/>
      <c r="S336" s="221"/>
      <c r="T336" s="358"/>
      <c r="U336" s="254"/>
    </row>
    <row r="337" spans="1:21" s="319" customFormat="1" ht="34.5" customHeight="1" x14ac:dyDescent="0.25">
      <c r="A337" s="275">
        <v>19</v>
      </c>
      <c r="B337" s="314"/>
      <c r="C337" s="314" t="s">
        <v>151</v>
      </c>
      <c r="D337" s="315"/>
      <c r="E337" s="348" t="s">
        <v>152</v>
      </c>
      <c r="F337" s="317">
        <f t="shared" ref="F337:H340" si="207">+F338</f>
        <v>200000000</v>
      </c>
      <c r="G337" s="318">
        <f t="shared" si="207"/>
        <v>0</v>
      </c>
      <c r="H337" s="318">
        <f t="shared" si="207"/>
        <v>0</v>
      </c>
      <c r="I337" s="318">
        <f t="shared" si="201"/>
        <v>0</v>
      </c>
      <c r="J337" s="318">
        <f t="shared" ref="J337:K341" si="208">+J338</f>
        <v>0</v>
      </c>
      <c r="K337" s="318">
        <f t="shared" si="208"/>
        <v>0</v>
      </c>
      <c r="L337" s="318">
        <f>+J337+K337</f>
        <v>0</v>
      </c>
      <c r="M337" s="318">
        <f>+I337+L337</f>
        <v>0</v>
      </c>
      <c r="N337" s="317">
        <f>+F337-M337</f>
        <v>200000000</v>
      </c>
      <c r="P337" s="320"/>
      <c r="R337" s="321"/>
      <c r="S337" s="349"/>
      <c r="T337" s="349"/>
      <c r="U337" s="350"/>
    </row>
    <row r="338" spans="1:21" s="329" customFormat="1" ht="18" customHeight="1" x14ac:dyDescent="0.25">
      <c r="A338" s="323"/>
      <c r="B338" s="324"/>
      <c r="C338" s="324"/>
      <c r="D338" s="325" t="s">
        <v>207</v>
      </c>
      <c r="E338" s="326" t="s">
        <v>262</v>
      </c>
      <c r="F338" s="327">
        <f t="shared" si="207"/>
        <v>200000000</v>
      </c>
      <c r="G338" s="328">
        <f t="shared" si="207"/>
        <v>0</v>
      </c>
      <c r="H338" s="328">
        <f t="shared" si="207"/>
        <v>0</v>
      </c>
      <c r="I338" s="328">
        <f t="shared" si="201"/>
        <v>0</v>
      </c>
      <c r="J338" s="328">
        <f t="shared" si="208"/>
        <v>0</v>
      </c>
      <c r="K338" s="328">
        <f t="shared" si="208"/>
        <v>0</v>
      </c>
      <c r="L338" s="328">
        <f>+J338+K338</f>
        <v>0</v>
      </c>
      <c r="M338" s="328">
        <f t="shared" ref="M338:M342" si="209">+I338+L338</f>
        <v>0</v>
      </c>
      <c r="N338" s="327">
        <f t="shared" ref="N338:N342" si="210">+F338-M338</f>
        <v>200000000</v>
      </c>
      <c r="P338" s="330"/>
      <c r="R338" s="331"/>
      <c r="S338" s="351"/>
      <c r="T338" s="351"/>
      <c r="U338" s="333"/>
    </row>
    <row r="339" spans="1:21" s="381" customFormat="1" ht="18" customHeight="1" x14ac:dyDescent="0.25">
      <c r="A339" s="384"/>
      <c r="B339" s="397"/>
      <c r="C339" s="384"/>
      <c r="D339" s="335" t="s">
        <v>63</v>
      </c>
      <c r="E339" s="335" t="s">
        <v>30</v>
      </c>
      <c r="F339" s="337">
        <f t="shared" si="207"/>
        <v>200000000</v>
      </c>
      <c r="G339" s="344">
        <f t="shared" si="207"/>
        <v>0</v>
      </c>
      <c r="H339" s="344">
        <f t="shared" si="207"/>
        <v>0</v>
      </c>
      <c r="I339" s="344">
        <f t="shared" si="201"/>
        <v>0</v>
      </c>
      <c r="J339" s="344">
        <f t="shared" si="208"/>
        <v>0</v>
      </c>
      <c r="K339" s="344">
        <f t="shared" si="208"/>
        <v>0</v>
      </c>
      <c r="L339" s="344">
        <f>+J339+K339</f>
        <v>0</v>
      </c>
      <c r="M339" s="344">
        <f t="shared" si="209"/>
        <v>0</v>
      </c>
      <c r="N339" s="337">
        <f t="shared" si="210"/>
        <v>200000000</v>
      </c>
      <c r="P339" s="340"/>
      <c r="S339" s="347"/>
      <c r="T339" s="347"/>
      <c r="U339" s="382"/>
    </row>
    <row r="340" spans="1:21" s="339" customFormat="1" ht="18" customHeight="1" x14ac:dyDescent="0.25">
      <c r="A340" s="334"/>
      <c r="B340" s="335"/>
      <c r="C340" s="335"/>
      <c r="D340" s="365" t="s">
        <v>275</v>
      </c>
      <c r="E340" s="335" t="s">
        <v>276</v>
      </c>
      <c r="F340" s="337">
        <f t="shared" si="207"/>
        <v>200000000</v>
      </c>
      <c r="G340" s="344">
        <f t="shared" si="207"/>
        <v>0</v>
      </c>
      <c r="H340" s="344">
        <f t="shared" si="207"/>
        <v>0</v>
      </c>
      <c r="I340" s="344">
        <f t="shared" si="201"/>
        <v>0</v>
      </c>
      <c r="J340" s="344">
        <f t="shared" si="208"/>
        <v>0</v>
      </c>
      <c r="K340" s="344">
        <f t="shared" si="208"/>
        <v>0</v>
      </c>
      <c r="L340" s="344">
        <f>+J340+K340</f>
        <v>0</v>
      </c>
      <c r="M340" s="344">
        <f t="shared" si="209"/>
        <v>0</v>
      </c>
      <c r="N340" s="337">
        <f t="shared" si="210"/>
        <v>200000000</v>
      </c>
      <c r="P340" s="340"/>
      <c r="S340" s="347"/>
      <c r="T340" s="347"/>
      <c r="U340" s="342"/>
    </row>
    <row r="341" spans="1:21" s="381" customFormat="1" ht="18" customHeight="1" x14ac:dyDescent="0.25">
      <c r="A341" s="384"/>
      <c r="B341" s="397"/>
      <c r="C341" s="384"/>
      <c r="D341" s="335" t="s">
        <v>147</v>
      </c>
      <c r="E341" s="335" t="s">
        <v>35</v>
      </c>
      <c r="F341" s="337">
        <f>F342</f>
        <v>200000000</v>
      </c>
      <c r="G341" s="344">
        <f>+G342</f>
        <v>0</v>
      </c>
      <c r="H341" s="344">
        <f>+H342</f>
        <v>0</v>
      </c>
      <c r="I341" s="344">
        <f t="shared" si="201"/>
        <v>0</v>
      </c>
      <c r="J341" s="344">
        <f t="shared" si="208"/>
        <v>0</v>
      </c>
      <c r="K341" s="344">
        <f t="shared" si="208"/>
        <v>0</v>
      </c>
      <c r="L341" s="344">
        <f>+J341+K341</f>
        <v>0</v>
      </c>
      <c r="M341" s="344">
        <f t="shared" si="209"/>
        <v>0</v>
      </c>
      <c r="N341" s="337">
        <f t="shared" si="210"/>
        <v>200000000</v>
      </c>
      <c r="P341" s="340"/>
      <c r="S341" s="347"/>
      <c r="T341" s="347"/>
      <c r="U341" s="382"/>
    </row>
    <row r="342" spans="1:21" s="153" customFormat="1" ht="33.75" customHeight="1" x14ac:dyDescent="0.25">
      <c r="A342" s="403"/>
      <c r="B342" s="388"/>
      <c r="C342" s="372"/>
      <c r="D342" s="373" t="s">
        <v>148</v>
      </c>
      <c r="E342" s="375" t="s">
        <v>149</v>
      </c>
      <c r="F342" s="376">
        <v>200000000</v>
      </c>
      <c r="G342" s="404"/>
      <c r="H342" s="377"/>
      <c r="I342" s="377">
        <f t="shared" si="201"/>
        <v>0</v>
      </c>
      <c r="J342" s="377"/>
      <c r="K342" s="377"/>
      <c r="L342" s="377">
        <f t="shared" ref="L342" si="211">+J342+K342</f>
        <v>0</v>
      </c>
      <c r="M342" s="377">
        <f t="shared" si="209"/>
        <v>0</v>
      </c>
      <c r="N342" s="376">
        <f t="shared" si="210"/>
        <v>200000000</v>
      </c>
      <c r="P342" s="200"/>
      <c r="S342" s="221"/>
      <c r="T342" s="358"/>
      <c r="U342" s="254"/>
    </row>
    <row r="343" spans="1:21" s="319" customFormat="1" ht="34.5" customHeight="1" x14ac:dyDescent="0.25">
      <c r="A343" s="275">
        <v>20</v>
      </c>
      <c r="B343" s="314"/>
      <c r="C343" s="314" t="s">
        <v>153</v>
      </c>
      <c r="D343" s="315"/>
      <c r="E343" s="348" t="s">
        <v>154</v>
      </c>
      <c r="F343" s="317">
        <f t="shared" ref="F343:H346" si="212">+F344</f>
        <v>80000000</v>
      </c>
      <c r="G343" s="318">
        <f t="shared" si="212"/>
        <v>0</v>
      </c>
      <c r="H343" s="318">
        <f t="shared" si="212"/>
        <v>0</v>
      </c>
      <c r="I343" s="318">
        <f t="shared" si="201"/>
        <v>0</v>
      </c>
      <c r="J343" s="318">
        <f t="shared" ref="J343:K347" si="213">+J344</f>
        <v>0</v>
      </c>
      <c r="K343" s="318">
        <f t="shared" si="213"/>
        <v>0</v>
      </c>
      <c r="L343" s="318">
        <f>+J343+K343</f>
        <v>0</v>
      </c>
      <c r="M343" s="318">
        <f>+I343+L343</f>
        <v>0</v>
      </c>
      <c r="N343" s="317">
        <f>+F343-M343</f>
        <v>80000000</v>
      </c>
      <c r="P343" s="320"/>
      <c r="R343" s="321"/>
      <c r="S343" s="349"/>
      <c r="T343" s="349"/>
      <c r="U343" s="350"/>
    </row>
    <row r="344" spans="1:21" s="329" customFormat="1" ht="18" customHeight="1" x14ac:dyDescent="0.25">
      <c r="A344" s="323"/>
      <c r="B344" s="324"/>
      <c r="C344" s="324"/>
      <c r="D344" s="325" t="s">
        <v>207</v>
      </c>
      <c r="E344" s="326" t="s">
        <v>262</v>
      </c>
      <c r="F344" s="327">
        <f t="shared" si="212"/>
        <v>80000000</v>
      </c>
      <c r="G344" s="328">
        <f t="shared" si="212"/>
        <v>0</v>
      </c>
      <c r="H344" s="328">
        <f t="shared" si="212"/>
        <v>0</v>
      </c>
      <c r="I344" s="328">
        <f t="shared" si="201"/>
        <v>0</v>
      </c>
      <c r="J344" s="328">
        <f t="shared" si="213"/>
        <v>0</v>
      </c>
      <c r="K344" s="328">
        <f t="shared" si="213"/>
        <v>0</v>
      </c>
      <c r="L344" s="328">
        <f>+J344+K344</f>
        <v>0</v>
      </c>
      <c r="M344" s="328">
        <f t="shared" ref="M344:M348" si="214">+I344+L344</f>
        <v>0</v>
      </c>
      <c r="N344" s="327">
        <f t="shared" ref="N344:N348" si="215">+F344-M344</f>
        <v>80000000</v>
      </c>
      <c r="P344" s="330"/>
      <c r="R344" s="331"/>
      <c r="S344" s="351"/>
      <c r="T344" s="351"/>
      <c r="U344" s="333"/>
    </row>
    <row r="345" spans="1:21" s="381" customFormat="1" ht="18" customHeight="1" x14ac:dyDescent="0.25">
      <c r="A345" s="384"/>
      <c r="B345" s="397"/>
      <c r="C345" s="384"/>
      <c r="D345" s="335" t="s">
        <v>63</v>
      </c>
      <c r="E345" s="335" t="s">
        <v>30</v>
      </c>
      <c r="F345" s="337">
        <f t="shared" si="212"/>
        <v>80000000</v>
      </c>
      <c r="G345" s="344">
        <f t="shared" si="212"/>
        <v>0</v>
      </c>
      <c r="H345" s="344">
        <f t="shared" si="212"/>
        <v>0</v>
      </c>
      <c r="I345" s="344">
        <f t="shared" si="201"/>
        <v>0</v>
      </c>
      <c r="J345" s="344">
        <f t="shared" si="213"/>
        <v>0</v>
      </c>
      <c r="K345" s="344">
        <f t="shared" si="213"/>
        <v>0</v>
      </c>
      <c r="L345" s="344">
        <f>+J345+K345</f>
        <v>0</v>
      </c>
      <c r="M345" s="344">
        <f t="shared" si="214"/>
        <v>0</v>
      </c>
      <c r="N345" s="337">
        <f t="shared" si="215"/>
        <v>80000000</v>
      </c>
      <c r="P345" s="340"/>
      <c r="S345" s="347"/>
      <c r="T345" s="347"/>
      <c r="U345" s="382"/>
    </row>
    <row r="346" spans="1:21" s="339" customFormat="1" ht="18" customHeight="1" x14ac:dyDescent="0.25">
      <c r="A346" s="334"/>
      <c r="B346" s="335"/>
      <c r="C346" s="335"/>
      <c r="D346" s="365" t="s">
        <v>275</v>
      </c>
      <c r="E346" s="335" t="s">
        <v>276</v>
      </c>
      <c r="F346" s="337">
        <f t="shared" si="212"/>
        <v>80000000</v>
      </c>
      <c r="G346" s="344">
        <f t="shared" si="212"/>
        <v>0</v>
      </c>
      <c r="H346" s="344">
        <f t="shared" si="212"/>
        <v>0</v>
      </c>
      <c r="I346" s="344">
        <f t="shared" si="201"/>
        <v>0</v>
      </c>
      <c r="J346" s="344">
        <f t="shared" si="213"/>
        <v>0</v>
      </c>
      <c r="K346" s="344">
        <f t="shared" si="213"/>
        <v>0</v>
      </c>
      <c r="L346" s="344">
        <f>+J346+K346</f>
        <v>0</v>
      </c>
      <c r="M346" s="344">
        <f t="shared" si="214"/>
        <v>0</v>
      </c>
      <c r="N346" s="337">
        <f t="shared" si="215"/>
        <v>80000000</v>
      </c>
      <c r="P346" s="340"/>
      <c r="S346" s="347"/>
      <c r="T346" s="347"/>
      <c r="U346" s="342"/>
    </row>
    <row r="347" spans="1:21" s="381" customFormat="1" ht="18" customHeight="1" x14ac:dyDescent="0.25">
      <c r="A347" s="384"/>
      <c r="B347" s="397"/>
      <c r="C347" s="384"/>
      <c r="D347" s="335" t="s">
        <v>114</v>
      </c>
      <c r="E347" s="335" t="s">
        <v>43</v>
      </c>
      <c r="F347" s="337">
        <f>F348</f>
        <v>80000000</v>
      </c>
      <c r="G347" s="344">
        <f>+G348</f>
        <v>0</v>
      </c>
      <c r="H347" s="344">
        <f>+H348</f>
        <v>0</v>
      </c>
      <c r="I347" s="344">
        <f t="shared" si="201"/>
        <v>0</v>
      </c>
      <c r="J347" s="344">
        <f t="shared" si="213"/>
        <v>0</v>
      </c>
      <c r="K347" s="344">
        <f t="shared" si="213"/>
        <v>0</v>
      </c>
      <c r="L347" s="344">
        <f>+J347+K347</f>
        <v>0</v>
      </c>
      <c r="M347" s="344">
        <f t="shared" si="214"/>
        <v>0</v>
      </c>
      <c r="N347" s="337">
        <f t="shared" si="215"/>
        <v>80000000</v>
      </c>
      <c r="P347" s="340"/>
      <c r="S347" s="347"/>
      <c r="T347" s="347"/>
      <c r="U347" s="382"/>
    </row>
    <row r="348" spans="1:21" s="339" customFormat="1" ht="20.25" customHeight="1" x14ac:dyDescent="0.25">
      <c r="A348" s="399"/>
      <c r="B348" s="381"/>
      <c r="C348" s="366"/>
      <c r="D348" s="367" t="s">
        <v>349</v>
      </c>
      <c r="E348" s="369" t="s">
        <v>350</v>
      </c>
      <c r="F348" s="370">
        <v>80000000</v>
      </c>
      <c r="G348" s="400"/>
      <c r="H348" s="400"/>
      <c r="I348" s="400"/>
      <c r="J348" s="371"/>
      <c r="K348" s="371"/>
      <c r="L348" s="371">
        <f t="shared" ref="L348" si="216">+J348+K348</f>
        <v>0</v>
      </c>
      <c r="M348" s="371">
        <f t="shared" si="214"/>
        <v>0</v>
      </c>
      <c r="N348" s="370">
        <f t="shared" si="215"/>
        <v>80000000</v>
      </c>
      <c r="P348" s="340"/>
      <c r="S348" s="347"/>
      <c r="T348" s="347"/>
      <c r="U348" s="342"/>
    </row>
    <row r="349" spans="1:21" s="153" customFormat="1" ht="18" customHeight="1" x14ac:dyDescent="0.25">
      <c r="A349" s="353"/>
      <c r="B349" s="355"/>
      <c r="C349" s="355"/>
      <c r="D349" s="355"/>
      <c r="E349" s="355"/>
      <c r="F349" s="356"/>
      <c r="G349" s="357"/>
      <c r="H349" s="357"/>
      <c r="I349" s="357"/>
      <c r="J349" s="357"/>
      <c r="K349" s="357"/>
      <c r="L349" s="357"/>
      <c r="M349" s="357"/>
      <c r="N349" s="356"/>
      <c r="P349" s="200"/>
      <c r="S349" s="221"/>
      <c r="T349" s="221"/>
      <c r="U349" s="254"/>
    </row>
    <row r="350" spans="1:21" s="319" customFormat="1" ht="18.75" customHeight="1" x14ac:dyDescent="0.25">
      <c r="A350" s="276"/>
      <c r="B350" s="305" t="s">
        <v>410</v>
      </c>
      <c r="C350" s="305"/>
      <c r="D350" s="305"/>
      <c r="E350" s="396" t="s">
        <v>411</v>
      </c>
      <c r="F350" s="359">
        <f>+F351+F357+F369+F375</f>
        <v>352609205400</v>
      </c>
      <c r="G350" s="308">
        <f>G351+G357+G369+G375</f>
        <v>0</v>
      </c>
      <c r="H350" s="308">
        <f>+H351+H357+H369+H375</f>
        <v>6258106200</v>
      </c>
      <c r="I350" s="360">
        <f>+G350+H350</f>
        <v>6258106200</v>
      </c>
      <c r="J350" s="308">
        <f>J351+J357+J369+J375</f>
        <v>0</v>
      </c>
      <c r="K350" s="308">
        <f>+K352</f>
        <v>0</v>
      </c>
      <c r="L350" s="360">
        <f t="shared" ref="L350:L364" si="217">+J350+K350</f>
        <v>0</v>
      </c>
      <c r="M350" s="360">
        <f t="shared" ref="M350:M364" si="218">+I350+L350</f>
        <v>6258106200</v>
      </c>
      <c r="N350" s="359">
        <f t="shared" ref="N350:N355" si="219">+F350-M350</f>
        <v>346351099200</v>
      </c>
      <c r="P350" s="361"/>
      <c r="R350" s="321"/>
      <c r="S350" s="362"/>
      <c r="T350" s="362"/>
      <c r="U350" s="350"/>
    </row>
    <row r="351" spans="1:21" s="319" customFormat="1" ht="32.25" hidden="1" customHeight="1" x14ac:dyDescent="0.25">
      <c r="A351" s="275">
        <v>21</v>
      </c>
      <c r="B351" s="314"/>
      <c r="C351" s="314" t="s">
        <v>280</v>
      </c>
      <c r="D351" s="315"/>
      <c r="E351" s="348" t="s">
        <v>279</v>
      </c>
      <c r="F351" s="317">
        <f t="shared" ref="F351:H355" si="220">+F352</f>
        <v>0</v>
      </c>
      <c r="G351" s="318">
        <f t="shared" si="220"/>
        <v>0</v>
      </c>
      <c r="H351" s="318">
        <f>+H352</f>
        <v>0</v>
      </c>
      <c r="I351" s="318">
        <f>+G351+H351</f>
        <v>0</v>
      </c>
      <c r="J351" s="318">
        <f>+J352</f>
        <v>0</v>
      </c>
      <c r="K351" s="318">
        <f>+K352</f>
        <v>0</v>
      </c>
      <c r="L351" s="318">
        <f t="shared" si="217"/>
        <v>0</v>
      </c>
      <c r="M351" s="318">
        <f>+I351+L351</f>
        <v>0</v>
      </c>
      <c r="N351" s="317">
        <f>+F351-M351</f>
        <v>0</v>
      </c>
      <c r="P351" s="320"/>
      <c r="R351" s="321"/>
      <c r="S351" s="349"/>
      <c r="T351" s="349"/>
      <c r="U351" s="350"/>
    </row>
    <row r="352" spans="1:21" s="329" customFormat="1" ht="18" hidden="1" customHeight="1" x14ac:dyDescent="0.25">
      <c r="A352" s="323"/>
      <c r="B352" s="324"/>
      <c r="C352" s="324"/>
      <c r="D352" s="325" t="s">
        <v>207</v>
      </c>
      <c r="E352" s="326" t="s">
        <v>262</v>
      </c>
      <c r="F352" s="327">
        <f t="shared" si="220"/>
        <v>0</v>
      </c>
      <c r="G352" s="328">
        <f t="shared" si="220"/>
        <v>0</v>
      </c>
      <c r="H352" s="328">
        <f t="shared" si="220"/>
        <v>0</v>
      </c>
      <c r="I352" s="328">
        <f t="shared" ref="I352:I368" si="221">+G352+H352</f>
        <v>0</v>
      </c>
      <c r="J352" s="328">
        <f>+J353</f>
        <v>0</v>
      </c>
      <c r="K352" s="328">
        <f>+K353</f>
        <v>0</v>
      </c>
      <c r="L352" s="328">
        <f t="shared" si="217"/>
        <v>0</v>
      </c>
      <c r="M352" s="328">
        <f t="shared" si="218"/>
        <v>0</v>
      </c>
      <c r="N352" s="327">
        <f t="shared" si="219"/>
        <v>0</v>
      </c>
      <c r="P352" s="330"/>
      <c r="R352" s="331"/>
      <c r="S352" s="351"/>
      <c r="T352" s="351"/>
      <c r="U352" s="333"/>
    </row>
    <row r="353" spans="1:21" s="381" customFormat="1" ht="18" hidden="1" customHeight="1" x14ac:dyDescent="0.25">
      <c r="A353" s="384"/>
      <c r="B353" s="335"/>
      <c r="C353" s="335"/>
      <c r="D353" s="335" t="s">
        <v>281</v>
      </c>
      <c r="E353" s="335" t="s">
        <v>282</v>
      </c>
      <c r="F353" s="337">
        <f t="shared" si="220"/>
        <v>0</v>
      </c>
      <c r="G353" s="338">
        <f t="shared" si="220"/>
        <v>0</v>
      </c>
      <c r="H353" s="338">
        <f t="shared" si="220"/>
        <v>0</v>
      </c>
      <c r="I353" s="338">
        <f>+G353+H353</f>
        <v>0</v>
      </c>
      <c r="J353" s="338">
        <f>+J354+J363</f>
        <v>0</v>
      </c>
      <c r="K353" s="338">
        <f>+K354+K363</f>
        <v>0</v>
      </c>
      <c r="L353" s="338">
        <f t="shared" si="217"/>
        <v>0</v>
      </c>
      <c r="M353" s="338">
        <f>+I353+L353</f>
        <v>0</v>
      </c>
      <c r="N353" s="405">
        <f t="shared" si="219"/>
        <v>0</v>
      </c>
      <c r="P353" s="340"/>
      <c r="S353" s="347"/>
      <c r="T353" s="347"/>
      <c r="U353" s="382"/>
    </row>
    <row r="354" spans="1:21" s="339" customFormat="1" ht="18" hidden="1" customHeight="1" x14ac:dyDescent="0.25">
      <c r="A354" s="334"/>
      <c r="B354" s="335"/>
      <c r="C354" s="335"/>
      <c r="D354" s="335" t="s">
        <v>283</v>
      </c>
      <c r="E354" s="336" t="s">
        <v>284</v>
      </c>
      <c r="F354" s="337">
        <f t="shared" si="220"/>
        <v>0</v>
      </c>
      <c r="G354" s="338">
        <f t="shared" si="220"/>
        <v>0</v>
      </c>
      <c r="H354" s="338">
        <f t="shared" si="220"/>
        <v>0</v>
      </c>
      <c r="I354" s="338">
        <f t="shared" si="221"/>
        <v>0</v>
      </c>
      <c r="J354" s="338">
        <f>+J355</f>
        <v>0</v>
      </c>
      <c r="K354" s="338">
        <f>+K355</f>
        <v>0</v>
      </c>
      <c r="L354" s="338">
        <f t="shared" si="217"/>
        <v>0</v>
      </c>
      <c r="M354" s="338">
        <f t="shared" si="218"/>
        <v>0</v>
      </c>
      <c r="N354" s="337">
        <f t="shared" si="219"/>
        <v>0</v>
      </c>
      <c r="P354" s="340"/>
      <c r="S354" s="347"/>
      <c r="T354" s="347"/>
      <c r="U354" s="342"/>
    </row>
    <row r="355" spans="1:21" s="339" customFormat="1" ht="31.5" hidden="1" customHeight="1" x14ac:dyDescent="0.25">
      <c r="A355" s="334"/>
      <c r="B355" s="335"/>
      <c r="C355" s="335"/>
      <c r="D355" s="335" t="s">
        <v>412</v>
      </c>
      <c r="E355" s="391" t="s">
        <v>413</v>
      </c>
      <c r="F355" s="337">
        <f t="shared" si="220"/>
        <v>0</v>
      </c>
      <c r="G355" s="344">
        <f t="shared" si="220"/>
        <v>0</v>
      </c>
      <c r="H355" s="344">
        <f t="shared" si="220"/>
        <v>0</v>
      </c>
      <c r="I355" s="344">
        <f t="shared" si="221"/>
        <v>0</v>
      </c>
      <c r="J355" s="344">
        <f>+J356</f>
        <v>0</v>
      </c>
      <c r="K355" s="344">
        <f>+K356</f>
        <v>0</v>
      </c>
      <c r="L355" s="344">
        <f t="shared" si="217"/>
        <v>0</v>
      </c>
      <c r="M355" s="344">
        <f t="shared" si="218"/>
        <v>0</v>
      </c>
      <c r="N355" s="337">
        <f t="shared" si="219"/>
        <v>0</v>
      </c>
      <c r="P355" s="340"/>
      <c r="S355" s="347"/>
      <c r="T355" s="347"/>
      <c r="U355" s="342"/>
    </row>
    <row r="356" spans="1:21" s="153" customFormat="1" ht="33.75" hidden="1" customHeight="1" x14ac:dyDescent="0.25">
      <c r="A356" s="353"/>
      <c r="B356" s="355"/>
      <c r="C356" s="355"/>
      <c r="D356" s="355" t="s">
        <v>414</v>
      </c>
      <c r="E356" s="402" t="s">
        <v>413</v>
      </c>
      <c r="F356" s="356"/>
      <c r="G356" s="406"/>
      <c r="H356" s="406"/>
      <c r="I356" s="406">
        <f t="shared" si="221"/>
        <v>0</v>
      </c>
      <c r="J356" s="357"/>
      <c r="K356" s="406"/>
      <c r="L356" s="406">
        <f t="shared" si="217"/>
        <v>0</v>
      </c>
      <c r="M356" s="406">
        <f t="shared" si="218"/>
        <v>0</v>
      </c>
      <c r="N356" s="356">
        <f>+F356-M356</f>
        <v>0</v>
      </c>
      <c r="P356" s="200"/>
      <c r="S356" s="221"/>
      <c r="T356" s="221"/>
      <c r="U356" s="254"/>
    </row>
    <row r="357" spans="1:21" s="319" customFormat="1" ht="18" customHeight="1" x14ac:dyDescent="0.25">
      <c r="A357" s="276">
        <v>21</v>
      </c>
      <c r="B357" s="305"/>
      <c r="C357" s="305" t="s">
        <v>285</v>
      </c>
      <c r="D357" s="363"/>
      <c r="E357" s="364" t="s">
        <v>286</v>
      </c>
      <c r="F357" s="307">
        <f>+F358</f>
        <v>325031788200</v>
      </c>
      <c r="G357" s="308">
        <f t="shared" ref="G357:H358" si="222">+G358</f>
        <v>0</v>
      </c>
      <c r="H357" s="308">
        <f>+H358</f>
        <v>6258106200</v>
      </c>
      <c r="I357" s="308">
        <f t="shared" si="221"/>
        <v>6258106200</v>
      </c>
      <c r="J357" s="308">
        <f t="shared" ref="J357:K358" si="223">+J358</f>
        <v>0</v>
      </c>
      <c r="K357" s="308">
        <f t="shared" si="223"/>
        <v>0</v>
      </c>
      <c r="L357" s="308">
        <f t="shared" si="217"/>
        <v>0</v>
      </c>
      <c r="M357" s="308">
        <f>+I357+L357</f>
        <v>6258106200</v>
      </c>
      <c r="N357" s="307">
        <f>+F357-M357</f>
        <v>318773682000</v>
      </c>
      <c r="P357" s="320"/>
      <c r="R357" s="321"/>
      <c r="S357" s="349"/>
      <c r="T357" s="349"/>
      <c r="U357" s="350"/>
    </row>
    <row r="358" spans="1:21" s="329" customFormat="1" ht="18" customHeight="1" x14ac:dyDescent="0.25">
      <c r="A358" s="323"/>
      <c r="B358" s="324"/>
      <c r="C358" s="324"/>
      <c r="D358" s="325" t="s">
        <v>287</v>
      </c>
      <c r="E358" s="326" t="s">
        <v>288</v>
      </c>
      <c r="F358" s="327">
        <f>+F359</f>
        <v>325031788200</v>
      </c>
      <c r="G358" s="328">
        <f t="shared" si="222"/>
        <v>0</v>
      </c>
      <c r="H358" s="328">
        <f t="shared" si="222"/>
        <v>6258106200</v>
      </c>
      <c r="I358" s="328">
        <f t="shared" si="221"/>
        <v>6258106200</v>
      </c>
      <c r="J358" s="328">
        <f t="shared" si="223"/>
        <v>0</v>
      </c>
      <c r="K358" s="328">
        <f t="shared" si="223"/>
        <v>0</v>
      </c>
      <c r="L358" s="328">
        <f t="shared" si="217"/>
        <v>0</v>
      </c>
      <c r="M358" s="328">
        <f t="shared" ref="M358" si="224">+I358+L358</f>
        <v>6258106200</v>
      </c>
      <c r="N358" s="327">
        <f t="shared" ref="N358:N366" si="225">+F358-M358</f>
        <v>318773682000</v>
      </c>
      <c r="P358" s="330"/>
      <c r="R358" s="331"/>
      <c r="S358" s="351"/>
      <c r="T358" s="351"/>
      <c r="U358" s="333"/>
    </row>
    <row r="359" spans="1:21" s="381" customFormat="1" ht="18" customHeight="1" x14ac:dyDescent="0.25">
      <c r="A359" s="384"/>
      <c r="B359" s="335"/>
      <c r="C359" s="335"/>
      <c r="D359" s="335" t="s">
        <v>289</v>
      </c>
      <c r="E359" s="335" t="s">
        <v>290</v>
      </c>
      <c r="F359" s="337">
        <f>+F363+F360</f>
        <v>325031788200</v>
      </c>
      <c r="G359" s="338">
        <f>+G363+G360</f>
        <v>0</v>
      </c>
      <c r="H359" s="338">
        <f>+H363+H360</f>
        <v>6258106200</v>
      </c>
      <c r="I359" s="338">
        <f t="shared" si="221"/>
        <v>6258106200</v>
      </c>
      <c r="J359" s="338">
        <f>+J363+J360</f>
        <v>0</v>
      </c>
      <c r="K359" s="338">
        <f>+K363+K360</f>
        <v>0</v>
      </c>
      <c r="L359" s="338">
        <f>+J359+K359</f>
        <v>0</v>
      </c>
      <c r="M359" s="338">
        <f>+I359+L359</f>
        <v>6258106200</v>
      </c>
      <c r="N359" s="405">
        <f t="shared" si="225"/>
        <v>318773682000</v>
      </c>
      <c r="P359" s="340"/>
      <c r="S359" s="347"/>
      <c r="T359" s="347"/>
      <c r="U359" s="382"/>
    </row>
    <row r="360" spans="1:21" s="339" customFormat="1" ht="18" customHeight="1" x14ac:dyDescent="0.25">
      <c r="A360" s="366"/>
      <c r="B360" s="367"/>
      <c r="C360" s="367"/>
      <c r="D360" s="367" t="s">
        <v>291</v>
      </c>
      <c r="E360" s="407" t="s">
        <v>292</v>
      </c>
      <c r="F360" s="370">
        <f t="shared" ref="F360:H361" si="226">+F361</f>
        <v>540000000</v>
      </c>
      <c r="G360" s="408">
        <f t="shared" si="226"/>
        <v>0</v>
      </c>
      <c r="H360" s="408">
        <f t="shared" si="226"/>
        <v>0</v>
      </c>
      <c r="I360" s="408">
        <f t="shared" si="221"/>
        <v>0</v>
      </c>
      <c r="J360" s="408">
        <f>+J361</f>
        <v>0</v>
      </c>
      <c r="K360" s="408">
        <f>+K361</f>
        <v>0</v>
      </c>
      <c r="L360" s="408">
        <f>+J360+K360</f>
        <v>0</v>
      </c>
      <c r="M360" s="408">
        <f>+I360+L360</f>
        <v>0</v>
      </c>
      <c r="N360" s="370">
        <f t="shared" si="225"/>
        <v>540000000</v>
      </c>
      <c r="P360" s="340"/>
      <c r="S360" s="347"/>
      <c r="T360" s="347"/>
      <c r="U360" s="342"/>
    </row>
    <row r="361" spans="1:21" s="339" customFormat="1" ht="32.25" customHeight="1" x14ac:dyDescent="0.25">
      <c r="A361" s="366"/>
      <c r="B361" s="367"/>
      <c r="C361" s="367"/>
      <c r="D361" s="367" t="s">
        <v>293</v>
      </c>
      <c r="E361" s="369" t="s">
        <v>295</v>
      </c>
      <c r="F361" s="370">
        <f t="shared" si="226"/>
        <v>540000000</v>
      </c>
      <c r="G361" s="371">
        <f t="shared" si="226"/>
        <v>0</v>
      </c>
      <c r="H361" s="371">
        <f t="shared" si="226"/>
        <v>0</v>
      </c>
      <c r="I361" s="371">
        <f t="shared" si="221"/>
        <v>0</v>
      </c>
      <c r="J361" s="371">
        <f>+J362</f>
        <v>0</v>
      </c>
      <c r="K361" s="371">
        <f>+K362</f>
        <v>0</v>
      </c>
      <c r="L361" s="371">
        <f>+J361+K361</f>
        <v>0</v>
      </c>
      <c r="M361" s="371">
        <f>+I361+L361</f>
        <v>0</v>
      </c>
      <c r="N361" s="370">
        <f t="shared" si="225"/>
        <v>540000000</v>
      </c>
      <c r="P361" s="340"/>
      <c r="S361" s="347"/>
      <c r="T361" s="347"/>
      <c r="U361" s="342"/>
    </row>
    <row r="362" spans="1:21" s="339" customFormat="1" ht="29.25" customHeight="1" x14ac:dyDescent="0.25">
      <c r="A362" s="366"/>
      <c r="B362" s="367"/>
      <c r="C362" s="367"/>
      <c r="D362" s="367" t="s">
        <v>294</v>
      </c>
      <c r="E362" s="369" t="s">
        <v>295</v>
      </c>
      <c r="F362" s="370">
        <v>540000000</v>
      </c>
      <c r="G362" s="408"/>
      <c r="H362" s="408"/>
      <c r="I362" s="408">
        <f t="shared" si="221"/>
        <v>0</v>
      </c>
      <c r="J362" s="371"/>
      <c r="K362" s="408"/>
      <c r="L362" s="408">
        <f>+J362+K362</f>
        <v>0</v>
      </c>
      <c r="M362" s="408">
        <f>+I362+L362</f>
        <v>0</v>
      </c>
      <c r="N362" s="409">
        <f t="shared" si="225"/>
        <v>540000000</v>
      </c>
      <c r="P362" s="340"/>
      <c r="S362" s="347"/>
      <c r="T362" s="347"/>
      <c r="U362" s="342"/>
    </row>
    <row r="363" spans="1:21" s="339" customFormat="1" ht="18" customHeight="1" x14ac:dyDescent="0.25">
      <c r="A363" s="334"/>
      <c r="B363" s="335"/>
      <c r="C363" s="335"/>
      <c r="D363" s="335" t="s">
        <v>296</v>
      </c>
      <c r="E363" s="336" t="s">
        <v>298</v>
      </c>
      <c r="F363" s="337">
        <f>+F364+F366</f>
        <v>324491788200</v>
      </c>
      <c r="G363" s="338">
        <f>+G364+G366</f>
        <v>0</v>
      </c>
      <c r="H363" s="338">
        <f>+H364+H366</f>
        <v>6258106200</v>
      </c>
      <c r="I363" s="338">
        <f t="shared" si="221"/>
        <v>6258106200</v>
      </c>
      <c r="J363" s="338">
        <f>+J364+J366</f>
        <v>0</v>
      </c>
      <c r="K363" s="338">
        <f>+K364+K366</f>
        <v>0</v>
      </c>
      <c r="L363" s="338">
        <f t="shared" si="217"/>
        <v>0</v>
      </c>
      <c r="M363" s="338">
        <f t="shared" si="218"/>
        <v>6258106200</v>
      </c>
      <c r="N363" s="337">
        <f t="shared" si="225"/>
        <v>318233682000</v>
      </c>
      <c r="P363" s="340"/>
      <c r="S363" s="347"/>
      <c r="T363" s="347"/>
      <c r="U363" s="342"/>
    </row>
    <row r="364" spans="1:21" s="339" customFormat="1" ht="32.25" customHeight="1" x14ac:dyDescent="0.25">
      <c r="A364" s="334"/>
      <c r="B364" s="335"/>
      <c r="C364" s="335"/>
      <c r="D364" s="335" t="s">
        <v>297</v>
      </c>
      <c r="E364" s="391" t="s">
        <v>300</v>
      </c>
      <c r="F364" s="337">
        <f>F365</f>
        <v>268985638200</v>
      </c>
      <c r="G364" s="344">
        <f>+G365</f>
        <v>0</v>
      </c>
      <c r="H364" s="344">
        <f>+H365</f>
        <v>6258106200</v>
      </c>
      <c r="I364" s="338">
        <f t="shared" si="221"/>
        <v>6258106200</v>
      </c>
      <c r="J364" s="344">
        <f>+J365</f>
        <v>0</v>
      </c>
      <c r="K364" s="344">
        <f>+K365</f>
        <v>0</v>
      </c>
      <c r="L364" s="338">
        <f t="shared" si="217"/>
        <v>0</v>
      </c>
      <c r="M364" s="344">
        <f t="shared" si="218"/>
        <v>6258106200</v>
      </c>
      <c r="N364" s="337">
        <f t="shared" si="225"/>
        <v>262727532000</v>
      </c>
      <c r="P364" s="340"/>
      <c r="S364" s="347"/>
      <c r="T364" s="347"/>
      <c r="U364" s="342"/>
    </row>
    <row r="365" spans="1:21" s="339" customFormat="1" ht="29.25" customHeight="1" x14ac:dyDescent="0.25">
      <c r="A365" s="334"/>
      <c r="B365" s="335"/>
      <c r="C365" s="335"/>
      <c r="D365" s="335" t="s">
        <v>299</v>
      </c>
      <c r="E365" s="391" t="s">
        <v>300</v>
      </c>
      <c r="F365" s="337">
        <v>268985638200</v>
      </c>
      <c r="G365" s="338"/>
      <c r="H365" s="338">
        <v>6258106200</v>
      </c>
      <c r="I365" s="338">
        <f t="shared" si="221"/>
        <v>6258106200</v>
      </c>
      <c r="J365" s="344"/>
      <c r="K365" s="338"/>
      <c r="L365" s="338">
        <f>J365+K365</f>
        <v>0</v>
      </c>
      <c r="M365" s="338">
        <f>+I365+L365</f>
        <v>6258106200</v>
      </c>
      <c r="N365" s="405">
        <f t="shared" si="225"/>
        <v>262727532000</v>
      </c>
      <c r="P365" s="340"/>
      <c r="S365" s="345"/>
      <c r="T365" s="455">
        <v>6258106200</v>
      </c>
      <c r="U365" s="342"/>
    </row>
    <row r="366" spans="1:21" s="339" customFormat="1" ht="32.25" customHeight="1" x14ac:dyDescent="0.25">
      <c r="A366" s="334"/>
      <c r="B366" s="335"/>
      <c r="C366" s="335"/>
      <c r="D366" s="335" t="s">
        <v>301</v>
      </c>
      <c r="E366" s="391" t="s">
        <v>303</v>
      </c>
      <c r="F366" s="337">
        <f>F367+F368</f>
        <v>55506150000</v>
      </c>
      <c r="G366" s="344">
        <f>+G367</f>
        <v>0</v>
      </c>
      <c r="H366" s="338">
        <f>+H367</f>
        <v>0</v>
      </c>
      <c r="I366" s="338">
        <f>+G366+H366</f>
        <v>0</v>
      </c>
      <c r="J366" s="344">
        <f>+J367</f>
        <v>0</v>
      </c>
      <c r="K366" s="344">
        <f>+K367</f>
        <v>0</v>
      </c>
      <c r="L366" s="344">
        <f>+J366+K366</f>
        <v>0</v>
      </c>
      <c r="M366" s="344">
        <f t="shared" ref="M366" si="227">+I366+L366</f>
        <v>0</v>
      </c>
      <c r="N366" s="337">
        <f t="shared" si="225"/>
        <v>55506150000</v>
      </c>
      <c r="P366" s="340"/>
      <c r="S366" s="345"/>
      <c r="T366" s="345"/>
      <c r="U366" s="342"/>
    </row>
    <row r="367" spans="1:21" s="153" customFormat="1" ht="29.25" customHeight="1" x14ac:dyDescent="0.25">
      <c r="A367" s="353"/>
      <c r="B367" s="355"/>
      <c r="C367" s="355"/>
      <c r="D367" s="355" t="s">
        <v>480</v>
      </c>
      <c r="E367" s="402" t="s">
        <v>481</v>
      </c>
      <c r="F367" s="356">
        <v>70000000</v>
      </c>
      <c r="G367" s="406"/>
      <c r="H367" s="406"/>
      <c r="I367" s="406">
        <f t="shared" si="221"/>
        <v>0</v>
      </c>
      <c r="J367" s="357"/>
      <c r="K367" s="406"/>
      <c r="L367" s="406">
        <f>J367+K367</f>
        <v>0</v>
      </c>
      <c r="M367" s="406">
        <f>+I367+L367</f>
        <v>0</v>
      </c>
      <c r="N367" s="405">
        <f>+F367-M367</f>
        <v>70000000</v>
      </c>
      <c r="P367" s="200"/>
      <c r="S367" s="410"/>
      <c r="T367" s="410"/>
      <c r="U367" s="254"/>
    </row>
    <row r="368" spans="1:21" s="153" customFormat="1" ht="29.25" customHeight="1" x14ac:dyDescent="0.25">
      <c r="A368" s="353"/>
      <c r="B368" s="355"/>
      <c r="C368" s="355"/>
      <c r="D368" s="355" t="s">
        <v>482</v>
      </c>
      <c r="E368" s="402" t="s">
        <v>483</v>
      </c>
      <c r="F368" s="356">
        <v>55436150000</v>
      </c>
      <c r="G368" s="406"/>
      <c r="H368" s="406"/>
      <c r="I368" s="406">
        <f t="shared" si="221"/>
        <v>0</v>
      </c>
      <c r="J368" s="357"/>
      <c r="K368" s="406"/>
      <c r="L368" s="406">
        <f>J368+K368</f>
        <v>0</v>
      </c>
      <c r="M368" s="406">
        <f>+I368+L368</f>
        <v>0</v>
      </c>
      <c r="N368" s="405">
        <f>+F368-M368</f>
        <v>55436150000</v>
      </c>
      <c r="P368" s="200"/>
      <c r="S368" s="410"/>
      <c r="T368" s="410"/>
      <c r="U368" s="254"/>
    </row>
    <row r="369" spans="1:21" s="319" customFormat="1" ht="18" customHeight="1" x14ac:dyDescent="0.25">
      <c r="A369" s="276">
        <v>22</v>
      </c>
      <c r="B369" s="305"/>
      <c r="C369" s="305" t="s">
        <v>304</v>
      </c>
      <c r="D369" s="363"/>
      <c r="E369" s="364" t="s">
        <v>305</v>
      </c>
      <c r="F369" s="307">
        <f t="shared" ref="F369:H372" si="228">+F370</f>
        <v>8000000000</v>
      </c>
      <c r="G369" s="308">
        <f t="shared" si="228"/>
        <v>0</v>
      </c>
      <c r="H369" s="308">
        <f t="shared" si="228"/>
        <v>0</v>
      </c>
      <c r="I369" s="308">
        <f>+G369+H369</f>
        <v>0</v>
      </c>
      <c r="J369" s="308">
        <f t="shared" ref="J369:K373" si="229">+J370</f>
        <v>0</v>
      </c>
      <c r="K369" s="308">
        <f t="shared" si="229"/>
        <v>0</v>
      </c>
      <c r="L369" s="308">
        <f>+J369+K369</f>
        <v>0</v>
      </c>
      <c r="M369" s="308">
        <f>+I369+L369</f>
        <v>0</v>
      </c>
      <c r="N369" s="307">
        <f>+F369-M369</f>
        <v>8000000000</v>
      </c>
      <c r="P369" s="320"/>
      <c r="R369" s="321"/>
      <c r="S369" s="411"/>
      <c r="T369" s="411"/>
      <c r="U369" s="350"/>
    </row>
    <row r="370" spans="1:21" s="329" customFormat="1" ht="18" customHeight="1" x14ac:dyDescent="0.25">
      <c r="A370" s="323"/>
      <c r="B370" s="324"/>
      <c r="C370" s="324"/>
      <c r="D370" s="325" t="s">
        <v>306</v>
      </c>
      <c r="E370" s="326" t="s">
        <v>307</v>
      </c>
      <c r="F370" s="327">
        <f t="shared" si="228"/>
        <v>8000000000</v>
      </c>
      <c r="G370" s="328">
        <f t="shared" si="228"/>
        <v>0</v>
      </c>
      <c r="H370" s="328">
        <f t="shared" si="228"/>
        <v>0</v>
      </c>
      <c r="I370" s="328">
        <f>+G370+H370</f>
        <v>0</v>
      </c>
      <c r="J370" s="328">
        <f t="shared" si="229"/>
        <v>0</v>
      </c>
      <c r="K370" s="328">
        <f t="shared" si="229"/>
        <v>0</v>
      </c>
      <c r="L370" s="328">
        <f>+J370+K370</f>
        <v>0</v>
      </c>
      <c r="M370" s="328">
        <f t="shared" ref="M370:M373" si="230">+I370+L370</f>
        <v>0</v>
      </c>
      <c r="N370" s="327">
        <f t="shared" ref="N370:N373" si="231">+F370-M370</f>
        <v>8000000000</v>
      </c>
      <c r="P370" s="330"/>
      <c r="R370" s="331"/>
      <c r="S370" s="332"/>
      <c r="T370" s="332"/>
      <c r="U370" s="333"/>
    </row>
    <row r="371" spans="1:21" s="381" customFormat="1" ht="18" customHeight="1" x14ac:dyDescent="0.25">
      <c r="A371" s="384"/>
      <c r="B371" s="335"/>
      <c r="C371" s="335"/>
      <c r="D371" s="335" t="s">
        <v>308</v>
      </c>
      <c r="E371" s="335" t="s">
        <v>307</v>
      </c>
      <c r="F371" s="337">
        <f t="shared" si="228"/>
        <v>8000000000</v>
      </c>
      <c r="G371" s="338">
        <f t="shared" si="228"/>
        <v>0</v>
      </c>
      <c r="H371" s="338">
        <f t="shared" si="228"/>
        <v>0</v>
      </c>
      <c r="I371" s="338">
        <f>+G371+H371</f>
        <v>0</v>
      </c>
      <c r="J371" s="338">
        <f t="shared" si="229"/>
        <v>0</v>
      </c>
      <c r="K371" s="338">
        <f t="shared" si="229"/>
        <v>0</v>
      </c>
      <c r="L371" s="338">
        <f>+J371+K371</f>
        <v>0</v>
      </c>
      <c r="M371" s="338">
        <f t="shared" si="230"/>
        <v>0</v>
      </c>
      <c r="N371" s="405">
        <f t="shared" si="231"/>
        <v>8000000000</v>
      </c>
      <c r="P371" s="340"/>
      <c r="S371" s="412"/>
      <c r="T371" s="412"/>
      <c r="U371" s="382"/>
    </row>
    <row r="372" spans="1:21" s="339" customFormat="1" ht="18" customHeight="1" x14ac:dyDescent="0.25">
      <c r="A372" s="334"/>
      <c r="B372" s="335"/>
      <c r="C372" s="335"/>
      <c r="D372" s="335" t="s">
        <v>309</v>
      </c>
      <c r="E372" s="336" t="s">
        <v>307</v>
      </c>
      <c r="F372" s="337">
        <f t="shared" si="228"/>
        <v>8000000000</v>
      </c>
      <c r="G372" s="338">
        <f t="shared" si="228"/>
        <v>0</v>
      </c>
      <c r="H372" s="338">
        <f t="shared" si="228"/>
        <v>0</v>
      </c>
      <c r="I372" s="338">
        <f>+G372+H372</f>
        <v>0</v>
      </c>
      <c r="J372" s="338">
        <f t="shared" si="229"/>
        <v>0</v>
      </c>
      <c r="K372" s="338">
        <f t="shared" si="229"/>
        <v>0</v>
      </c>
      <c r="L372" s="338">
        <f>+J372+K372</f>
        <v>0</v>
      </c>
      <c r="M372" s="338">
        <f t="shared" si="230"/>
        <v>0</v>
      </c>
      <c r="N372" s="337">
        <f t="shared" si="231"/>
        <v>8000000000</v>
      </c>
      <c r="P372" s="340"/>
      <c r="S372" s="341"/>
      <c r="T372" s="341"/>
      <c r="U372" s="342"/>
    </row>
    <row r="373" spans="1:21" s="339" customFormat="1" ht="17.25" customHeight="1" x14ac:dyDescent="0.25">
      <c r="A373" s="334"/>
      <c r="B373" s="335"/>
      <c r="C373" s="335"/>
      <c r="D373" s="335" t="s">
        <v>310</v>
      </c>
      <c r="E373" s="391" t="s">
        <v>307</v>
      </c>
      <c r="F373" s="337">
        <f>F374</f>
        <v>8000000000</v>
      </c>
      <c r="G373" s="344">
        <f>+G374</f>
        <v>0</v>
      </c>
      <c r="H373" s="344">
        <f>+H374</f>
        <v>0</v>
      </c>
      <c r="I373" s="338">
        <f>+G373+H373</f>
        <v>0</v>
      </c>
      <c r="J373" s="344">
        <f t="shared" si="229"/>
        <v>0</v>
      </c>
      <c r="K373" s="344">
        <f t="shared" si="229"/>
        <v>0</v>
      </c>
      <c r="L373" s="338">
        <f>+J373+K373</f>
        <v>0</v>
      </c>
      <c r="M373" s="344">
        <f t="shared" si="230"/>
        <v>0</v>
      </c>
      <c r="N373" s="337">
        <f t="shared" si="231"/>
        <v>8000000000</v>
      </c>
      <c r="P373" s="340"/>
      <c r="S373" s="345"/>
      <c r="T373" s="345"/>
      <c r="U373" s="342"/>
    </row>
    <row r="374" spans="1:21" s="153" customFormat="1" ht="20.25" customHeight="1" x14ac:dyDescent="0.25">
      <c r="A374" s="353"/>
      <c r="B374" s="355"/>
      <c r="C374" s="355"/>
      <c r="D374" s="355" t="s">
        <v>311</v>
      </c>
      <c r="E374" s="402" t="s">
        <v>307</v>
      </c>
      <c r="F374" s="356">
        <v>8000000000</v>
      </c>
      <c r="G374" s="406"/>
      <c r="H374" s="406"/>
      <c r="I374" s="406">
        <f t="shared" ref="I374:I383" si="232">+G374+H374</f>
        <v>0</v>
      </c>
      <c r="J374" s="357"/>
      <c r="K374" s="406"/>
      <c r="L374" s="406">
        <f>J374+K374</f>
        <v>0</v>
      </c>
      <c r="M374" s="406">
        <f>+I374+L374</f>
        <v>0</v>
      </c>
      <c r="N374" s="405">
        <f>+F374-M374</f>
        <v>8000000000</v>
      </c>
      <c r="P374" s="200"/>
      <c r="S374" s="410"/>
      <c r="T374" s="410"/>
      <c r="U374" s="254"/>
    </row>
    <row r="375" spans="1:21" s="319" customFormat="1" ht="18" customHeight="1" x14ac:dyDescent="0.25">
      <c r="A375" s="276">
        <v>23</v>
      </c>
      <c r="B375" s="305"/>
      <c r="C375" s="305" t="s">
        <v>320</v>
      </c>
      <c r="D375" s="363"/>
      <c r="E375" s="364" t="s">
        <v>312</v>
      </c>
      <c r="F375" s="307">
        <f t="shared" ref="F375:H376" si="233">+F376</f>
        <v>19577417200</v>
      </c>
      <c r="G375" s="308">
        <f t="shared" si="233"/>
        <v>0</v>
      </c>
      <c r="H375" s="308">
        <f t="shared" si="233"/>
        <v>0</v>
      </c>
      <c r="I375" s="308">
        <f t="shared" si="232"/>
        <v>0</v>
      </c>
      <c r="J375" s="308">
        <f>+J376</f>
        <v>0</v>
      </c>
      <c r="K375" s="308">
        <f>+K376</f>
        <v>0</v>
      </c>
      <c r="L375" s="308">
        <f>+J375+K375</f>
        <v>0</v>
      </c>
      <c r="M375" s="308">
        <f>+I375+L375</f>
        <v>0</v>
      </c>
      <c r="N375" s="307">
        <f>+F375-M375</f>
        <v>19577417200</v>
      </c>
      <c r="P375" s="320"/>
      <c r="R375" s="321"/>
      <c r="S375" s="411"/>
      <c r="T375" s="411"/>
      <c r="U375" s="350"/>
    </row>
    <row r="376" spans="1:21" s="329" customFormat="1" ht="18" customHeight="1" x14ac:dyDescent="0.25">
      <c r="A376" s="323"/>
      <c r="B376" s="324"/>
      <c r="C376" s="324"/>
      <c r="D376" s="325" t="s">
        <v>287</v>
      </c>
      <c r="E376" s="326" t="s">
        <v>288</v>
      </c>
      <c r="F376" s="327">
        <f t="shared" si="233"/>
        <v>19577417200</v>
      </c>
      <c r="G376" s="328">
        <f t="shared" si="233"/>
        <v>0</v>
      </c>
      <c r="H376" s="328">
        <f t="shared" si="233"/>
        <v>0</v>
      </c>
      <c r="I376" s="328">
        <f t="shared" si="232"/>
        <v>0</v>
      </c>
      <c r="J376" s="328">
        <f>+J377</f>
        <v>0</v>
      </c>
      <c r="K376" s="328">
        <f>+K377</f>
        <v>0</v>
      </c>
      <c r="L376" s="328">
        <f>+J376+K376</f>
        <v>0</v>
      </c>
      <c r="M376" s="328">
        <f t="shared" ref="M376:M379" si="234">+I376+L376</f>
        <v>0</v>
      </c>
      <c r="N376" s="327">
        <f t="shared" ref="N376:N379" si="235">+F376-M376</f>
        <v>19577417200</v>
      </c>
      <c r="P376" s="330"/>
      <c r="R376" s="331"/>
      <c r="S376" s="332"/>
      <c r="T376" s="332"/>
      <c r="U376" s="333"/>
    </row>
    <row r="377" spans="1:21" s="381" customFormat="1" ht="18" customHeight="1" x14ac:dyDescent="0.25">
      <c r="A377" s="384"/>
      <c r="B377" s="335"/>
      <c r="C377" s="335"/>
      <c r="D377" s="335" t="s">
        <v>313</v>
      </c>
      <c r="E377" s="335" t="s">
        <v>415</v>
      </c>
      <c r="F377" s="337">
        <f>+F378+F381</f>
        <v>19577417200</v>
      </c>
      <c r="G377" s="338">
        <f>+G378+G381</f>
        <v>0</v>
      </c>
      <c r="H377" s="338">
        <f>+H378+H381</f>
        <v>0</v>
      </c>
      <c r="I377" s="338">
        <f t="shared" si="232"/>
        <v>0</v>
      </c>
      <c r="J377" s="338">
        <f>+J378+J381</f>
        <v>0</v>
      </c>
      <c r="K377" s="338">
        <f>+K378+K381</f>
        <v>0</v>
      </c>
      <c r="L377" s="338">
        <f>+J377+K377</f>
        <v>0</v>
      </c>
      <c r="M377" s="338">
        <f t="shared" si="234"/>
        <v>0</v>
      </c>
      <c r="N377" s="405">
        <f t="shared" si="235"/>
        <v>19577417200</v>
      </c>
      <c r="P377" s="340"/>
      <c r="S377" s="412"/>
      <c r="T377" s="412"/>
      <c r="U377" s="382"/>
    </row>
    <row r="378" spans="1:21" s="339" customFormat="1" ht="31.5" customHeight="1" x14ac:dyDescent="0.25">
      <c r="A378" s="334"/>
      <c r="B378" s="335"/>
      <c r="C378" s="335"/>
      <c r="D378" s="335" t="s">
        <v>314</v>
      </c>
      <c r="E378" s="413" t="s">
        <v>416</v>
      </c>
      <c r="F378" s="337">
        <f>+F379</f>
        <v>18835000000</v>
      </c>
      <c r="G378" s="338">
        <f>+G379</f>
        <v>0</v>
      </c>
      <c r="H378" s="338">
        <f>+H379</f>
        <v>0</v>
      </c>
      <c r="I378" s="338">
        <f t="shared" si="232"/>
        <v>0</v>
      </c>
      <c r="J378" s="338">
        <f>+J379</f>
        <v>0</v>
      </c>
      <c r="K378" s="338">
        <f>+K379</f>
        <v>0</v>
      </c>
      <c r="L378" s="338">
        <f>+J378+K378</f>
        <v>0</v>
      </c>
      <c r="M378" s="338">
        <f t="shared" si="234"/>
        <v>0</v>
      </c>
      <c r="N378" s="337">
        <f t="shared" si="235"/>
        <v>18835000000</v>
      </c>
      <c r="P378" s="340"/>
      <c r="S378" s="341"/>
      <c r="T378" s="341"/>
      <c r="U378" s="342"/>
    </row>
    <row r="379" spans="1:21" s="339" customFormat="1" ht="17.25" customHeight="1" x14ac:dyDescent="0.25">
      <c r="A379" s="334"/>
      <c r="B379" s="335"/>
      <c r="C379" s="335"/>
      <c r="D379" s="335" t="s">
        <v>315</v>
      </c>
      <c r="E379" s="391" t="s">
        <v>417</v>
      </c>
      <c r="F379" s="337">
        <f>F380</f>
        <v>18835000000</v>
      </c>
      <c r="G379" s="344">
        <f>+G380</f>
        <v>0</v>
      </c>
      <c r="H379" s="344">
        <f>+H380</f>
        <v>0</v>
      </c>
      <c r="I379" s="338">
        <f t="shared" si="232"/>
        <v>0</v>
      </c>
      <c r="J379" s="344">
        <f>+J380</f>
        <v>0</v>
      </c>
      <c r="K379" s="344">
        <f>+K380</f>
        <v>0</v>
      </c>
      <c r="L379" s="338">
        <f>+J379+K379</f>
        <v>0</v>
      </c>
      <c r="M379" s="344">
        <f t="shared" si="234"/>
        <v>0</v>
      </c>
      <c r="N379" s="337">
        <f t="shared" si="235"/>
        <v>18835000000</v>
      </c>
      <c r="P379" s="340"/>
      <c r="S379" s="345"/>
      <c r="T379" s="345"/>
      <c r="U379" s="342"/>
    </row>
    <row r="380" spans="1:21" s="339" customFormat="1" ht="20.25" customHeight="1" x14ac:dyDescent="0.25">
      <c r="A380" s="334"/>
      <c r="B380" s="335"/>
      <c r="C380" s="335"/>
      <c r="D380" s="335" t="s">
        <v>316</v>
      </c>
      <c r="E380" s="391" t="s">
        <v>417</v>
      </c>
      <c r="F380" s="337">
        <v>18835000000</v>
      </c>
      <c r="G380" s="338"/>
      <c r="H380" s="338"/>
      <c r="I380" s="338">
        <f t="shared" si="232"/>
        <v>0</v>
      </c>
      <c r="J380" s="344"/>
      <c r="K380" s="338"/>
      <c r="L380" s="338">
        <f>J380+K380</f>
        <v>0</v>
      </c>
      <c r="M380" s="338">
        <f>+I380+L380</f>
        <v>0</v>
      </c>
      <c r="N380" s="405">
        <f>+F380-M380</f>
        <v>18835000000</v>
      </c>
      <c r="P380" s="340"/>
      <c r="S380" s="345"/>
      <c r="T380" s="345"/>
      <c r="U380" s="342"/>
    </row>
    <row r="381" spans="1:21" s="339" customFormat="1" ht="20.25" customHeight="1" x14ac:dyDescent="0.25">
      <c r="A381" s="334"/>
      <c r="B381" s="335"/>
      <c r="C381" s="335"/>
      <c r="D381" s="335" t="s">
        <v>317</v>
      </c>
      <c r="E381" s="413" t="s">
        <v>418</v>
      </c>
      <c r="F381" s="337">
        <f>+F382</f>
        <v>742417200</v>
      </c>
      <c r="G381" s="338">
        <f>+G382</f>
        <v>0</v>
      </c>
      <c r="H381" s="338">
        <f>+H382</f>
        <v>0</v>
      </c>
      <c r="I381" s="338">
        <f t="shared" si="232"/>
        <v>0</v>
      </c>
      <c r="J381" s="338">
        <f>+J382</f>
        <v>0</v>
      </c>
      <c r="K381" s="338">
        <f>+K382</f>
        <v>0</v>
      </c>
      <c r="L381" s="338">
        <f>+J381+K381</f>
        <v>0</v>
      </c>
      <c r="M381" s="338">
        <f t="shared" ref="M381:M382" si="236">+I381+L381</f>
        <v>0</v>
      </c>
      <c r="N381" s="337">
        <f t="shared" ref="N381:N382" si="237">+F381-M381</f>
        <v>742417200</v>
      </c>
      <c r="P381" s="340"/>
      <c r="S381" s="341"/>
      <c r="T381" s="341"/>
      <c r="U381" s="342"/>
    </row>
    <row r="382" spans="1:21" s="339" customFormat="1" ht="17.25" customHeight="1" x14ac:dyDescent="0.25">
      <c r="A382" s="334"/>
      <c r="B382" s="335"/>
      <c r="C382" s="335"/>
      <c r="D382" s="335" t="s">
        <v>318</v>
      </c>
      <c r="E382" s="391" t="s">
        <v>418</v>
      </c>
      <c r="F382" s="337">
        <f>F383</f>
        <v>742417200</v>
      </c>
      <c r="G382" s="344">
        <f>+G383</f>
        <v>0</v>
      </c>
      <c r="H382" s="344">
        <f>+H383</f>
        <v>0</v>
      </c>
      <c r="I382" s="338">
        <f t="shared" si="232"/>
        <v>0</v>
      </c>
      <c r="J382" s="344">
        <f>+J383</f>
        <v>0</v>
      </c>
      <c r="K382" s="344">
        <f>+K383</f>
        <v>0</v>
      </c>
      <c r="L382" s="338">
        <f>+J382+K382</f>
        <v>0</v>
      </c>
      <c r="M382" s="344">
        <f t="shared" si="236"/>
        <v>0</v>
      </c>
      <c r="N382" s="337">
        <f t="shared" si="237"/>
        <v>742417200</v>
      </c>
      <c r="P382" s="340"/>
      <c r="S382" s="345"/>
      <c r="T382" s="345"/>
      <c r="U382" s="342"/>
    </row>
    <row r="383" spans="1:21" ht="20.25" customHeight="1" x14ac:dyDescent="0.25">
      <c r="A383" s="301"/>
      <c r="B383" s="414"/>
      <c r="C383" s="414"/>
      <c r="D383" s="414" t="s">
        <v>319</v>
      </c>
      <c r="E383" s="415" t="s">
        <v>418</v>
      </c>
      <c r="F383" s="416">
        <v>742417200</v>
      </c>
      <c r="G383" s="417"/>
      <c r="H383" s="417"/>
      <c r="I383" s="417">
        <f t="shared" si="232"/>
        <v>0</v>
      </c>
      <c r="J383" s="35"/>
      <c r="K383" s="417"/>
      <c r="L383" s="417">
        <f>J383+K383</f>
        <v>0</v>
      </c>
      <c r="M383" s="417">
        <f>+I383+L383</f>
        <v>0</v>
      </c>
      <c r="N383" s="418">
        <f>+F383-M383</f>
        <v>742417200</v>
      </c>
      <c r="S383" s="419"/>
      <c r="T383" s="419"/>
      <c r="U383" s="420"/>
    </row>
    <row r="384" spans="1:21" ht="18" customHeight="1" x14ac:dyDescent="0.25">
      <c r="A384" s="302"/>
      <c r="B384" s="421"/>
      <c r="C384" s="421"/>
      <c r="D384" s="421"/>
      <c r="E384" s="421"/>
      <c r="F384" s="422"/>
      <c r="G384" s="423"/>
      <c r="H384" s="423"/>
      <c r="I384" s="423"/>
      <c r="J384" s="423"/>
      <c r="K384" s="423"/>
      <c r="L384" s="423"/>
      <c r="M384" s="423"/>
      <c r="N384" s="422"/>
      <c r="U384" s="420"/>
    </row>
    <row r="385" spans="1:21" ht="18" customHeight="1" x14ac:dyDescent="0.25">
      <c r="A385" s="301"/>
      <c r="B385" s="414"/>
      <c r="C385" s="414"/>
      <c r="D385" s="414"/>
      <c r="E385" s="414" t="s">
        <v>41</v>
      </c>
      <c r="F385" s="35"/>
      <c r="G385" s="35"/>
      <c r="H385" s="35"/>
      <c r="I385" s="35"/>
      <c r="J385" s="35"/>
      <c r="K385" s="35"/>
      <c r="L385" s="35"/>
      <c r="M385" s="35"/>
      <c r="N385" s="416"/>
      <c r="U385" s="420"/>
    </row>
    <row r="386" spans="1:21" ht="18" customHeight="1" x14ac:dyDescent="0.25">
      <c r="A386" s="301"/>
      <c r="B386" s="414"/>
      <c r="C386" s="414"/>
      <c r="D386" s="414"/>
      <c r="E386" s="414" t="s">
        <v>21</v>
      </c>
      <c r="F386" s="35"/>
      <c r="G386" s="35">
        <f>+G17</f>
        <v>3650670167</v>
      </c>
      <c r="H386" s="35">
        <f>+H17</f>
        <v>9782812369</v>
      </c>
      <c r="I386" s="35">
        <f>+I17</f>
        <v>13433482536</v>
      </c>
      <c r="J386" s="35">
        <f>+J17</f>
        <v>114284700</v>
      </c>
      <c r="K386" s="35">
        <f>+K17</f>
        <v>345746731</v>
      </c>
      <c r="L386" s="35">
        <f t="shared" ref="L386:L391" si="238">+J386+K386</f>
        <v>460031431</v>
      </c>
      <c r="M386" s="35">
        <f>+I386+L386</f>
        <v>13893513967</v>
      </c>
      <c r="N386" s="416"/>
      <c r="U386" s="420"/>
    </row>
    <row r="387" spans="1:21" ht="18" customHeight="1" x14ac:dyDescent="0.25">
      <c r="A387" s="301"/>
      <c r="B387" s="414"/>
      <c r="C387" s="414"/>
      <c r="D387" s="414"/>
      <c r="E387" s="414" t="s">
        <v>42</v>
      </c>
      <c r="F387" s="35"/>
      <c r="G387" s="35">
        <f>+SUM(G388:G401)</f>
        <v>69770614</v>
      </c>
      <c r="H387" s="35">
        <f>+SUM(H388:H401)</f>
        <v>146259456</v>
      </c>
      <c r="I387" s="35">
        <f>+G387+H387</f>
        <v>216030070</v>
      </c>
      <c r="J387" s="35">
        <f>+SUM(J388:J401)</f>
        <v>2165454</v>
      </c>
      <c r="K387" s="35">
        <f>+SUM(K388:K401)</f>
        <v>11391265</v>
      </c>
      <c r="L387" s="35">
        <f>+J387+K387</f>
        <v>13556719</v>
      </c>
      <c r="M387" s="424">
        <f>+I387+L387</f>
        <v>229586789</v>
      </c>
      <c r="N387" s="416"/>
      <c r="P387" s="294">
        <f>+M386+M387</f>
        <v>14123100756</v>
      </c>
      <c r="U387" s="420"/>
    </row>
    <row r="388" spans="1:21" ht="18" customHeight="1" x14ac:dyDescent="0.25">
      <c r="A388" s="301"/>
      <c r="B388" s="414"/>
      <c r="C388" s="414"/>
      <c r="D388" s="414"/>
      <c r="E388" s="425" t="s">
        <v>24</v>
      </c>
      <c r="F388" s="35"/>
      <c r="G388" s="35">
        <v>0</v>
      </c>
      <c r="H388" s="35">
        <v>1563375</v>
      </c>
      <c r="I388" s="35">
        <f>+G388+H388</f>
        <v>1563375</v>
      </c>
      <c r="J388" s="35">
        <v>1804545</v>
      </c>
      <c r="K388" s="35">
        <f>1804545+241802+281937+205631+1672297+541854+748644</f>
        <v>5496710</v>
      </c>
      <c r="L388" s="35">
        <f t="shared" si="238"/>
        <v>7301255</v>
      </c>
      <c r="M388" s="35">
        <f t="shared" ref="M388:M391" si="239">+I388+L388</f>
        <v>8864630</v>
      </c>
      <c r="N388" s="416"/>
      <c r="U388" s="420"/>
    </row>
    <row r="389" spans="1:21" ht="18" customHeight="1" x14ac:dyDescent="0.25">
      <c r="A389" s="301"/>
      <c r="B389" s="414"/>
      <c r="C389" s="414"/>
      <c r="D389" s="414"/>
      <c r="E389" s="425" t="s">
        <v>22</v>
      </c>
      <c r="F389" s="35"/>
      <c r="G389" s="35">
        <v>22804617</v>
      </c>
      <c r="H389" s="35">
        <f>277647</f>
        <v>277647</v>
      </c>
      <c r="I389" s="35">
        <f>+G389+H389</f>
        <v>23082264</v>
      </c>
      <c r="J389" s="35">
        <v>0</v>
      </c>
      <c r="K389" s="35"/>
      <c r="L389" s="35">
        <f t="shared" si="238"/>
        <v>0</v>
      </c>
      <c r="M389" s="35">
        <f t="shared" si="239"/>
        <v>23082264</v>
      </c>
      <c r="N389" s="416"/>
      <c r="U389" s="420"/>
    </row>
    <row r="390" spans="1:21" ht="18" customHeight="1" x14ac:dyDescent="0.25">
      <c r="A390" s="299"/>
      <c r="B390" s="426"/>
      <c r="C390" s="426"/>
      <c r="D390" s="426"/>
      <c r="E390" s="427" t="s">
        <v>25</v>
      </c>
      <c r="F390" s="236"/>
      <c r="G390" s="236">
        <v>0</v>
      </c>
      <c r="H390" s="236"/>
      <c r="I390" s="236">
        <f>+G390+H390</f>
        <v>0</v>
      </c>
      <c r="J390" s="236">
        <v>0</v>
      </c>
      <c r="K390" s="236">
        <f>187500+234000+37500+37500+50250+30000+22500+228041+98519+102088</f>
        <v>1027898</v>
      </c>
      <c r="L390" s="236">
        <f t="shared" si="238"/>
        <v>1027898</v>
      </c>
      <c r="M390" s="236">
        <f t="shared" si="239"/>
        <v>1027898</v>
      </c>
      <c r="N390" s="428"/>
      <c r="Q390" s="298"/>
      <c r="U390" s="420"/>
    </row>
    <row r="391" spans="1:21" ht="18" customHeight="1" x14ac:dyDescent="0.25">
      <c r="A391" s="301"/>
      <c r="B391" s="414"/>
      <c r="C391" s="414"/>
      <c r="D391" s="414"/>
      <c r="E391" s="425" t="s">
        <v>26</v>
      </c>
      <c r="F391" s="35"/>
      <c r="G391" s="35">
        <v>0</v>
      </c>
      <c r="H391" s="35">
        <v>2842500</v>
      </c>
      <c r="I391" s="35">
        <f>+G391+H391</f>
        <v>2842500</v>
      </c>
      <c r="J391" s="35">
        <v>360909</v>
      </c>
      <c r="K391" s="35">
        <f>35200+37100+37200+360909+48800+35000+28800+51261+37387</f>
        <v>671657</v>
      </c>
      <c r="L391" s="35">
        <f t="shared" si="238"/>
        <v>1032566</v>
      </c>
      <c r="M391" s="35">
        <f t="shared" si="239"/>
        <v>3875066</v>
      </c>
      <c r="N391" s="416"/>
      <c r="U391" s="420"/>
    </row>
    <row r="392" spans="1:21" ht="18" customHeight="1" x14ac:dyDescent="0.25">
      <c r="A392" s="301"/>
      <c r="B392" s="414"/>
      <c r="C392" s="414"/>
      <c r="D392" s="414"/>
      <c r="E392" s="425" t="s">
        <v>40</v>
      </c>
      <c r="F392" s="35"/>
      <c r="G392" s="35"/>
      <c r="H392" s="35"/>
      <c r="I392" s="35"/>
      <c r="J392" s="35"/>
      <c r="K392" s="35"/>
      <c r="L392" s="35"/>
      <c r="M392" s="35"/>
      <c r="N392" s="416"/>
      <c r="U392" s="420"/>
    </row>
    <row r="393" spans="1:21" ht="18" customHeight="1" x14ac:dyDescent="0.25">
      <c r="A393" s="301"/>
      <c r="B393" s="414"/>
      <c r="C393" s="414"/>
      <c r="D393" s="414"/>
      <c r="E393" s="425" t="s">
        <v>321</v>
      </c>
      <c r="F393" s="35"/>
      <c r="G393" s="35">
        <v>0</v>
      </c>
      <c r="H393" s="35"/>
      <c r="I393" s="35">
        <f>+G393+H393</f>
        <v>0</v>
      </c>
      <c r="J393" s="35">
        <v>0</v>
      </c>
      <c r="K393" s="35"/>
      <c r="L393" s="35">
        <f>+J393+K393</f>
        <v>0</v>
      </c>
      <c r="M393" s="35">
        <f>+I393+L393</f>
        <v>0</v>
      </c>
      <c r="N393" s="416"/>
      <c r="U393" s="420"/>
    </row>
    <row r="394" spans="1:21" ht="18" customHeight="1" x14ac:dyDescent="0.25">
      <c r="A394" s="301"/>
      <c r="B394" s="414"/>
      <c r="C394" s="414"/>
      <c r="D394" s="414"/>
      <c r="E394" s="425" t="s">
        <v>322</v>
      </c>
      <c r="F394" s="35"/>
      <c r="G394" s="35">
        <v>4666566</v>
      </c>
      <c r="H394" s="35">
        <f>103141200+2940178</f>
        <v>106081378</v>
      </c>
      <c r="I394" s="35">
        <f t="shared" ref="I394:I400" si="240">+G394+H394</f>
        <v>110747944</v>
      </c>
      <c r="J394" s="35">
        <v>0</v>
      </c>
      <c r="K394" s="35"/>
      <c r="L394" s="35">
        <f>+J394+K394</f>
        <v>0</v>
      </c>
      <c r="M394" s="35">
        <f t="shared" ref="M394:M400" si="241">+I394+L394</f>
        <v>110747944</v>
      </c>
      <c r="N394" s="416"/>
      <c r="U394" s="420"/>
    </row>
    <row r="395" spans="1:21" ht="18" customHeight="1" x14ac:dyDescent="0.25">
      <c r="A395" s="301"/>
      <c r="B395" s="414"/>
      <c r="C395" s="414"/>
      <c r="D395" s="414"/>
      <c r="E395" s="425" t="s">
        <v>323</v>
      </c>
      <c r="F395" s="35"/>
      <c r="G395" s="35">
        <v>18666278</v>
      </c>
      <c r="H395" s="35">
        <f>11760731</f>
        <v>11760731</v>
      </c>
      <c r="I395" s="35">
        <f t="shared" si="240"/>
        <v>30427009</v>
      </c>
      <c r="J395" s="35"/>
      <c r="K395" s="35"/>
      <c r="L395" s="35"/>
      <c r="M395" s="35">
        <f t="shared" si="241"/>
        <v>30427009</v>
      </c>
      <c r="N395" s="416"/>
      <c r="U395" s="420"/>
    </row>
    <row r="396" spans="1:21" ht="18" customHeight="1" x14ac:dyDescent="0.25">
      <c r="A396" s="301"/>
      <c r="B396" s="414"/>
      <c r="C396" s="414"/>
      <c r="D396" s="414"/>
      <c r="E396" s="425" t="s">
        <v>324</v>
      </c>
      <c r="F396" s="35"/>
      <c r="G396" s="35">
        <v>580644</v>
      </c>
      <c r="H396" s="35">
        <f>583091</f>
        <v>583091</v>
      </c>
      <c r="I396" s="35">
        <f t="shared" si="240"/>
        <v>1163735</v>
      </c>
      <c r="J396" s="35"/>
      <c r="K396" s="35"/>
      <c r="L396" s="35"/>
      <c r="M396" s="35">
        <f t="shared" si="241"/>
        <v>1163735</v>
      </c>
      <c r="N396" s="416"/>
      <c r="U396" s="420"/>
    </row>
    <row r="397" spans="1:21" ht="18" customHeight="1" x14ac:dyDescent="0.25">
      <c r="A397" s="301"/>
      <c r="B397" s="414"/>
      <c r="C397" s="414"/>
      <c r="D397" s="414"/>
      <c r="E397" s="425" t="s">
        <v>325</v>
      </c>
      <c r="F397" s="35"/>
      <c r="G397" s="35">
        <v>1741930</v>
      </c>
      <c r="H397" s="35">
        <f>1749275</f>
        <v>1749275</v>
      </c>
      <c r="I397" s="35">
        <f t="shared" si="240"/>
        <v>3491205</v>
      </c>
      <c r="J397" s="35"/>
      <c r="K397" s="35"/>
      <c r="L397" s="35"/>
      <c r="M397" s="35">
        <f t="shared" si="241"/>
        <v>3491205</v>
      </c>
      <c r="N397" s="416"/>
      <c r="U397" s="420"/>
    </row>
    <row r="398" spans="1:21" ht="18" customHeight="1" x14ac:dyDescent="0.25">
      <c r="A398" s="301"/>
      <c r="B398" s="414"/>
      <c r="C398" s="414"/>
      <c r="D398" s="414"/>
      <c r="E398" s="425" t="s">
        <v>326</v>
      </c>
      <c r="F398" s="35"/>
      <c r="G398" s="35">
        <v>21310579</v>
      </c>
      <c r="H398" s="35">
        <f>21401459</f>
        <v>21401459</v>
      </c>
      <c r="I398" s="35">
        <f t="shared" si="240"/>
        <v>42712038</v>
      </c>
      <c r="J398" s="35"/>
      <c r="K398" s="35"/>
      <c r="L398" s="35"/>
      <c r="M398" s="35">
        <f t="shared" si="241"/>
        <v>42712038</v>
      </c>
      <c r="N398" s="416"/>
      <c r="U398" s="420"/>
    </row>
    <row r="399" spans="1:21" ht="18" customHeight="1" x14ac:dyDescent="0.25">
      <c r="A399" s="299"/>
      <c r="B399" s="426"/>
      <c r="C399" s="426"/>
      <c r="D399" s="426"/>
      <c r="E399" s="427" t="s">
        <v>327</v>
      </c>
      <c r="F399" s="236"/>
      <c r="G399" s="236"/>
      <c r="H399" s="236"/>
      <c r="I399" s="236"/>
      <c r="J399" s="236">
        <v>0</v>
      </c>
      <c r="K399" s="236">
        <f>200000+1250000+1560000+250000+250000+335000+200000+150000</f>
        <v>4195000</v>
      </c>
      <c r="L399" s="236">
        <f>+J399+K399</f>
        <v>4195000</v>
      </c>
      <c r="M399" s="236">
        <f t="shared" si="241"/>
        <v>4195000</v>
      </c>
      <c r="N399" s="428"/>
      <c r="U399" s="420"/>
    </row>
    <row r="400" spans="1:21" ht="18" customHeight="1" x14ac:dyDescent="0.25">
      <c r="A400" s="301"/>
      <c r="B400" s="414"/>
      <c r="C400" s="414"/>
      <c r="D400" s="414"/>
      <c r="E400" s="425" t="s">
        <v>426</v>
      </c>
      <c r="F400" s="35"/>
      <c r="G400" s="35"/>
      <c r="H400" s="35"/>
      <c r="I400" s="35">
        <f t="shared" si="240"/>
        <v>0</v>
      </c>
      <c r="J400" s="35"/>
      <c r="K400" s="35"/>
      <c r="L400" s="35"/>
      <c r="M400" s="35">
        <f t="shared" si="241"/>
        <v>0</v>
      </c>
      <c r="N400" s="416"/>
      <c r="U400" s="420"/>
    </row>
    <row r="401" spans="1:21" ht="18" customHeight="1" x14ac:dyDescent="0.25">
      <c r="A401" s="301"/>
      <c r="B401" s="414"/>
      <c r="C401" s="414"/>
      <c r="D401" s="414"/>
      <c r="E401" s="414" t="s">
        <v>23</v>
      </c>
      <c r="F401" s="35"/>
      <c r="G401" s="35"/>
      <c r="H401" s="35"/>
      <c r="I401" s="35"/>
      <c r="J401" s="35"/>
      <c r="K401" s="35"/>
      <c r="L401" s="35"/>
      <c r="M401" s="35"/>
      <c r="N401" s="416"/>
      <c r="U401" s="420"/>
    </row>
    <row r="402" spans="1:21" ht="18" customHeight="1" x14ac:dyDescent="0.25">
      <c r="A402" s="301"/>
      <c r="B402" s="414"/>
      <c r="C402" s="414"/>
      <c r="D402" s="414"/>
      <c r="E402" s="429" t="s">
        <v>27</v>
      </c>
      <c r="F402" s="423"/>
      <c r="G402" s="430"/>
      <c r="H402" s="430">
        <v>0</v>
      </c>
      <c r="I402" s="430">
        <v>0</v>
      </c>
      <c r="J402" s="430">
        <v>0</v>
      </c>
      <c r="K402" s="430">
        <v>0</v>
      </c>
      <c r="L402" s="430">
        <v>0</v>
      </c>
      <c r="M402" s="430">
        <v>0</v>
      </c>
      <c r="N402" s="422"/>
      <c r="Q402" s="298"/>
      <c r="U402" s="420"/>
    </row>
    <row r="403" spans="1:21" ht="18" customHeight="1" x14ac:dyDescent="0.25">
      <c r="A403" s="301"/>
      <c r="B403" s="414"/>
      <c r="C403" s="414"/>
      <c r="D403" s="414"/>
      <c r="E403" s="414"/>
      <c r="F403" s="35"/>
      <c r="G403" s="35"/>
      <c r="H403" s="35"/>
      <c r="I403" s="35"/>
      <c r="J403" s="35"/>
      <c r="K403" s="35"/>
      <c r="L403" s="35"/>
      <c r="M403" s="35"/>
      <c r="N403" s="416"/>
      <c r="U403" s="420"/>
    </row>
    <row r="404" spans="1:21" ht="12.75" customHeight="1" x14ac:dyDescent="0.25">
      <c r="A404" s="299"/>
      <c r="B404" s="426"/>
      <c r="C404" s="426"/>
      <c r="D404" s="426"/>
      <c r="E404" s="426" t="s">
        <v>328</v>
      </c>
      <c r="F404" s="236"/>
      <c r="G404" s="236"/>
      <c r="H404" s="236"/>
      <c r="I404" s="236"/>
      <c r="J404" s="236"/>
      <c r="K404" s="236"/>
      <c r="L404" s="236"/>
      <c r="M404" s="236"/>
      <c r="N404" s="428"/>
      <c r="U404" s="420"/>
    </row>
    <row r="405" spans="1:21" ht="12.75" customHeight="1" x14ac:dyDescent="0.25">
      <c r="A405" s="299"/>
      <c r="B405" s="426"/>
      <c r="C405" s="426"/>
      <c r="D405" s="426"/>
      <c r="E405" s="426" t="s">
        <v>21</v>
      </c>
      <c r="F405" s="236"/>
      <c r="G405" s="236">
        <f>+G386</f>
        <v>3650670167</v>
      </c>
      <c r="H405" s="457">
        <f>+H386</f>
        <v>9782812369</v>
      </c>
      <c r="I405" s="236">
        <f t="shared" ref="I405:L405" si="242">+I386</f>
        <v>13433482536</v>
      </c>
      <c r="J405" s="236">
        <f t="shared" si="242"/>
        <v>114284700</v>
      </c>
      <c r="K405" s="236">
        <f t="shared" si="242"/>
        <v>345746731</v>
      </c>
      <c r="L405" s="236">
        <f t="shared" si="242"/>
        <v>460031431</v>
      </c>
      <c r="M405" s="236">
        <f>+M386</f>
        <v>13893513967</v>
      </c>
      <c r="N405" s="428"/>
      <c r="O405" s="431"/>
      <c r="U405" s="420"/>
    </row>
    <row r="406" spans="1:21" ht="12.75" customHeight="1" x14ac:dyDescent="0.25">
      <c r="A406" s="299"/>
      <c r="B406" s="426"/>
      <c r="C406" s="426"/>
      <c r="D406" s="426"/>
      <c r="E406" s="426" t="s">
        <v>42</v>
      </c>
      <c r="F406" s="236"/>
      <c r="G406" s="236">
        <f>+SUM(G407:G420)</f>
        <v>69770614</v>
      </c>
      <c r="H406" s="236">
        <f>+SUM(H407:H420)</f>
        <v>146259456</v>
      </c>
      <c r="I406" s="236">
        <f>+G406+H406</f>
        <v>216030070</v>
      </c>
      <c r="J406" s="236">
        <f>+SUM(J407:J420)</f>
        <v>2165454</v>
      </c>
      <c r="K406" s="236">
        <f>+SUM(K407:K420)</f>
        <v>11391265</v>
      </c>
      <c r="L406" s="236">
        <f>+J406+K406</f>
        <v>13556719</v>
      </c>
      <c r="M406" s="457">
        <f>+I406+L406</f>
        <v>229586789</v>
      </c>
      <c r="N406" s="428"/>
      <c r="U406" s="420"/>
    </row>
    <row r="407" spans="1:21" ht="12.75" customHeight="1" x14ac:dyDescent="0.25">
      <c r="A407" s="299"/>
      <c r="B407" s="426"/>
      <c r="C407" s="426"/>
      <c r="D407" s="426"/>
      <c r="E407" s="427" t="s">
        <v>24</v>
      </c>
      <c r="F407" s="236"/>
      <c r="G407" s="236">
        <v>0</v>
      </c>
      <c r="H407" s="236">
        <v>1563375</v>
      </c>
      <c r="I407" s="236">
        <f>+G407+H407</f>
        <v>1563375</v>
      </c>
      <c r="J407" s="236">
        <v>1804545</v>
      </c>
      <c r="K407" s="236">
        <f>1804545+241802+281937+205631+1672297+541854+748644</f>
        <v>5496710</v>
      </c>
      <c r="L407" s="236">
        <f>+J407+K407</f>
        <v>7301255</v>
      </c>
      <c r="M407" s="236">
        <f>+I407+L407</f>
        <v>8864630</v>
      </c>
      <c r="N407" s="428"/>
      <c r="U407" s="420"/>
    </row>
    <row r="408" spans="1:21" ht="12.75" customHeight="1" x14ac:dyDescent="0.25">
      <c r="A408" s="299"/>
      <c r="B408" s="426"/>
      <c r="C408" s="426"/>
      <c r="D408" s="426"/>
      <c r="E408" s="427" t="s">
        <v>22</v>
      </c>
      <c r="F408" s="236"/>
      <c r="G408" s="236">
        <v>22804617</v>
      </c>
      <c r="H408" s="236">
        <f>277647</f>
        <v>277647</v>
      </c>
      <c r="I408" s="236">
        <f>+G408+H408</f>
        <v>23082264</v>
      </c>
      <c r="J408" s="236">
        <v>0</v>
      </c>
      <c r="K408" s="236"/>
      <c r="L408" s="236">
        <f>+J408+K408</f>
        <v>0</v>
      </c>
      <c r="M408" s="236">
        <f>+I408+L408</f>
        <v>23082264</v>
      </c>
      <c r="N408" s="428"/>
      <c r="U408" s="420"/>
    </row>
    <row r="409" spans="1:21" ht="12.75" customHeight="1" x14ac:dyDescent="0.25">
      <c r="A409" s="299"/>
      <c r="B409" s="426"/>
      <c r="C409" s="426"/>
      <c r="D409" s="426"/>
      <c r="E409" s="427" t="s">
        <v>25</v>
      </c>
      <c r="F409" s="236"/>
      <c r="G409" s="236">
        <v>0</v>
      </c>
      <c r="H409" s="236"/>
      <c r="I409" s="236">
        <f>+G409+H409</f>
        <v>0</v>
      </c>
      <c r="J409" s="236">
        <v>0</v>
      </c>
      <c r="K409" s="236">
        <f>187500+234000+37500+37500+50250+30000+22500+228041+98519+102088</f>
        <v>1027898</v>
      </c>
      <c r="L409" s="236">
        <f>+J409+K409</f>
        <v>1027898</v>
      </c>
      <c r="M409" s="236">
        <f>+I409+L409</f>
        <v>1027898</v>
      </c>
      <c r="N409" s="428"/>
      <c r="U409" s="420"/>
    </row>
    <row r="410" spans="1:21" ht="12.75" customHeight="1" x14ac:dyDescent="0.25">
      <c r="A410" s="299"/>
      <c r="B410" s="426"/>
      <c r="C410" s="426"/>
      <c r="D410" s="426"/>
      <c r="E410" s="427" t="s">
        <v>26</v>
      </c>
      <c r="F410" s="236"/>
      <c r="G410" s="236">
        <v>0</v>
      </c>
      <c r="H410" s="236">
        <v>2842500</v>
      </c>
      <c r="I410" s="236">
        <f>+G410+H410</f>
        <v>2842500</v>
      </c>
      <c r="J410" s="236">
        <v>360909</v>
      </c>
      <c r="K410" s="236">
        <f>35200+37100+37200+360909+48800+35000+28800+51261+37387</f>
        <v>671657</v>
      </c>
      <c r="L410" s="236">
        <f>+J410+K410</f>
        <v>1032566</v>
      </c>
      <c r="M410" s="236">
        <f>+I410+L410</f>
        <v>3875066</v>
      </c>
      <c r="N410" s="428"/>
      <c r="U410" s="420"/>
    </row>
    <row r="411" spans="1:21" ht="12.75" customHeight="1" x14ac:dyDescent="0.25">
      <c r="A411" s="299"/>
      <c r="B411" s="426"/>
      <c r="C411" s="426"/>
      <c r="D411" s="426"/>
      <c r="E411" s="427" t="s">
        <v>40</v>
      </c>
      <c r="F411" s="236"/>
      <c r="G411" s="236"/>
      <c r="H411" s="236"/>
      <c r="I411" s="236"/>
      <c r="J411" s="236"/>
      <c r="K411" s="236"/>
      <c r="L411" s="236"/>
      <c r="M411" s="236"/>
      <c r="N411" s="428"/>
      <c r="U411" s="420"/>
    </row>
    <row r="412" spans="1:21" ht="12.75" customHeight="1" x14ac:dyDescent="0.25">
      <c r="A412" s="299"/>
      <c r="B412" s="426"/>
      <c r="C412" s="426"/>
      <c r="D412" s="426"/>
      <c r="E412" s="427" t="s">
        <v>321</v>
      </c>
      <c r="F412" s="236"/>
      <c r="G412" s="236">
        <v>0</v>
      </c>
      <c r="H412" s="236"/>
      <c r="I412" s="236">
        <f>+G412+H412</f>
        <v>0</v>
      </c>
      <c r="J412" s="236">
        <v>0</v>
      </c>
      <c r="K412" s="236"/>
      <c r="L412" s="236">
        <f>+J412+K412</f>
        <v>0</v>
      </c>
      <c r="M412" s="236">
        <f t="shared" ref="M412:M419" si="243">+I412+L412</f>
        <v>0</v>
      </c>
      <c r="N412" s="428"/>
      <c r="U412" s="420"/>
    </row>
    <row r="413" spans="1:21" ht="12.75" customHeight="1" x14ac:dyDescent="0.25">
      <c r="A413" s="299"/>
      <c r="B413" s="426"/>
      <c r="C413" s="426"/>
      <c r="D413" s="426"/>
      <c r="E413" s="427" t="s">
        <v>322</v>
      </c>
      <c r="F413" s="236"/>
      <c r="G413" s="236">
        <v>4666566</v>
      </c>
      <c r="H413" s="236">
        <f>103141200+2940178</f>
        <v>106081378</v>
      </c>
      <c r="I413" s="236">
        <f t="shared" ref="I413:I419" si="244">+G413+H413</f>
        <v>110747944</v>
      </c>
      <c r="J413" s="236"/>
      <c r="K413" s="236"/>
      <c r="L413" s="236"/>
      <c r="M413" s="236">
        <f t="shared" si="243"/>
        <v>110747944</v>
      </c>
      <c r="N413" s="428"/>
      <c r="U413" s="420"/>
    </row>
    <row r="414" spans="1:21" ht="12.75" customHeight="1" x14ac:dyDescent="0.25">
      <c r="A414" s="299"/>
      <c r="B414" s="426"/>
      <c r="C414" s="426"/>
      <c r="D414" s="426"/>
      <c r="E414" s="427" t="s">
        <v>323</v>
      </c>
      <c r="F414" s="236"/>
      <c r="G414" s="236">
        <v>18666278</v>
      </c>
      <c r="H414" s="236">
        <f>11760731</f>
        <v>11760731</v>
      </c>
      <c r="I414" s="236">
        <f t="shared" si="244"/>
        <v>30427009</v>
      </c>
      <c r="J414" s="236"/>
      <c r="K414" s="236"/>
      <c r="L414" s="236"/>
      <c r="M414" s="236">
        <f t="shared" si="243"/>
        <v>30427009</v>
      </c>
      <c r="N414" s="428"/>
      <c r="U414" s="420"/>
    </row>
    <row r="415" spans="1:21" ht="12.75" customHeight="1" x14ac:dyDescent="0.25">
      <c r="A415" s="299"/>
      <c r="B415" s="426"/>
      <c r="C415" s="426"/>
      <c r="D415" s="426"/>
      <c r="E415" s="427" t="s">
        <v>324</v>
      </c>
      <c r="F415" s="236"/>
      <c r="G415" s="236">
        <v>580644</v>
      </c>
      <c r="H415" s="236">
        <f>583091</f>
        <v>583091</v>
      </c>
      <c r="I415" s="236">
        <f t="shared" si="244"/>
        <v>1163735</v>
      </c>
      <c r="J415" s="236"/>
      <c r="K415" s="236"/>
      <c r="L415" s="236"/>
      <c r="M415" s="236">
        <f t="shared" si="243"/>
        <v>1163735</v>
      </c>
      <c r="N415" s="428"/>
      <c r="U415" s="420"/>
    </row>
    <row r="416" spans="1:21" ht="12.75" customHeight="1" x14ac:dyDescent="0.25">
      <c r="A416" s="299"/>
      <c r="B416" s="426"/>
      <c r="C416" s="426"/>
      <c r="D416" s="426"/>
      <c r="E416" s="427" t="s">
        <v>325</v>
      </c>
      <c r="F416" s="236"/>
      <c r="G416" s="236">
        <v>1741930</v>
      </c>
      <c r="H416" s="236">
        <f>1749275</f>
        <v>1749275</v>
      </c>
      <c r="I416" s="236">
        <f t="shared" si="244"/>
        <v>3491205</v>
      </c>
      <c r="J416" s="236"/>
      <c r="K416" s="236"/>
      <c r="L416" s="236"/>
      <c r="M416" s="236">
        <f t="shared" si="243"/>
        <v>3491205</v>
      </c>
      <c r="N416" s="428"/>
      <c r="U416" s="420"/>
    </row>
    <row r="417" spans="1:21" ht="12.75" customHeight="1" x14ac:dyDescent="0.25">
      <c r="A417" s="299"/>
      <c r="B417" s="426"/>
      <c r="C417" s="426"/>
      <c r="D417" s="426"/>
      <c r="E417" s="427" t="s">
        <v>326</v>
      </c>
      <c r="F417" s="236"/>
      <c r="G417" s="236">
        <v>21310579</v>
      </c>
      <c r="H417" s="236">
        <f>21401459</f>
        <v>21401459</v>
      </c>
      <c r="I417" s="236">
        <f t="shared" si="244"/>
        <v>42712038</v>
      </c>
      <c r="J417" s="236"/>
      <c r="K417" s="236"/>
      <c r="L417" s="236"/>
      <c r="M417" s="236">
        <f t="shared" si="243"/>
        <v>42712038</v>
      </c>
      <c r="N417" s="428"/>
      <c r="U417" s="420"/>
    </row>
    <row r="418" spans="1:21" ht="12.75" customHeight="1" x14ac:dyDescent="0.25">
      <c r="A418" s="299"/>
      <c r="B418" s="426"/>
      <c r="C418" s="426"/>
      <c r="D418" s="426"/>
      <c r="E418" s="427" t="s">
        <v>327</v>
      </c>
      <c r="F418" s="236"/>
      <c r="G418" s="236"/>
      <c r="H418" s="236"/>
      <c r="I418" s="236"/>
      <c r="J418" s="236"/>
      <c r="K418" s="236">
        <f>200000+1250000+1560000+250000+250000+335000+200000+150000</f>
        <v>4195000</v>
      </c>
      <c r="L418" s="236">
        <f>+J418+K418</f>
        <v>4195000</v>
      </c>
      <c r="M418" s="236">
        <f t="shared" si="243"/>
        <v>4195000</v>
      </c>
      <c r="N418" s="428"/>
      <c r="U418" s="420"/>
    </row>
    <row r="419" spans="1:21" ht="12.75" customHeight="1" x14ac:dyDescent="0.25">
      <c r="A419" s="299"/>
      <c r="B419" s="426"/>
      <c r="C419" s="426"/>
      <c r="D419" s="426"/>
      <c r="E419" s="427" t="s">
        <v>426</v>
      </c>
      <c r="F419" s="236"/>
      <c r="G419" s="236"/>
      <c r="H419" s="236"/>
      <c r="I419" s="236">
        <f t="shared" si="244"/>
        <v>0</v>
      </c>
      <c r="J419" s="236"/>
      <c r="K419" s="236"/>
      <c r="L419" s="236"/>
      <c r="M419" s="236">
        <f t="shared" si="243"/>
        <v>0</v>
      </c>
      <c r="N419" s="428"/>
      <c r="U419" s="420"/>
    </row>
    <row r="420" spans="1:21" ht="12.75" customHeight="1" x14ac:dyDescent="0.25">
      <c r="A420" s="299"/>
      <c r="B420" s="426"/>
      <c r="C420" s="426"/>
      <c r="D420" s="426"/>
      <c r="E420" s="426" t="s">
        <v>23</v>
      </c>
      <c r="F420" s="236"/>
      <c r="G420" s="236"/>
      <c r="H420" s="236"/>
      <c r="I420" s="236"/>
      <c r="J420" s="236"/>
      <c r="K420" s="236"/>
      <c r="L420" s="236"/>
      <c r="M420" s="236"/>
      <c r="N420" s="428"/>
      <c r="U420" s="420"/>
    </row>
    <row r="421" spans="1:21" ht="18" customHeight="1" x14ac:dyDescent="0.25">
      <c r="A421" s="301"/>
      <c r="B421" s="414"/>
      <c r="C421" s="414"/>
      <c r="D421" s="414"/>
      <c r="E421" s="429" t="s">
        <v>27</v>
      </c>
      <c r="F421" s="423"/>
      <c r="G421" s="430" t="s">
        <v>49</v>
      </c>
      <c r="H421" s="430" t="s">
        <v>49</v>
      </c>
      <c r="I421" s="430" t="s">
        <v>49</v>
      </c>
      <c r="J421" s="430" t="s">
        <v>49</v>
      </c>
      <c r="K421" s="430" t="s">
        <v>49</v>
      </c>
      <c r="L421" s="430" t="s">
        <v>49</v>
      </c>
      <c r="M421" s="430" t="s">
        <v>49</v>
      </c>
      <c r="N421" s="422"/>
      <c r="U421" s="420"/>
    </row>
    <row r="422" spans="1:21" ht="18" customHeight="1" x14ac:dyDescent="0.25">
      <c r="A422" s="301"/>
      <c r="B422" s="414"/>
      <c r="C422" s="414"/>
      <c r="D422" s="414"/>
      <c r="E422" s="414"/>
      <c r="F422" s="416"/>
      <c r="G422" s="416"/>
      <c r="H422" s="416"/>
      <c r="I422" s="416"/>
      <c r="J422" s="416"/>
      <c r="K422" s="416"/>
      <c r="L422" s="416"/>
      <c r="M422" s="416"/>
      <c r="N422" s="416"/>
      <c r="U422" s="420"/>
    </row>
    <row r="423" spans="1:21" ht="18" customHeight="1" x14ac:dyDescent="0.25">
      <c r="A423" s="432"/>
      <c r="B423" s="432"/>
      <c r="C423" s="432"/>
      <c r="D423" s="432"/>
      <c r="E423" s="429" t="s">
        <v>28</v>
      </c>
      <c r="F423" s="422"/>
      <c r="G423" s="422">
        <v>0</v>
      </c>
      <c r="H423" s="422">
        <v>0</v>
      </c>
      <c r="I423" s="422">
        <v>0</v>
      </c>
      <c r="J423" s="422">
        <v>0</v>
      </c>
      <c r="K423" s="422">
        <v>0</v>
      </c>
      <c r="L423" s="422">
        <v>0</v>
      </c>
      <c r="M423" s="422">
        <v>0</v>
      </c>
      <c r="N423" s="422"/>
      <c r="U423" s="420"/>
    </row>
    <row r="424" spans="1:21" ht="18" customHeight="1" x14ac:dyDescent="0.25">
      <c r="U424" s="420"/>
    </row>
    <row r="425" spans="1:21" ht="18" customHeight="1" x14ac:dyDescent="0.25">
      <c r="A425" s="537" t="s">
        <v>52</v>
      </c>
      <c r="B425" s="537"/>
      <c r="C425" s="537"/>
      <c r="D425" s="537"/>
      <c r="L425" s="539" t="s">
        <v>486</v>
      </c>
      <c r="M425" s="539"/>
      <c r="N425" s="539"/>
      <c r="U425" s="420"/>
    </row>
    <row r="426" spans="1:21" ht="18" customHeight="1" x14ac:dyDescent="0.25">
      <c r="A426" s="537" t="s">
        <v>59</v>
      </c>
      <c r="B426" s="537"/>
      <c r="C426" s="537"/>
      <c r="D426" s="537"/>
      <c r="U426" s="420"/>
    </row>
    <row r="427" spans="1:21" ht="18" customHeight="1" x14ac:dyDescent="0.25">
      <c r="A427" s="537" t="s">
        <v>60</v>
      </c>
      <c r="B427" s="537"/>
      <c r="C427" s="537"/>
      <c r="D427" s="537"/>
      <c r="E427" s="434" t="s">
        <v>38</v>
      </c>
      <c r="F427" s="538" t="s">
        <v>39</v>
      </c>
      <c r="G427" s="538"/>
      <c r="H427" s="538"/>
      <c r="I427" s="435"/>
      <c r="J427" s="435"/>
      <c r="K427" s="435"/>
      <c r="L427" s="538" t="s">
        <v>422</v>
      </c>
      <c r="M427" s="538"/>
      <c r="N427" s="538"/>
      <c r="U427" s="420"/>
    </row>
    <row r="428" spans="1:21" ht="18" customHeight="1" x14ac:dyDescent="0.25">
      <c r="A428" s="537" t="s">
        <v>53</v>
      </c>
      <c r="B428" s="537"/>
      <c r="C428" s="537"/>
      <c r="D428" s="537"/>
      <c r="E428" s="434" t="s">
        <v>330</v>
      </c>
      <c r="F428" s="538" t="s">
        <v>54</v>
      </c>
      <c r="G428" s="538"/>
      <c r="H428" s="538"/>
      <c r="I428" s="435"/>
      <c r="J428" s="435"/>
      <c r="K428" s="435"/>
      <c r="L428" s="538" t="s">
        <v>330</v>
      </c>
      <c r="M428" s="538"/>
      <c r="N428" s="538"/>
      <c r="U428" s="420"/>
    </row>
    <row r="429" spans="1:21" ht="18" customHeight="1" x14ac:dyDescent="0.25">
      <c r="A429" s="447"/>
      <c r="B429" s="436"/>
      <c r="C429" s="436"/>
      <c r="D429" s="436"/>
      <c r="E429" s="447"/>
      <c r="G429" s="448"/>
      <c r="H429" s="438"/>
      <c r="I429" s="438"/>
      <c r="K429" s="438"/>
      <c r="L429" s="438"/>
      <c r="M429" s="438"/>
      <c r="N429" s="438"/>
      <c r="U429" s="420"/>
    </row>
    <row r="430" spans="1:21" ht="18" customHeight="1" x14ac:dyDescent="0.25">
      <c r="A430" s="447"/>
      <c r="B430" s="436"/>
      <c r="C430" s="436"/>
      <c r="D430" s="436"/>
      <c r="E430" s="447"/>
      <c r="G430" s="438"/>
      <c r="H430" s="438"/>
      <c r="K430" s="438"/>
      <c r="L430" s="438"/>
      <c r="M430" s="438"/>
    </row>
    <row r="431" spans="1:21" ht="18" customHeight="1" x14ac:dyDescent="0.25">
      <c r="A431" s="439"/>
      <c r="B431" s="436"/>
      <c r="C431" s="436"/>
      <c r="D431" s="436"/>
      <c r="E431" s="447"/>
      <c r="G431" s="438"/>
      <c r="H431" s="438"/>
      <c r="K431" s="438"/>
      <c r="L431" s="438"/>
      <c r="M431" s="438"/>
    </row>
    <row r="432" spans="1:21" ht="18" customHeight="1" x14ac:dyDescent="0.25">
      <c r="A432" s="537" t="s">
        <v>56</v>
      </c>
      <c r="B432" s="537"/>
      <c r="C432" s="537"/>
      <c r="D432" s="537"/>
      <c r="E432" s="447" t="s">
        <v>421</v>
      </c>
      <c r="F432" s="539" t="s">
        <v>51</v>
      </c>
      <c r="G432" s="539"/>
      <c r="H432" s="539"/>
      <c r="I432" s="161"/>
      <c r="J432" s="161"/>
      <c r="K432" s="161"/>
      <c r="L432" s="539" t="s">
        <v>423</v>
      </c>
      <c r="M432" s="539"/>
      <c r="N432" s="539"/>
    </row>
    <row r="433" spans="1:14" ht="18" customHeight="1" x14ac:dyDescent="0.25">
      <c r="A433" s="537" t="s">
        <v>29</v>
      </c>
      <c r="B433" s="537"/>
      <c r="C433" s="537"/>
      <c r="D433" s="537"/>
      <c r="E433" s="447" t="s">
        <v>419</v>
      </c>
      <c r="F433" s="540" t="s">
        <v>58</v>
      </c>
      <c r="G433" s="540"/>
      <c r="H433" s="540"/>
      <c r="I433" s="161"/>
      <c r="J433" s="161"/>
      <c r="K433" s="161"/>
      <c r="L433" s="540" t="s">
        <v>425</v>
      </c>
      <c r="M433" s="540"/>
      <c r="N433" s="540"/>
    </row>
    <row r="434" spans="1:14" ht="18" customHeight="1" x14ac:dyDescent="0.25">
      <c r="A434" s="537" t="s">
        <v>57</v>
      </c>
      <c r="B434" s="537"/>
      <c r="C434" s="537"/>
      <c r="D434" s="537"/>
      <c r="E434" s="447" t="s">
        <v>420</v>
      </c>
      <c r="F434" s="539" t="s">
        <v>47</v>
      </c>
      <c r="G434" s="539"/>
      <c r="H434" s="539"/>
      <c r="I434" s="161"/>
      <c r="J434" s="161"/>
      <c r="K434" s="161"/>
      <c r="L434" s="539" t="s">
        <v>424</v>
      </c>
      <c r="M434" s="539"/>
      <c r="N434" s="539"/>
    </row>
  </sheetData>
  <mergeCells count="33"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  <mergeCell ref="B17:D17"/>
    <mergeCell ref="A426:D426"/>
    <mergeCell ref="A427:D427"/>
    <mergeCell ref="F427:H427"/>
    <mergeCell ref="L427:N427"/>
    <mergeCell ref="A425:D425"/>
    <mergeCell ref="L425:N425"/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</mergeCells>
  <printOptions horizontalCentered="1"/>
  <pageMargins left="0.19685039370078741" right="0.19685039370078741" top="0.39370078740157483" bottom="0.19685039370078741" header="0.31496062992125984" footer="0.31496062992125984"/>
  <pageSetup paperSize="258" scale="56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34"/>
  <sheetViews>
    <sheetView showGridLines="0" view="pageBreakPreview" zoomScale="90" zoomScaleNormal="85" zoomScaleSheetLayoutView="90" workbookViewId="0">
      <pane xSplit="4" ySplit="16" topLeftCell="E429" activePane="bottomRight" state="frozen"/>
      <selection pane="topRight" activeCell="D1" sqref="D1"/>
      <selection pane="bottomLeft" activeCell="A17" sqref="A17"/>
      <selection pane="bottomRight" activeCell="E433" sqref="E433"/>
    </sheetView>
  </sheetViews>
  <sheetFormatPr defaultRowHeight="15" customHeight="1" x14ac:dyDescent="0.25"/>
  <cols>
    <col min="1" max="1" width="6" style="293" customWidth="1"/>
    <col min="2" max="2" width="11.5703125" style="293" customWidth="1"/>
    <col min="3" max="3" width="13.7109375" style="293" customWidth="1"/>
    <col min="4" max="4" width="15.85546875" style="293" customWidth="1"/>
    <col min="5" max="5" width="68.5703125" style="293" customWidth="1"/>
    <col min="6" max="6" width="18.140625" style="293" customWidth="1"/>
    <col min="7" max="7" width="16.85546875" style="293" customWidth="1"/>
    <col min="8" max="8" width="15.85546875" style="293" customWidth="1"/>
    <col min="9" max="9" width="18.7109375" style="293" customWidth="1"/>
    <col min="10" max="10" width="15" style="293" customWidth="1"/>
    <col min="11" max="11" width="14" style="293" customWidth="1"/>
    <col min="12" max="12" width="15.140625" style="293" customWidth="1"/>
    <col min="13" max="13" width="16.7109375" style="293" customWidth="1"/>
    <col min="14" max="14" width="19.28515625" style="293" customWidth="1"/>
    <col min="15" max="15" width="4.28515625" style="293" customWidth="1"/>
    <col min="16" max="16" width="18.42578125" style="294" customWidth="1"/>
    <col min="17" max="17" width="14.85546875" style="293" customWidth="1"/>
    <col min="18" max="18" width="15.42578125" style="293" customWidth="1"/>
    <col min="19" max="19" width="20.140625" style="295" customWidth="1"/>
    <col min="20" max="20" width="25.7109375" style="295" customWidth="1"/>
    <col min="21" max="21" width="26.140625" style="293" customWidth="1"/>
    <col min="22" max="16384" width="9.140625" style="293"/>
  </cols>
  <sheetData>
    <row r="1" spans="1:18" s="295" customFormat="1" ht="15" customHeight="1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293"/>
      <c r="P1" s="294"/>
      <c r="Q1" s="293"/>
      <c r="R1" s="293"/>
    </row>
    <row r="2" spans="1:18" s="295" customFormat="1" ht="15" customHeight="1" x14ac:dyDescent="0.25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293"/>
      <c r="P2" s="294"/>
      <c r="Q2" s="293"/>
      <c r="R2" s="293"/>
    </row>
    <row r="3" spans="1:18" s="295" customFormat="1" ht="15" customHeight="1" x14ac:dyDescent="0.25">
      <c r="A3" s="522" t="s">
        <v>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293"/>
      <c r="P3" s="294"/>
      <c r="Q3" s="293"/>
      <c r="R3" s="293"/>
    </row>
    <row r="4" spans="1:18" s="295" customFormat="1" ht="6" customHeight="1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  <c r="Q4" s="293"/>
      <c r="R4" s="293"/>
    </row>
    <row r="5" spans="1:18" s="295" customFormat="1" ht="6" customHeight="1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4"/>
      <c r="Q5" s="293"/>
      <c r="R5" s="293"/>
    </row>
    <row r="6" spans="1:18" s="295" customFormat="1" ht="15" customHeight="1" x14ac:dyDescent="0.25">
      <c r="A6" s="293" t="s">
        <v>3</v>
      </c>
      <c r="B6" s="293"/>
      <c r="C6" s="293"/>
      <c r="D6" s="293" t="s">
        <v>45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Q6" s="293"/>
      <c r="R6" s="293"/>
    </row>
    <row r="7" spans="1:18" s="295" customFormat="1" ht="15" customHeight="1" x14ac:dyDescent="0.25">
      <c r="A7" s="293" t="s">
        <v>4</v>
      </c>
      <c r="B7" s="293"/>
      <c r="C7" s="293"/>
      <c r="D7" s="293" t="s">
        <v>55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4"/>
      <c r="Q7" s="293"/>
      <c r="R7" s="293"/>
    </row>
    <row r="8" spans="1:18" s="295" customFormat="1" ht="15" customHeight="1" x14ac:dyDescent="0.25">
      <c r="A8" s="293" t="s">
        <v>5</v>
      </c>
      <c r="B8" s="293"/>
      <c r="C8" s="293"/>
      <c r="D8" s="504" t="s">
        <v>50</v>
      </c>
      <c r="E8" s="504"/>
      <c r="F8" s="504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293"/>
      <c r="R8" s="293"/>
    </row>
    <row r="9" spans="1:18" s="295" customFormat="1" ht="15" customHeight="1" x14ac:dyDescent="0.25">
      <c r="A9" s="293" t="s">
        <v>6</v>
      </c>
      <c r="B9" s="293"/>
      <c r="C9" s="293"/>
      <c r="D9" s="293" t="s">
        <v>449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4"/>
      <c r="Q9" s="293"/>
      <c r="R9" s="296"/>
    </row>
    <row r="10" spans="1:18" s="295" customFormat="1" ht="15" customHeight="1" x14ac:dyDescent="0.25">
      <c r="A10" s="293" t="s">
        <v>7</v>
      </c>
      <c r="B10" s="293"/>
      <c r="C10" s="293"/>
      <c r="D10" s="293" t="s">
        <v>48</v>
      </c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4"/>
      <c r="Q10" s="293"/>
      <c r="R10" s="296"/>
    </row>
    <row r="11" spans="1:18" s="295" customFormat="1" ht="8.25" customHeight="1" x14ac:dyDescent="0.25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4"/>
      <c r="Q11" s="293"/>
      <c r="R11" s="296"/>
    </row>
    <row r="12" spans="1:18" s="295" customFormat="1" ht="8.25" customHeight="1" x14ac:dyDescent="0.25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4"/>
      <c r="Q12" s="293"/>
      <c r="R12" s="296"/>
    </row>
    <row r="13" spans="1:18" s="295" customFormat="1" ht="15" customHeight="1" x14ac:dyDescent="0.25">
      <c r="A13" s="523" t="s">
        <v>37</v>
      </c>
      <c r="B13" s="525" t="s">
        <v>10</v>
      </c>
      <c r="C13" s="526"/>
      <c r="D13" s="527"/>
      <c r="E13" s="531" t="s">
        <v>8</v>
      </c>
      <c r="F13" s="531" t="s">
        <v>9</v>
      </c>
      <c r="G13" s="533" t="s">
        <v>14</v>
      </c>
      <c r="H13" s="533"/>
      <c r="I13" s="533"/>
      <c r="J13" s="533" t="s">
        <v>15</v>
      </c>
      <c r="K13" s="533"/>
      <c r="L13" s="533"/>
      <c r="M13" s="531" t="s">
        <v>17</v>
      </c>
      <c r="N13" s="531" t="s">
        <v>16</v>
      </c>
      <c r="O13" s="293"/>
      <c r="P13" s="294"/>
      <c r="Q13" s="293"/>
      <c r="R13" s="296"/>
    </row>
    <row r="14" spans="1:18" s="295" customFormat="1" ht="15" customHeight="1" x14ac:dyDescent="0.25">
      <c r="A14" s="524"/>
      <c r="B14" s="528"/>
      <c r="C14" s="529"/>
      <c r="D14" s="530"/>
      <c r="E14" s="531"/>
      <c r="F14" s="532"/>
      <c r="G14" s="297" t="s">
        <v>11</v>
      </c>
      <c r="H14" s="297" t="s">
        <v>12</v>
      </c>
      <c r="I14" s="297" t="s">
        <v>13</v>
      </c>
      <c r="J14" s="297" t="s">
        <v>11</v>
      </c>
      <c r="K14" s="297" t="s">
        <v>12</v>
      </c>
      <c r="L14" s="297" t="s">
        <v>13</v>
      </c>
      <c r="M14" s="531"/>
      <c r="N14" s="531"/>
      <c r="O14" s="293"/>
      <c r="P14" s="294"/>
      <c r="Q14" s="293"/>
      <c r="R14" s="298"/>
    </row>
    <row r="15" spans="1:18" s="295" customFormat="1" ht="15" customHeight="1" x14ac:dyDescent="0.25">
      <c r="A15" s="299"/>
      <c r="B15" s="516">
        <v>1</v>
      </c>
      <c r="C15" s="517"/>
      <c r="D15" s="518"/>
      <c r="E15" s="300">
        <v>2</v>
      </c>
      <c r="F15" s="300">
        <v>3</v>
      </c>
      <c r="G15" s="300">
        <v>7</v>
      </c>
      <c r="H15" s="300">
        <v>8</v>
      </c>
      <c r="I15" s="300" t="s">
        <v>18</v>
      </c>
      <c r="J15" s="300">
        <v>10</v>
      </c>
      <c r="K15" s="300">
        <v>11</v>
      </c>
      <c r="L15" s="300" t="s">
        <v>19</v>
      </c>
      <c r="M15" s="300" t="s">
        <v>155</v>
      </c>
      <c r="N15" s="300" t="s">
        <v>36</v>
      </c>
      <c r="O15" s="293"/>
      <c r="P15" s="294"/>
      <c r="Q15" s="293"/>
      <c r="R15" s="293"/>
    </row>
    <row r="16" spans="1:18" s="295" customFormat="1" ht="15" customHeight="1" x14ac:dyDescent="0.25">
      <c r="A16" s="301"/>
      <c r="B16" s="519"/>
      <c r="C16" s="520"/>
      <c r="D16" s="521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293"/>
      <c r="P16" s="294"/>
      <c r="Q16" s="293"/>
      <c r="R16" s="293"/>
    </row>
    <row r="17" spans="1:21" ht="17.100000000000001" customHeight="1" x14ac:dyDescent="0.25">
      <c r="A17" s="303"/>
      <c r="B17" s="534" t="s">
        <v>20</v>
      </c>
      <c r="C17" s="535"/>
      <c r="D17" s="536"/>
      <c r="E17" s="303"/>
      <c r="F17" s="304">
        <f>+F18+F47+F122+F138+F239+F247+F298+F350</f>
        <v>428263811167</v>
      </c>
      <c r="G17" s="304">
        <f>+G18+G47+G122+G138+G239+G247+G298+G350</f>
        <v>0</v>
      </c>
      <c r="H17" s="304">
        <f>+H18+H47+H122+H138+H239+H247+H298+H350</f>
        <v>3650670167</v>
      </c>
      <c r="I17" s="304">
        <f>+G17+H17</f>
        <v>3650670167</v>
      </c>
      <c r="J17" s="304">
        <f>+J18+J47+J122+J138+J239+J247+J298+J350</f>
        <v>0</v>
      </c>
      <c r="K17" s="304">
        <f>+K18+K47+K122+K138+K239+K247+K298+K350</f>
        <v>114284700</v>
      </c>
      <c r="L17" s="304">
        <f>+J17+K17</f>
        <v>114284700</v>
      </c>
      <c r="M17" s="304">
        <f>+I17+L17</f>
        <v>3764954867</v>
      </c>
      <c r="N17" s="304">
        <f>+F17-M17</f>
        <v>424498856300</v>
      </c>
      <c r="R17" s="298"/>
      <c r="U17" s="294">
        <f>178000000+33460000+79728000+22342995000+29162378+3014333670+6242819000+179060000+4822000000+316799545+177216575</f>
        <v>37415574168</v>
      </c>
    </row>
    <row r="18" spans="1:21" s="309" customFormat="1" ht="18" customHeight="1" x14ac:dyDescent="0.25">
      <c r="A18" s="276"/>
      <c r="B18" s="305" t="s">
        <v>336</v>
      </c>
      <c r="C18" s="305"/>
      <c r="D18" s="305"/>
      <c r="E18" s="306" t="s">
        <v>335</v>
      </c>
      <c r="F18" s="307">
        <f>+F19+F32</f>
        <v>276269500</v>
      </c>
      <c r="G18" s="308">
        <f>+G19+G32</f>
        <v>0</v>
      </c>
      <c r="H18" s="308">
        <f>+H19+H32</f>
        <v>0</v>
      </c>
      <c r="I18" s="308">
        <f>+G18+H18</f>
        <v>0</v>
      </c>
      <c r="J18" s="308">
        <f>+J19+J32</f>
        <v>0</v>
      </c>
      <c r="K18" s="308">
        <f>+K19+K32</f>
        <v>8490000</v>
      </c>
      <c r="L18" s="308">
        <f>+J18+K18</f>
        <v>8490000</v>
      </c>
      <c r="M18" s="308">
        <f>+I18+L18</f>
        <v>8490000</v>
      </c>
      <c r="N18" s="307">
        <f>+F18-M18</f>
        <v>267779500</v>
      </c>
      <c r="P18" s="310">
        <f>+N19+N32+N48+N113+N123+N139+N165+N173+N184+N206+N240+N248+N256+N269+N278+N299+N312+N331+N337+N343+N351+N357+N369+N375</f>
        <v>424498856300</v>
      </c>
      <c r="Q18" s="309" t="s">
        <v>332</v>
      </c>
      <c r="R18" s="311"/>
      <c r="S18" s="312" t="s">
        <v>427</v>
      </c>
      <c r="T18" s="313"/>
    </row>
    <row r="19" spans="1:21" s="319" customFormat="1" ht="18" customHeight="1" x14ac:dyDescent="0.25">
      <c r="A19" s="275">
        <v>1</v>
      </c>
      <c r="B19" s="314"/>
      <c r="C19" s="314" t="s">
        <v>61</v>
      </c>
      <c r="D19" s="315"/>
      <c r="E19" s="316" t="s">
        <v>62</v>
      </c>
      <c r="F19" s="317">
        <f t="shared" ref="F19:H20" si="0">+F20</f>
        <v>117975500</v>
      </c>
      <c r="G19" s="318">
        <f t="shared" si="0"/>
        <v>0</v>
      </c>
      <c r="H19" s="318">
        <f t="shared" si="0"/>
        <v>0</v>
      </c>
      <c r="I19" s="318">
        <f>+G19+H19</f>
        <v>0</v>
      </c>
      <c r="J19" s="318">
        <f>+J20</f>
        <v>0</v>
      </c>
      <c r="K19" s="318">
        <f>+K20</f>
        <v>4190000</v>
      </c>
      <c r="L19" s="318">
        <f>+J19+K19</f>
        <v>4190000</v>
      </c>
      <c r="M19" s="318">
        <f>+I19+L19</f>
        <v>4190000</v>
      </c>
      <c r="N19" s="317">
        <f>+F19-M19</f>
        <v>113785500</v>
      </c>
      <c r="P19" s="320"/>
      <c r="R19" s="321"/>
      <c r="S19" s="322">
        <f>SUM(S24:S361)</f>
        <v>0</v>
      </c>
      <c r="T19" s="322">
        <f>SUM(T24:T434)</f>
        <v>0</v>
      </c>
    </row>
    <row r="20" spans="1:21" s="329" customFormat="1" ht="18" customHeight="1" x14ac:dyDescent="0.25">
      <c r="A20" s="323"/>
      <c r="B20" s="324"/>
      <c r="C20" s="324"/>
      <c r="D20" s="325" t="s">
        <v>207</v>
      </c>
      <c r="E20" s="326" t="s">
        <v>262</v>
      </c>
      <c r="F20" s="327">
        <f t="shared" si="0"/>
        <v>117975500</v>
      </c>
      <c r="G20" s="328">
        <f t="shared" si="0"/>
        <v>0</v>
      </c>
      <c r="H20" s="328">
        <f t="shared" si="0"/>
        <v>0</v>
      </c>
      <c r="I20" s="328">
        <f>+G20+H20</f>
        <v>0</v>
      </c>
      <c r="J20" s="328">
        <f>+J21</f>
        <v>0</v>
      </c>
      <c r="K20" s="328">
        <f>+K21</f>
        <v>4190000</v>
      </c>
      <c r="L20" s="328">
        <f t="shared" ref="L20:L28" si="1">+J20+K20</f>
        <v>4190000</v>
      </c>
      <c r="M20" s="328">
        <f>+I20+L20</f>
        <v>4190000</v>
      </c>
      <c r="N20" s="327">
        <f>+F20-M20</f>
        <v>113785500</v>
      </c>
      <c r="P20" s="330"/>
      <c r="R20" s="331"/>
      <c r="S20" s="332"/>
      <c r="T20" s="332"/>
      <c r="U20" s="333"/>
    </row>
    <row r="21" spans="1:21" s="339" customFormat="1" ht="18" customHeight="1" x14ac:dyDescent="0.25">
      <c r="A21" s="334"/>
      <c r="B21" s="335"/>
      <c r="C21" s="335"/>
      <c r="D21" s="335" t="s">
        <v>63</v>
      </c>
      <c r="E21" s="336" t="s">
        <v>30</v>
      </c>
      <c r="F21" s="337">
        <f>+F22+F29</f>
        <v>117975500</v>
      </c>
      <c r="G21" s="338">
        <f>+G22+G29</f>
        <v>0</v>
      </c>
      <c r="H21" s="338">
        <f>+H22+H29</f>
        <v>0</v>
      </c>
      <c r="I21" s="338">
        <f>+G21+H21</f>
        <v>0</v>
      </c>
      <c r="J21" s="338">
        <f>+J22+J29</f>
        <v>0</v>
      </c>
      <c r="K21" s="338">
        <f>+K22+K29</f>
        <v>4190000</v>
      </c>
      <c r="L21" s="338">
        <f>+J21+K21</f>
        <v>4190000</v>
      </c>
      <c r="M21" s="338">
        <f>+I21+L21</f>
        <v>4190000</v>
      </c>
      <c r="N21" s="337">
        <f>+F21-M21</f>
        <v>113785500</v>
      </c>
      <c r="P21" s="340">
        <f>H386+H387+K386+K387</f>
        <v>3836890935</v>
      </c>
      <c r="Q21" s="339" t="s">
        <v>334</v>
      </c>
      <c r="S21" s="341"/>
      <c r="T21" s="341"/>
      <c r="U21" s="342"/>
    </row>
    <row r="22" spans="1:21" s="339" customFormat="1" ht="18" customHeight="1" x14ac:dyDescent="0.25">
      <c r="A22" s="334"/>
      <c r="B22" s="335"/>
      <c r="C22" s="335"/>
      <c r="D22" s="335" t="s">
        <v>263</v>
      </c>
      <c r="E22" s="336" t="s">
        <v>264</v>
      </c>
      <c r="F22" s="337">
        <f>+F23</f>
        <v>65295500</v>
      </c>
      <c r="G22" s="338">
        <f>+G23</f>
        <v>0</v>
      </c>
      <c r="H22" s="338">
        <f>+H23</f>
        <v>0</v>
      </c>
      <c r="I22" s="338">
        <f t="shared" ref="I22:I31" si="2">+G22+H22</f>
        <v>0</v>
      </c>
      <c r="J22" s="338">
        <f>+J23</f>
        <v>0</v>
      </c>
      <c r="K22" s="338">
        <f>+K23</f>
        <v>0</v>
      </c>
      <c r="L22" s="338">
        <f t="shared" si="1"/>
        <v>0</v>
      </c>
      <c r="M22" s="338">
        <f t="shared" ref="M22:M31" si="3">+I22+L22</f>
        <v>0</v>
      </c>
      <c r="N22" s="337">
        <f t="shared" ref="N22:N31" si="4">+F22-M22</f>
        <v>65295500</v>
      </c>
      <c r="P22" s="343">
        <f>+H17+K17</f>
        <v>3764954867</v>
      </c>
      <c r="Q22" s="339" t="s">
        <v>333</v>
      </c>
      <c r="S22" s="341"/>
      <c r="T22" s="341"/>
      <c r="U22" s="342"/>
    </row>
    <row r="23" spans="1:21" s="339" customFormat="1" ht="18" customHeight="1" x14ac:dyDescent="0.25">
      <c r="A23" s="334"/>
      <c r="B23" s="335"/>
      <c r="C23" s="335"/>
      <c r="D23" s="335" t="s">
        <v>64</v>
      </c>
      <c r="E23" s="335" t="s">
        <v>65</v>
      </c>
      <c r="F23" s="337">
        <f>SUM(F24:F28)</f>
        <v>65295500</v>
      </c>
      <c r="G23" s="344">
        <f>SUM(G24:G28)</f>
        <v>0</v>
      </c>
      <c r="H23" s="344">
        <f>SUM(H24:H28)</f>
        <v>0</v>
      </c>
      <c r="I23" s="338">
        <f>+G23+H23</f>
        <v>0</v>
      </c>
      <c r="J23" s="338">
        <f>+SUM(J24:J28)</f>
        <v>0</v>
      </c>
      <c r="K23" s="338">
        <f>+SUM(K24:K28)</f>
        <v>0</v>
      </c>
      <c r="L23" s="338">
        <f>+J23+K23</f>
        <v>0</v>
      </c>
      <c r="M23" s="338">
        <f>+I23+L23</f>
        <v>0</v>
      </c>
      <c r="N23" s="337">
        <f>+F23-M23</f>
        <v>65295500</v>
      </c>
      <c r="P23" s="340"/>
      <c r="S23" s="341"/>
      <c r="T23" s="341"/>
      <c r="U23" s="342"/>
    </row>
    <row r="24" spans="1:21" s="339" customFormat="1" ht="18" customHeight="1" x14ac:dyDescent="0.25">
      <c r="A24" s="334"/>
      <c r="B24" s="335"/>
      <c r="C24" s="335"/>
      <c r="D24" s="335" t="s">
        <v>66</v>
      </c>
      <c r="E24" s="335" t="s">
        <v>67</v>
      </c>
      <c r="F24" s="337">
        <v>7554500</v>
      </c>
      <c r="G24" s="338"/>
      <c r="H24" s="338"/>
      <c r="I24" s="338">
        <f t="shared" si="2"/>
        <v>0</v>
      </c>
      <c r="J24" s="338"/>
      <c r="K24" s="338"/>
      <c r="L24" s="338">
        <f t="shared" si="1"/>
        <v>0</v>
      </c>
      <c r="M24" s="338">
        <f>+I24+L24</f>
        <v>0</v>
      </c>
      <c r="N24" s="337">
        <f t="shared" si="4"/>
        <v>7554500</v>
      </c>
      <c r="P24" s="340"/>
      <c r="S24" s="345"/>
      <c r="T24" s="345"/>
      <c r="U24" s="342"/>
    </row>
    <row r="25" spans="1:21" s="339" customFormat="1" ht="18" customHeight="1" x14ac:dyDescent="0.25">
      <c r="A25" s="334"/>
      <c r="B25" s="335"/>
      <c r="C25" s="335"/>
      <c r="D25" s="335" t="s">
        <v>337</v>
      </c>
      <c r="E25" s="335" t="s">
        <v>338</v>
      </c>
      <c r="F25" s="337">
        <v>6408000</v>
      </c>
      <c r="G25" s="338"/>
      <c r="H25" s="338"/>
      <c r="I25" s="338">
        <f>+G25+H25</f>
        <v>0</v>
      </c>
      <c r="J25" s="338"/>
      <c r="K25" s="338"/>
      <c r="L25" s="338">
        <f t="shared" si="1"/>
        <v>0</v>
      </c>
      <c r="M25" s="338">
        <f t="shared" si="3"/>
        <v>0</v>
      </c>
      <c r="N25" s="337">
        <f t="shared" si="4"/>
        <v>6408000</v>
      </c>
      <c r="P25" s="340"/>
      <c r="S25" s="345"/>
      <c r="T25" s="345"/>
      <c r="U25" s="342"/>
    </row>
    <row r="26" spans="1:21" s="339" customFormat="1" ht="18" customHeight="1" x14ac:dyDescent="0.25">
      <c r="A26" s="334"/>
      <c r="B26" s="335"/>
      <c r="C26" s="335"/>
      <c r="D26" s="335" t="s">
        <v>68</v>
      </c>
      <c r="E26" s="335" t="s">
        <v>69</v>
      </c>
      <c r="F26" s="337">
        <v>44208000</v>
      </c>
      <c r="G26" s="338"/>
      <c r="H26" s="338"/>
      <c r="I26" s="338">
        <f t="shared" si="2"/>
        <v>0</v>
      </c>
      <c r="J26" s="338"/>
      <c r="K26" s="338"/>
      <c r="L26" s="338">
        <f t="shared" si="1"/>
        <v>0</v>
      </c>
      <c r="M26" s="338">
        <f t="shared" si="3"/>
        <v>0</v>
      </c>
      <c r="N26" s="337">
        <f t="shared" si="4"/>
        <v>44208000</v>
      </c>
      <c r="P26" s="340">
        <f>5440000000+63000000+730000000+7470000000+6242819000+3024665072+31328939+4570000000+12239500000+3046850000+197720000+310724118</f>
        <v>43366607129</v>
      </c>
      <c r="Q26" s="339" t="s">
        <v>428</v>
      </c>
      <c r="S26" s="345"/>
      <c r="T26" s="345"/>
      <c r="U26" s="342"/>
    </row>
    <row r="27" spans="1:21" s="339" customFormat="1" ht="18" customHeight="1" x14ac:dyDescent="0.25">
      <c r="A27" s="334"/>
      <c r="B27" s="335"/>
      <c r="C27" s="335"/>
      <c r="D27" s="335" t="s">
        <v>339</v>
      </c>
      <c r="E27" s="335" t="s">
        <v>340</v>
      </c>
      <c r="F27" s="337">
        <v>2125000</v>
      </c>
      <c r="G27" s="338"/>
      <c r="H27" s="338"/>
      <c r="I27" s="338"/>
      <c r="J27" s="338"/>
      <c r="K27" s="338"/>
      <c r="L27" s="338">
        <f t="shared" si="1"/>
        <v>0</v>
      </c>
      <c r="M27" s="338">
        <f t="shared" si="3"/>
        <v>0</v>
      </c>
      <c r="N27" s="337">
        <f t="shared" si="4"/>
        <v>2125000</v>
      </c>
      <c r="P27" s="340"/>
      <c r="S27" s="345"/>
      <c r="T27" s="345"/>
      <c r="U27" s="342"/>
    </row>
    <row r="28" spans="1:21" s="339" customFormat="1" ht="18" customHeight="1" x14ac:dyDescent="0.25">
      <c r="A28" s="334"/>
      <c r="B28" s="335"/>
      <c r="C28" s="335"/>
      <c r="D28" s="335" t="s">
        <v>70</v>
      </c>
      <c r="E28" s="335" t="s">
        <v>33</v>
      </c>
      <c r="F28" s="337">
        <v>5000000</v>
      </c>
      <c r="G28" s="338"/>
      <c r="H28" s="338"/>
      <c r="I28" s="338"/>
      <c r="J28" s="338"/>
      <c r="K28" s="338"/>
      <c r="L28" s="338">
        <f t="shared" si="1"/>
        <v>0</v>
      </c>
      <c r="M28" s="338">
        <f t="shared" si="3"/>
        <v>0</v>
      </c>
      <c r="N28" s="337">
        <f t="shared" si="4"/>
        <v>5000000</v>
      </c>
      <c r="P28" s="340"/>
      <c r="S28" s="345"/>
      <c r="T28" s="345"/>
      <c r="U28" s="342"/>
    </row>
    <row r="29" spans="1:21" s="339" customFormat="1" ht="18" customHeight="1" x14ac:dyDescent="0.25">
      <c r="A29" s="334"/>
      <c r="B29" s="335"/>
      <c r="C29" s="335"/>
      <c r="D29" s="335" t="s">
        <v>271</v>
      </c>
      <c r="E29" s="336" t="s">
        <v>272</v>
      </c>
      <c r="F29" s="337">
        <f>+F30</f>
        <v>52680000</v>
      </c>
      <c r="G29" s="338">
        <f>+G30</f>
        <v>0</v>
      </c>
      <c r="H29" s="338">
        <f>+H30</f>
        <v>0</v>
      </c>
      <c r="I29" s="338">
        <f>+G29+H29</f>
        <v>0</v>
      </c>
      <c r="J29" s="338">
        <f>+J30</f>
        <v>0</v>
      </c>
      <c r="K29" s="338">
        <f>+K30</f>
        <v>4190000</v>
      </c>
      <c r="L29" s="338">
        <f>+J29+K29</f>
        <v>4190000</v>
      </c>
      <c r="M29" s="338">
        <f>+I29+L29</f>
        <v>4190000</v>
      </c>
      <c r="N29" s="337">
        <f t="shared" si="4"/>
        <v>48490000</v>
      </c>
      <c r="P29" s="340"/>
      <c r="S29" s="341"/>
      <c r="T29" s="341"/>
      <c r="U29" s="342"/>
    </row>
    <row r="30" spans="1:21" s="339" customFormat="1" ht="18" customHeight="1" x14ac:dyDescent="0.25">
      <c r="A30" s="334"/>
      <c r="B30" s="335"/>
      <c r="C30" s="335"/>
      <c r="D30" s="335" t="s">
        <v>81</v>
      </c>
      <c r="E30" s="335" t="s">
        <v>31</v>
      </c>
      <c r="F30" s="337">
        <f>SUM(F31:F31)</f>
        <v>52680000</v>
      </c>
      <c r="G30" s="344">
        <f>+G31</f>
        <v>0</v>
      </c>
      <c r="H30" s="338">
        <f>+SUM(H31:H31)</f>
        <v>0</v>
      </c>
      <c r="I30" s="338">
        <f t="shared" si="2"/>
        <v>0</v>
      </c>
      <c r="J30" s="338">
        <f>+SUM(J31:J31)</f>
        <v>0</v>
      </c>
      <c r="K30" s="338">
        <f>+SUM(K31:K31)</f>
        <v>4190000</v>
      </c>
      <c r="L30" s="338">
        <f>+J30+K30</f>
        <v>4190000</v>
      </c>
      <c r="M30" s="338">
        <f t="shared" si="3"/>
        <v>4190000</v>
      </c>
      <c r="N30" s="337">
        <f t="shared" si="4"/>
        <v>48490000</v>
      </c>
      <c r="P30" s="340"/>
      <c r="S30" s="341"/>
      <c r="T30" s="341"/>
      <c r="U30" s="342"/>
    </row>
    <row r="31" spans="1:21" s="339" customFormat="1" ht="18" customHeight="1" x14ac:dyDescent="0.25">
      <c r="A31" s="334"/>
      <c r="B31" s="335"/>
      <c r="C31" s="335"/>
      <c r="D31" s="335" t="s">
        <v>82</v>
      </c>
      <c r="E31" s="335" t="s">
        <v>83</v>
      </c>
      <c r="F31" s="337">
        <v>52680000</v>
      </c>
      <c r="G31" s="338"/>
      <c r="H31" s="338"/>
      <c r="I31" s="338">
        <f t="shared" si="2"/>
        <v>0</v>
      </c>
      <c r="J31" s="338"/>
      <c r="K31" s="338">
        <v>4190000</v>
      </c>
      <c r="L31" s="338">
        <f t="shared" ref="L31" si="5">+J31+K31</f>
        <v>4190000</v>
      </c>
      <c r="M31" s="338">
        <f t="shared" si="3"/>
        <v>4190000</v>
      </c>
      <c r="N31" s="337">
        <f t="shared" si="4"/>
        <v>48490000</v>
      </c>
      <c r="P31" s="340"/>
      <c r="S31" s="346"/>
      <c r="T31" s="347"/>
      <c r="U31" s="342"/>
    </row>
    <row r="32" spans="1:21" s="319" customFormat="1" ht="32.25" customHeight="1" x14ac:dyDescent="0.25">
      <c r="A32" s="275">
        <v>2</v>
      </c>
      <c r="B32" s="314"/>
      <c r="C32" s="314" t="s">
        <v>79</v>
      </c>
      <c r="D32" s="315"/>
      <c r="E32" s="348" t="s">
        <v>80</v>
      </c>
      <c r="F32" s="317">
        <f t="shared" ref="F32:H33" si="6">+F33</f>
        <v>158294000</v>
      </c>
      <c r="G32" s="318">
        <f t="shared" si="6"/>
        <v>0</v>
      </c>
      <c r="H32" s="318">
        <f t="shared" si="6"/>
        <v>0</v>
      </c>
      <c r="I32" s="318">
        <f>+G32+H32</f>
        <v>0</v>
      </c>
      <c r="J32" s="318">
        <f>+J33</f>
        <v>0</v>
      </c>
      <c r="K32" s="318">
        <f>+K33</f>
        <v>4300000</v>
      </c>
      <c r="L32" s="318">
        <f>+J32+K32</f>
        <v>4300000</v>
      </c>
      <c r="M32" s="318">
        <f>+I32+L32</f>
        <v>4300000</v>
      </c>
      <c r="N32" s="317">
        <f>+F32-M32</f>
        <v>153994000</v>
      </c>
      <c r="P32" s="320"/>
      <c r="R32" s="321"/>
      <c r="S32" s="349"/>
      <c r="T32" s="349"/>
      <c r="U32" s="350"/>
    </row>
    <row r="33" spans="1:21" s="329" customFormat="1" ht="18" customHeight="1" x14ac:dyDescent="0.25">
      <c r="A33" s="323"/>
      <c r="B33" s="324"/>
      <c r="C33" s="324"/>
      <c r="D33" s="325" t="s">
        <v>207</v>
      </c>
      <c r="E33" s="326" t="s">
        <v>262</v>
      </c>
      <c r="F33" s="327">
        <f t="shared" si="6"/>
        <v>158294000</v>
      </c>
      <c r="G33" s="328">
        <f t="shared" si="6"/>
        <v>0</v>
      </c>
      <c r="H33" s="328">
        <f t="shared" si="6"/>
        <v>0</v>
      </c>
      <c r="I33" s="328">
        <f t="shared" ref="I33:I37" si="7">+G33+H33</f>
        <v>0</v>
      </c>
      <c r="J33" s="328">
        <f>+J34</f>
        <v>0</v>
      </c>
      <c r="K33" s="328">
        <f>+K34</f>
        <v>4300000</v>
      </c>
      <c r="L33" s="328">
        <f t="shared" ref="L33:L35" si="8">+J33+K33</f>
        <v>4300000</v>
      </c>
      <c r="M33" s="328">
        <f>+I33+L33</f>
        <v>4300000</v>
      </c>
      <c r="N33" s="327">
        <f t="shared" ref="N33:N36" si="9">+F33-M33</f>
        <v>153994000</v>
      </c>
      <c r="P33" s="330"/>
      <c r="R33" s="331"/>
      <c r="S33" s="351"/>
      <c r="T33" s="351"/>
      <c r="U33" s="333"/>
    </row>
    <row r="34" spans="1:21" s="339" customFormat="1" ht="18" customHeight="1" x14ac:dyDescent="0.25">
      <c r="A34" s="334"/>
      <c r="B34" s="335"/>
      <c r="C34" s="335"/>
      <c r="D34" s="335" t="s">
        <v>63</v>
      </c>
      <c r="E34" s="336" t="s">
        <v>30</v>
      </c>
      <c r="F34" s="337">
        <f>+F35+F42</f>
        <v>158294000</v>
      </c>
      <c r="G34" s="338">
        <f>+G35+G42</f>
        <v>0</v>
      </c>
      <c r="H34" s="338">
        <f>+H35+H42</f>
        <v>0</v>
      </c>
      <c r="I34" s="338">
        <f t="shared" si="7"/>
        <v>0</v>
      </c>
      <c r="J34" s="338">
        <f>+J35+J42</f>
        <v>0</v>
      </c>
      <c r="K34" s="338">
        <f>+K35+K42</f>
        <v>4300000</v>
      </c>
      <c r="L34" s="338">
        <f t="shared" si="8"/>
        <v>4300000</v>
      </c>
      <c r="M34" s="338">
        <f t="shared" ref="M34:M35" si="10">+I34+L34</f>
        <v>4300000</v>
      </c>
      <c r="N34" s="337">
        <f t="shared" si="9"/>
        <v>153994000</v>
      </c>
      <c r="P34" s="340"/>
      <c r="S34" s="347"/>
      <c r="T34" s="347"/>
      <c r="U34" s="342"/>
    </row>
    <row r="35" spans="1:21" s="339" customFormat="1" ht="18" customHeight="1" x14ac:dyDescent="0.25">
      <c r="A35" s="334"/>
      <c r="B35" s="335"/>
      <c r="C35" s="335"/>
      <c r="D35" s="335" t="s">
        <v>263</v>
      </c>
      <c r="E35" s="336" t="s">
        <v>264</v>
      </c>
      <c r="F35" s="337">
        <f t="shared" ref="F35" si="11">+F36</f>
        <v>76694000</v>
      </c>
      <c r="G35" s="338">
        <f>+G36</f>
        <v>0</v>
      </c>
      <c r="H35" s="338">
        <f>+H36</f>
        <v>0</v>
      </c>
      <c r="I35" s="338">
        <f t="shared" si="7"/>
        <v>0</v>
      </c>
      <c r="J35" s="338">
        <f>+J36</f>
        <v>0</v>
      </c>
      <c r="K35" s="338">
        <f>+K36</f>
        <v>0</v>
      </c>
      <c r="L35" s="338">
        <f t="shared" si="8"/>
        <v>0</v>
      </c>
      <c r="M35" s="338">
        <f t="shared" si="10"/>
        <v>0</v>
      </c>
      <c r="N35" s="337">
        <f t="shared" si="9"/>
        <v>76694000</v>
      </c>
      <c r="P35" s="340"/>
      <c r="S35" s="347"/>
      <c r="T35" s="347"/>
      <c r="U35" s="342"/>
    </row>
    <row r="36" spans="1:21" s="339" customFormat="1" ht="18" customHeight="1" x14ac:dyDescent="0.25">
      <c r="A36" s="334"/>
      <c r="B36" s="335"/>
      <c r="C36" s="335"/>
      <c r="D36" s="335" t="s">
        <v>64</v>
      </c>
      <c r="E36" s="335" t="s">
        <v>65</v>
      </c>
      <c r="F36" s="337">
        <f>SUM(F37:F41)</f>
        <v>76694000</v>
      </c>
      <c r="G36" s="344">
        <f>SUM(G37:G41)</f>
        <v>0</v>
      </c>
      <c r="H36" s="344">
        <f>SUM(H37:H41)</f>
        <v>0</v>
      </c>
      <c r="I36" s="338">
        <f t="shared" si="7"/>
        <v>0</v>
      </c>
      <c r="J36" s="338">
        <f>SUM(J37:J41)</f>
        <v>0</v>
      </c>
      <c r="K36" s="338">
        <f>SUM(K37:K41)</f>
        <v>0</v>
      </c>
      <c r="L36" s="338">
        <f>+J36+K36</f>
        <v>0</v>
      </c>
      <c r="M36" s="338">
        <f>+I36+L36</f>
        <v>0</v>
      </c>
      <c r="N36" s="337">
        <f t="shared" si="9"/>
        <v>76694000</v>
      </c>
      <c r="P36" s="340"/>
      <c r="S36" s="347"/>
      <c r="T36" s="347"/>
      <c r="U36" s="342"/>
    </row>
    <row r="37" spans="1:21" s="339" customFormat="1" ht="18" customHeight="1" x14ac:dyDescent="0.25">
      <c r="A37" s="334"/>
      <c r="B37" s="352"/>
      <c r="C37" s="335"/>
      <c r="D37" s="335" t="s">
        <v>66</v>
      </c>
      <c r="E37" s="335" t="s">
        <v>67</v>
      </c>
      <c r="F37" s="337">
        <v>8160000</v>
      </c>
      <c r="G37" s="338"/>
      <c r="H37" s="338"/>
      <c r="I37" s="338">
        <f t="shared" si="7"/>
        <v>0</v>
      </c>
      <c r="J37" s="338"/>
      <c r="K37" s="338"/>
      <c r="L37" s="338">
        <f t="shared" ref="L37" si="12">+J37+K37</f>
        <v>0</v>
      </c>
      <c r="M37" s="338">
        <f t="shared" ref="M37" si="13">+I37+L37</f>
        <v>0</v>
      </c>
      <c r="N37" s="337">
        <f>+F37-M37</f>
        <v>8160000</v>
      </c>
      <c r="P37" s="340"/>
      <c r="S37" s="346"/>
      <c r="T37" s="347"/>
      <c r="U37" s="342"/>
    </row>
    <row r="38" spans="1:21" s="339" customFormat="1" ht="18" customHeight="1" x14ac:dyDescent="0.25">
      <c r="A38" s="334"/>
      <c r="B38" s="352"/>
      <c r="C38" s="335"/>
      <c r="D38" s="335" t="s">
        <v>337</v>
      </c>
      <c r="E38" s="335" t="s">
        <v>338</v>
      </c>
      <c r="F38" s="337">
        <v>5112000</v>
      </c>
      <c r="G38" s="338"/>
      <c r="H38" s="338"/>
      <c r="I38" s="338"/>
      <c r="J38" s="338"/>
      <c r="K38" s="338"/>
      <c r="L38" s="338">
        <f>+J38+K38</f>
        <v>0</v>
      </c>
      <c r="M38" s="338">
        <f>+I38+L38</f>
        <v>0</v>
      </c>
      <c r="N38" s="337">
        <f>+F38-M38</f>
        <v>5112000</v>
      </c>
      <c r="P38" s="340"/>
      <c r="S38" s="346"/>
      <c r="T38" s="347"/>
      <c r="U38" s="342"/>
    </row>
    <row r="39" spans="1:21" s="339" customFormat="1" ht="18" customHeight="1" x14ac:dyDescent="0.25">
      <c r="A39" s="334"/>
      <c r="B39" s="352"/>
      <c r="C39" s="335"/>
      <c r="D39" s="335" t="s">
        <v>68</v>
      </c>
      <c r="E39" s="335" t="s">
        <v>69</v>
      </c>
      <c r="F39" s="337">
        <v>36414000</v>
      </c>
      <c r="G39" s="338"/>
      <c r="H39" s="338"/>
      <c r="I39" s="338"/>
      <c r="J39" s="338"/>
      <c r="K39" s="338"/>
      <c r="L39" s="338">
        <f t="shared" ref="L39:L41" si="14">+J39+K39</f>
        <v>0</v>
      </c>
      <c r="M39" s="338">
        <f t="shared" ref="M39:M41" si="15">+I39+L39</f>
        <v>0</v>
      </c>
      <c r="N39" s="337">
        <f t="shared" ref="N39:N45" si="16">+F39-M39</f>
        <v>36414000</v>
      </c>
      <c r="P39" s="340"/>
      <c r="S39" s="346"/>
      <c r="T39" s="347"/>
      <c r="U39" s="342"/>
    </row>
    <row r="40" spans="1:21" s="339" customFormat="1" ht="18" customHeight="1" x14ac:dyDescent="0.25">
      <c r="A40" s="334"/>
      <c r="B40" s="352"/>
      <c r="C40" s="335"/>
      <c r="D40" s="335" t="s">
        <v>339</v>
      </c>
      <c r="E40" s="335" t="s">
        <v>340</v>
      </c>
      <c r="F40" s="337">
        <v>12008000</v>
      </c>
      <c r="G40" s="338"/>
      <c r="H40" s="338"/>
      <c r="I40" s="338"/>
      <c r="J40" s="338"/>
      <c r="K40" s="338"/>
      <c r="L40" s="338">
        <f t="shared" si="14"/>
        <v>0</v>
      </c>
      <c r="M40" s="338">
        <f t="shared" si="15"/>
        <v>0</v>
      </c>
      <c r="N40" s="337">
        <f t="shared" si="16"/>
        <v>12008000</v>
      </c>
      <c r="P40" s="340"/>
      <c r="S40" s="346"/>
      <c r="T40" s="347"/>
      <c r="U40" s="342"/>
    </row>
    <row r="41" spans="1:21" s="339" customFormat="1" ht="18" customHeight="1" x14ac:dyDescent="0.25">
      <c r="A41" s="334"/>
      <c r="B41" s="352"/>
      <c r="C41" s="335"/>
      <c r="D41" s="335" t="s">
        <v>70</v>
      </c>
      <c r="E41" s="335" t="s">
        <v>33</v>
      </c>
      <c r="F41" s="337">
        <v>15000000</v>
      </c>
      <c r="G41" s="338"/>
      <c r="H41" s="338"/>
      <c r="I41" s="338">
        <f>+G41+H41</f>
        <v>0</v>
      </c>
      <c r="J41" s="338"/>
      <c r="K41" s="338"/>
      <c r="L41" s="338">
        <f t="shared" si="14"/>
        <v>0</v>
      </c>
      <c r="M41" s="338">
        <f t="shared" si="15"/>
        <v>0</v>
      </c>
      <c r="N41" s="337">
        <f t="shared" si="16"/>
        <v>15000000</v>
      </c>
      <c r="P41" s="340"/>
      <c r="S41" s="346"/>
      <c r="T41" s="347"/>
      <c r="U41" s="342"/>
    </row>
    <row r="42" spans="1:21" s="339" customFormat="1" ht="18" customHeight="1" x14ac:dyDescent="0.25">
      <c r="A42" s="334"/>
      <c r="B42" s="335"/>
      <c r="C42" s="335"/>
      <c r="D42" s="335" t="s">
        <v>271</v>
      </c>
      <c r="E42" s="336" t="s">
        <v>272</v>
      </c>
      <c r="F42" s="337">
        <f>+F43</f>
        <v>81600000</v>
      </c>
      <c r="G42" s="338">
        <f>+G43</f>
        <v>0</v>
      </c>
      <c r="H42" s="338">
        <f>+H43</f>
        <v>0</v>
      </c>
      <c r="I42" s="338">
        <f t="shared" ref="I42:I45" si="17">+G42+H42</f>
        <v>0</v>
      </c>
      <c r="J42" s="338">
        <f>+J43</f>
        <v>0</v>
      </c>
      <c r="K42" s="338">
        <f>+K43</f>
        <v>4300000</v>
      </c>
      <c r="L42" s="338">
        <f>+J42+K42</f>
        <v>4300000</v>
      </c>
      <c r="M42" s="338">
        <f>+I42+L42</f>
        <v>4300000</v>
      </c>
      <c r="N42" s="337">
        <f t="shared" si="16"/>
        <v>77300000</v>
      </c>
      <c r="P42" s="340"/>
      <c r="S42" s="346"/>
      <c r="T42" s="347"/>
      <c r="U42" s="342"/>
    </row>
    <row r="43" spans="1:21" s="339" customFormat="1" ht="18" customHeight="1" x14ac:dyDescent="0.25">
      <c r="A43" s="334"/>
      <c r="B43" s="335"/>
      <c r="C43" s="335"/>
      <c r="D43" s="335" t="s">
        <v>81</v>
      </c>
      <c r="E43" s="335" t="s">
        <v>31</v>
      </c>
      <c r="F43" s="337">
        <f>SUM(F44:F45)</f>
        <v>81600000</v>
      </c>
      <c r="G43" s="344">
        <f>+G45</f>
        <v>0</v>
      </c>
      <c r="H43" s="338">
        <f>+SUM(H45:H45)</f>
        <v>0</v>
      </c>
      <c r="I43" s="338">
        <f t="shared" si="17"/>
        <v>0</v>
      </c>
      <c r="J43" s="338">
        <f>+SUM(J45:J45)</f>
        <v>0</v>
      </c>
      <c r="K43" s="338">
        <f>+SUM(K45:K45)</f>
        <v>4300000</v>
      </c>
      <c r="L43" s="338">
        <f t="shared" ref="L43:L45" si="18">+J43+K43</f>
        <v>4300000</v>
      </c>
      <c r="M43" s="338">
        <f t="shared" ref="M43:M45" si="19">+I43+L43</f>
        <v>4300000</v>
      </c>
      <c r="N43" s="337">
        <f t="shared" si="16"/>
        <v>77300000</v>
      </c>
      <c r="P43" s="340"/>
      <c r="S43" s="346"/>
      <c r="T43" s="347"/>
      <c r="U43" s="342"/>
    </row>
    <row r="44" spans="1:21" s="339" customFormat="1" ht="18" customHeight="1" x14ac:dyDescent="0.25">
      <c r="A44" s="334"/>
      <c r="B44" s="335"/>
      <c r="C44" s="335"/>
      <c r="D44" s="335" t="s">
        <v>451</v>
      </c>
      <c r="E44" s="335" t="s">
        <v>452</v>
      </c>
      <c r="F44" s="337">
        <v>30000000</v>
      </c>
      <c r="G44" s="338"/>
      <c r="H44" s="338"/>
      <c r="I44" s="338">
        <f t="shared" si="17"/>
        <v>0</v>
      </c>
      <c r="J44" s="338"/>
      <c r="K44" s="338"/>
      <c r="L44" s="338">
        <f t="shared" si="18"/>
        <v>0</v>
      </c>
      <c r="M44" s="338">
        <f t="shared" si="19"/>
        <v>0</v>
      </c>
      <c r="N44" s="337">
        <f t="shared" si="16"/>
        <v>30000000</v>
      </c>
      <c r="P44" s="340"/>
      <c r="S44" s="346"/>
      <c r="T44" s="347"/>
      <c r="U44" s="342"/>
    </row>
    <row r="45" spans="1:21" s="339" customFormat="1" ht="18" customHeight="1" x14ac:dyDescent="0.25">
      <c r="A45" s="334"/>
      <c r="B45" s="335"/>
      <c r="C45" s="335"/>
      <c r="D45" s="335" t="s">
        <v>82</v>
      </c>
      <c r="E45" s="335" t="s">
        <v>83</v>
      </c>
      <c r="F45" s="337">
        <v>51600000</v>
      </c>
      <c r="G45" s="338"/>
      <c r="H45" s="338"/>
      <c r="I45" s="338">
        <f t="shared" si="17"/>
        <v>0</v>
      </c>
      <c r="J45" s="338"/>
      <c r="K45" s="338">
        <v>4300000</v>
      </c>
      <c r="L45" s="338">
        <f t="shared" si="18"/>
        <v>4300000</v>
      </c>
      <c r="M45" s="338">
        <f t="shared" si="19"/>
        <v>4300000</v>
      </c>
      <c r="N45" s="337">
        <f t="shared" si="16"/>
        <v>47300000</v>
      </c>
      <c r="P45" s="340"/>
      <c r="S45" s="346"/>
      <c r="T45" s="347"/>
      <c r="U45" s="342"/>
    </row>
    <row r="46" spans="1:21" s="153" customFormat="1" ht="18" customHeight="1" x14ac:dyDescent="0.25">
      <c r="A46" s="353"/>
      <c r="B46" s="354"/>
      <c r="C46" s="354"/>
      <c r="D46" s="355"/>
      <c r="E46" s="355"/>
      <c r="F46" s="356"/>
      <c r="G46" s="357"/>
      <c r="H46" s="357"/>
      <c r="I46" s="357"/>
      <c r="J46" s="357"/>
      <c r="K46" s="357"/>
      <c r="L46" s="357"/>
      <c r="M46" s="357"/>
      <c r="N46" s="356"/>
      <c r="P46" s="200"/>
      <c r="S46" s="358"/>
      <c r="T46" s="221"/>
      <c r="U46" s="254"/>
    </row>
    <row r="47" spans="1:21" s="319" customFormat="1" ht="18" customHeight="1" x14ac:dyDescent="0.25">
      <c r="A47" s="276"/>
      <c r="B47" s="305" t="s">
        <v>407</v>
      </c>
      <c r="C47" s="305"/>
      <c r="D47" s="305"/>
      <c r="E47" s="305" t="s">
        <v>408</v>
      </c>
      <c r="F47" s="359">
        <f>+F48+F113</f>
        <v>27970445142</v>
      </c>
      <c r="G47" s="360">
        <f>+G48</f>
        <v>0</v>
      </c>
      <c r="H47" s="360">
        <f>+H48+H113</f>
        <v>592026147</v>
      </c>
      <c r="I47" s="360">
        <f>+G47+H47</f>
        <v>592026147</v>
      </c>
      <c r="J47" s="360">
        <f>+J114</f>
        <v>0</v>
      </c>
      <c r="K47" s="360">
        <f>+K114</f>
        <v>0</v>
      </c>
      <c r="L47" s="360">
        <f>+J47+K47</f>
        <v>0</v>
      </c>
      <c r="M47" s="360">
        <f>+I47+L47</f>
        <v>592026147</v>
      </c>
      <c r="N47" s="359">
        <f>+F47-M47</f>
        <v>27378418995</v>
      </c>
      <c r="P47" s="361"/>
      <c r="R47" s="321"/>
      <c r="S47" s="362"/>
      <c r="T47" s="362"/>
      <c r="U47" s="350"/>
    </row>
    <row r="48" spans="1:21" s="319" customFormat="1" ht="18" customHeight="1" x14ac:dyDescent="0.25">
      <c r="A48" s="276">
        <v>3</v>
      </c>
      <c r="B48" s="305"/>
      <c r="C48" s="305" t="s">
        <v>156</v>
      </c>
      <c r="D48" s="363"/>
      <c r="E48" s="364" t="s">
        <v>157</v>
      </c>
      <c r="F48" s="307">
        <f>+F49</f>
        <v>27939292142</v>
      </c>
      <c r="G48" s="308">
        <f>+G49</f>
        <v>0</v>
      </c>
      <c r="H48" s="308">
        <f>+H49</f>
        <v>592026147</v>
      </c>
      <c r="I48" s="308">
        <f>+G48+H48</f>
        <v>592026147</v>
      </c>
      <c r="J48" s="308">
        <f>+J49</f>
        <v>0</v>
      </c>
      <c r="K48" s="308">
        <f>+K49</f>
        <v>0</v>
      </c>
      <c r="L48" s="308">
        <f>+J48+K48</f>
        <v>0</v>
      </c>
      <c r="M48" s="308">
        <f>+I48+L48</f>
        <v>592026147</v>
      </c>
      <c r="N48" s="307">
        <f>+F48-M48</f>
        <v>27347265995</v>
      </c>
      <c r="P48" s="320"/>
      <c r="R48" s="321"/>
      <c r="S48" s="349"/>
      <c r="T48" s="349"/>
      <c r="U48" s="350"/>
    </row>
    <row r="49" spans="1:21" s="329" customFormat="1" ht="18" customHeight="1" x14ac:dyDescent="0.25">
      <c r="A49" s="323"/>
      <c r="B49" s="324"/>
      <c r="C49" s="324"/>
      <c r="D49" s="325" t="s">
        <v>207</v>
      </c>
      <c r="E49" s="326" t="s">
        <v>262</v>
      </c>
      <c r="F49" s="327">
        <f t="shared" ref="F49" si="20">+F50</f>
        <v>27939292142</v>
      </c>
      <c r="G49" s="328">
        <f>+G50</f>
        <v>0</v>
      </c>
      <c r="H49" s="328">
        <f>+H50</f>
        <v>592026147</v>
      </c>
      <c r="I49" s="328">
        <f t="shared" ref="I49:I50" si="21">+G49+H49</f>
        <v>592026147</v>
      </c>
      <c r="J49" s="328"/>
      <c r="K49" s="328">
        <f>+K50</f>
        <v>0</v>
      </c>
      <c r="L49" s="328">
        <f t="shared" ref="L49:L112" si="22">+J49+K49</f>
        <v>0</v>
      </c>
      <c r="M49" s="328">
        <f t="shared" ref="M49:M72" si="23">+I49+L49</f>
        <v>592026147</v>
      </c>
      <c r="N49" s="327">
        <f t="shared" ref="N49:N54" si="24">+F49-M49</f>
        <v>27347265995</v>
      </c>
      <c r="P49" s="330"/>
      <c r="R49" s="331"/>
      <c r="S49" s="351"/>
      <c r="T49" s="351"/>
      <c r="U49" s="333"/>
    </row>
    <row r="50" spans="1:21" s="339" customFormat="1" ht="18" customHeight="1" x14ac:dyDescent="0.25">
      <c r="A50" s="334"/>
      <c r="B50" s="335"/>
      <c r="C50" s="335"/>
      <c r="D50" s="365" t="s">
        <v>158</v>
      </c>
      <c r="E50" s="335" t="s">
        <v>159</v>
      </c>
      <c r="F50" s="337">
        <f>F51+F76+F83+F101</f>
        <v>27939292142</v>
      </c>
      <c r="G50" s="344">
        <f>+G51+G83+G101+G76</f>
        <v>0</v>
      </c>
      <c r="H50" s="344">
        <f>+H51+H83+H101+H76</f>
        <v>592026147</v>
      </c>
      <c r="I50" s="344">
        <f t="shared" si="21"/>
        <v>592026147</v>
      </c>
      <c r="J50" s="344"/>
      <c r="K50" s="344">
        <f>+K51+K76+K83+K101</f>
        <v>0</v>
      </c>
      <c r="L50" s="344">
        <f t="shared" si="22"/>
        <v>0</v>
      </c>
      <c r="M50" s="344">
        <f t="shared" si="23"/>
        <v>592026147</v>
      </c>
      <c r="N50" s="337">
        <f t="shared" si="24"/>
        <v>27347265995</v>
      </c>
      <c r="P50" s="340"/>
      <c r="S50" s="347"/>
      <c r="T50" s="347"/>
      <c r="U50" s="342"/>
    </row>
    <row r="51" spans="1:21" s="339" customFormat="1" ht="18" customHeight="1" x14ac:dyDescent="0.25">
      <c r="A51" s="334"/>
      <c r="B51" s="335"/>
      <c r="C51" s="335"/>
      <c r="D51" s="365" t="s">
        <v>208</v>
      </c>
      <c r="E51" s="335" t="s">
        <v>209</v>
      </c>
      <c r="F51" s="337">
        <f>F52+F54+F56+F58+F60+F62+F64+F66+F68+F70+F72+F74</f>
        <v>15098272502</v>
      </c>
      <c r="G51" s="344">
        <f>+G52+G54+G56+G58+G60+G62+G64+G66+G68+G70+G72+G74</f>
        <v>0</v>
      </c>
      <c r="H51" s="344">
        <f>+H52+H54+H56+H58+H60+H62+H64+H66+H68+H70+H72+H74</f>
        <v>321607359</v>
      </c>
      <c r="I51" s="344">
        <f>+G51+H51</f>
        <v>321607359</v>
      </c>
      <c r="J51" s="344"/>
      <c r="K51" s="344">
        <f>+K52+K54+K56+K58+K60+K62+K64+K66+K68+K70+K72+K74</f>
        <v>0</v>
      </c>
      <c r="L51" s="344">
        <f t="shared" si="22"/>
        <v>0</v>
      </c>
      <c r="M51" s="344">
        <f t="shared" si="23"/>
        <v>321607359</v>
      </c>
      <c r="N51" s="337">
        <f t="shared" si="24"/>
        <v>14776665143</v>
      </c>
      <c r="P51" s="340"/>
      <c r="S51" s="347"/>
      <c r="T51" s="347"/>
      <c r="U51" s="342"/>
    </row>
    <row r="52" spans="1:21" s="339" customFormat="1" ht="18" customHeight="1" x14ac:dyDescent="0.25">
      <c r="A52" s="334"/>
      <c r="B52" s="335"/>
      <c r="C52" s="335"/>
      <c r="D52" s="365" t="s">
        <v>160</v>
      </c>
      <c r="E52" s="335" t="s">
        <v>162</v>
      </c>
      <c r="F52" s="337">
        <f>+F53</f>
        <v>13525507924</v>
      </c>
      <c r="G52" s="344">
        <f>+G53</f>
        <v>0</v>
      </c>
      <c r="H52" s="344">
        <f>+H53</f>
        <v>241934700</v>
      </c>
      <c r="I52" s="344">
        <f t="shared" ref="I52" si="25">+G52+H52</f>
        <v>241934700</v>
      </c>
      <c r="J52" s="344"/>
      <c r="K52" s="344">
        <f>+K53</f>
        <v>0</v>
      </c>
      <c r="L52" s="344">
        <f>+J52+K52</f>
        <v>0</v>
      </c>
      <c r="M52" s="344">
        <f t="shared" si="23"/>
        <v>241934700</v>
      </c>
      <c r="N52" s="337">
        <f t="shared" si="24"/>
        <v>13283573224</v>
      </c>
      <c r="P52" s="340"/>
      <c r="S52" s="347"/>
      <c r="T52" s="346"/>
      <c r="U52" s="342"/>
    </row>
    <row r="53" spans="1:21" s="339" customFormat="1" ht="18" customHeight="1" x14ac:dyDescent="0.25">
      <c r="A53" s="334"/>
      <c r="B53" s="335"/>
      <c r="C53" s="335"/>
      <c r="D53" s="365" t="s">
        <v>161</v>
      </c>
      <c r="E53" s="335" t="s">
        <v>163</v>
      </c>
      <c r="F53" s="337">
        <v>13525507924</v>
      </c>
      <c r="G53" s="344"/>
      <c r="H53" s="344">
        <v>241934700</v>
      </c>
      <c r="I53" s="344">
        <f>+G53+H53</f>
        <v>241934700</v>
      </c>
      <c r="J53" s="344"/>
      <c r="K53" s="344"/>
      <c r="L53" s="344">
        <f t="shared" si="22"/>
        <v>0</v>
      </c>
      <c r="M53" s="344">
        <f t="shared" si="23"/>
        <v>241934700</v>
      </c>
      <c r="N53" s="337">
        <f t="shared" si="24"/>
        <v>13283573224</v>
      </c>
      <c r="P53" s="340"/>
      <c r="S53" s="347"/>
      <c r="T53" s="346"/>
      <c r="U53" s="342"/>
    </row>
    <row r="54" spans="1:21" s="339" customFormat="1" ht="18" customHeight="1" x14ac:dyDescent="0.25">
      <c r="A54" s="334"/>
      <c r="B54" s="335"/>
      <c r="C54" s="335"/>
      <c r="D54" s="365" t="s">
        <v>164</v>
      </c>
      <c r="E54" s="335" t="s">
        <v>166</v>
      </c>
      <c r="F54" s="337">
        <f>+F55</f>
        <v>401878814</v>
      </c>
      <c r="G54" s="344">
        <f>+G55</f>
        <v>0</v>
      </c>
      <c r="H54" s="344">
        <f>+H55</f>
        <v>24447544</v>
      </c>
      <c r="I54" s="344">
        <f t="shared" ref="I54:I73" si="26">+G54+H54</f>
        <v>24447544</v>
      </c>
      <c r="J54" s="344"/>
      <c r="K54" s="344">
        <f>+K55</f>
        <v>0</v>
      </c>
      <c r="L54" s="344">
        <f>+J54+K54</f>
        <v>0</v>
      </c>
      <c r="M54" s="344">
        <f t="shared" si="23"/>
        <v>24447544</v>
      </c>
      <c r="N54" s="337">
        <f t="shared" si="24"/>
        <v>377431270</v>
      </c>
      <c r="P54" s="340"/>
      <c r="S54" s="347"/>
      <c r="T54" s="346"/>
      <c r="U54" s="342"/>
    </row>
    <row r="55" spans="1:21" s="339" customFormat="1" ht="18" customHeight="1" x14ac:dyDescent="0.25">
      <c r="A55" s="334"/>
      <c r="B55" s="335"/>
      <c r="C55" s="335"/>
      <c r="D55" s="365" t="s">
        <v>165</v>
      </c>
      <c r="E55" s="335" t="s">
        <v>167</v>
      </c>
      <c r="F55" s="337">
        <v>401878814</v>
      </c>
      <c r="G55" s="344"/>
      <c r="H55" s="344">
        <v>24447544</v>
      </c>
      <c r="I55" s="344">
        <f t="shared" si="26"/>
        <v>24447544</v>
      </c>
      <c r="J55" s="344"/>
      <c r="K55" s="344"/>
      <c r="L55" s="344">
        <f t="shared" si="22"/>
        <v>0</v>
      </c>
      <c r="M55" s="344">
        <f t="shared" si="23"/>
        <v>24447544</v>
      </c>
      <c r="N55" s="337">
        <f>+F55-M55</f>
        <v>377431270</v>
      </c>
      <c r="P55" s="340"/>
      <c r="S55" s="347"/>
      <c r="T55" s="346"/>
      <c r="U55" s="342"/>
    </row>
    <row r="56" spans="1:21" s="339" customFormat="1" ht="18" customHeight="1" x14ac:dyDescent="0.25">
      <c r="A56" s="334"/>
      <c r="B56" s="335"/>
      <c r="C56" s="335"/>
      <c r="D56" s="365" t="s">
        <v>168</v>
      </c>
      <c r="E56" s="335" t="s">
        <v>170</v>
      </c>
      <c r="F56" s="337">
        <f>+F57</f>
        <v>290052000</v>
      </c>
      <c r="G56" s="344">
        <f>+G57</f>
        <v>0</v>
      </c>
      <c r="H56" s="344">
        <f>+H57</f>
        <v>17805000</v>
      </c>
      <c r="I56" s="344">
        <f t="shared" si="26"/>
        <v>17805000</v>
      </c>
      <c r="J56" s="344"/>
      <c r="K56" s="344">
        <f>+K57</f>
        <v>0</v>
      </c>
      <c r="L56" s="344">
        <f t="shared" si="22"/>
        <v>0</v>
      </c>
      <c r="M56" s="344">
        <f t="shared" si="23"/>
        <v>17805000</v>
      </c>
      <c r="N56" s="337">
        <f t="shared" ref="N56:N58" si="27">+F56-M56</f>
        <v>272247000</v>
      </c>
      <c r="P56" s="340"/>
      <c r="S56" s="347"/>
      <c r="T56" s="346"/>
      <c r="U56" s="342"/>
    </row>
    <row r="57" spans="1:21" s="339" customFormat="1" ht="18" customHeight="1" x14ac:dyDescent="0.25">
      <c r="A57" s="334"/>
      <c r="B57" s="335"/>
      <c r="C57" s="335"/>
      <c r="D57" s="365" t="s">
        <v>169</v>
      </c>
      <c r="E57" s="335" t="s">
        <v>171</v>
      </c>
      <c r="F57" s="337">
        <v>290052000</v>
      </c>
      <c r="G57" s="344"/>
      <c r="H57" s="344">
        <v>17805000</v>
      </c>
      <c r="I57" s="344">
        <f t="shared" si="26"/>
        <v>17805000</v>
      </c>
      <c r="J57" s="344"/>
      <c r="K57" s="344"/>
      <c r="L57" s="344">
        <f t="shared" si="22"/>
        <v>0</v>
      </c>
      <c r="M57" s="344">
        <f t="shared" si="23"/>
        <v>17805000</v>
      </c>
      <c r="N57" s="337">
        <f t="shared" si="27"/>
        <v>272247000</v>
      </c>
      <c r="P57" s="340"/>
      <c r="S57" s="347"/>
      <c r="T57" s="346"/>
      <c r="U57" s="342"/>
    </row>
    <row r="58" spans="1:21" s="339" customFormat="1" ht="18" customHeight="1" x14ac:dyDescent="0.25">
      <c r="A58" s="334"/>
      <c r="B58" s="335"/>
      <c r="C58" s="335"/>
      <c r="D58" s="365" t="s">
        <v>172</v>
      </c>
      <c r="E58" s="335" t="s">
        <v>174</v>
      </c>
      <c r="F58" s="337">
        <f>+F59</f>
        <v>62496000</v>
      </c>
      <c r="G58" s="344">
        <f>+G59</f>
        <v>0</v>
      </c>
      <c r="H58" s="344">
        <f>+H59</f>
        <v>960000</v>
      </c>
      <c r="I58" s="344">
        <f t="shared" si="26"/>
        <v>960000</v>
      </c>
      <c r="J58" s="344"/>
      <c r="K58" s="344">
        <f>+K59</f>
        <v>0</v>
      </c>
      <c r="L58" s="344">
        <f t="shared" si="22"/>
        <v>0</v>
      </c>
      <c r="M58" s="344">
        <f t="shared" si="23"/>
        <v>960000</v>
      </c>
      <c r="N58" s="337">
        <f t="shared" si="27"/>
        <v>61536000</v>
      </c>
      <c r="P58" s="340"/>
      <c r="S58" s="347"/>
      <c r="T58" s="346"/>
      <c r="U58" s="342"/>
    </row>
    <row r="59" spans="1:21" s="339" customFormat="1" ht="18" customHeight="1" x14ac:dyDescent="0.25">
      <c r="A59" s="334"/>
      <c r="B59" s="335"/>
      <c r="C59" s="335"/>
      <c r="D59" s="365" t="s">
        <v>173</v>
      </c>
      <c r="E59" s="335" t="s">
        <v>175</v>
      </c>
      <c r="F59" s="337">
        <v>62496000</v>
      </c>
      <c r="G59" s="344"/>
      <c r="H59" s="344">
        <v>960000</v>
      </c>
      <c r="I59" s="344">
        <f t="shared" si="26"/>
        <v>960000</v>
      </c>
      <c r="J59" s="344"/>
      <c r="K59" s="344"/>
      <c r="L59" s="344">
        <f t="shared" si="22"/>
        <v>0</v>
      </c>
      <c r="M59" s="344">
        <f t="shared" si="23"/>
        <v>960000</v>
      </c>
      <c r="N59" s="337">
        <f>+F59-M59</f>
        <v>61536000</v>
      </c>
      <c r="P59" s="340"/>
      <c r="S59" s="347"/>
      <c r="T59" s="346"/>
      <c r="U59" s="342"/>
    </row>
    <row r="60" spans="1:21" s="339" customFormat="1" ht="18" customHeight="1" x14ac:dyDescent="0.25">
      <c r="A60" s="334"/>
      <c r="B60" s="335"/>
      <c r="C60" s="335"/>
      <c r="D60" s="365" t="s">
        <v>176</v>
      </c>
      <c r="E60" s="335" t="s">
        <v>178</v>
      </c>
      <c r="F60" s="337">
        <f>+F61</f>
        <v>126672000</v>
      </c>
      <c r="G60" s="344">
        <f>+G61</f>
        <v>0</v>
      </c>
      <c r="H60" s="344">
        <f>+H61</f>
        <v>7730000</v>
      </c>
      <c r="I60" s="344">
        <f t="shared" si="26"/>
        <v>7730000</v>
      </c>
      <c r="J60" s="344"/>
      <c r="K60" s="344">
        <f>+K61</f>
        <v>0</v>
      </c>
      <c r="L60" s="344">
        <f t="shared" si="22"/>
        <v>0</v>
      </c>
      <c r="M60" s="344">
        <f t="shared" si="23"/>
        <v>7730000</v>
      </c>
      <c r="N60" s="337">
        <f t="shared" ref="N60:N72" si="28">+F60-M60</f>
        <v>118942000</v>
      </c>
      <c r="P60" s="340"/>
      <c r="S60" s="347"/>
      <c r="T60" s="346"/>
      <c r="U60" s="342"/>
    </row>
    <row r="61" spans="1:21" s="339" customFormat="1" ht="18" customHeight="1" x14ac:dyDescent="0.25">
      <c r="A61" s="334"/>
      <c r="B61" s="335"/>
      <c r="C61" s="335"/>
      <c r="D61" s="365" t="s">
        <v>177</v>
      </c>
      <c r="E61" s="335" t="s">
        <v>179</v>
      </c>
      <c r="F61" s="337">
        <v>126672000</v>
      </c>
      <c r="G61" s="344"/>
      <c r="H61" s="344">
        <v>7730000</v>
      </c>
      <c r="I61" s="344">
        <f t="shared" si="26"/>
        <v>7730000</v>
      </c>
      <c r="J61" s="344"/>
      <c r="K61" s="344"/>
      <c r="L61" s="344">
        <f t="shared" si="22"/>
        <v>0</v>
      </c>
      <c r="M61" s="344">
        <f t="shared" si="23"/>
        <v>7730000</v>
      </c>
      <c r="N61" s="337">
        <f t="shared" si="28"/>
        <v>118942000</v>
      </c>
      <c r="P61" s="340"/>
      <c r="S61" s="347"/>
      <c r="T61" s="346"/>
      <c r="U61" s="342"/>
    </row>
    <row r="62" spans="1:21" s="339" customFormat="1" ht="18" customHeight="1" x14ac:dyDescent="0.25">
      <c r="A62" s="334"/>
      <c r="B62" s="335"/>
      <c r="C62" s="335"/>
      <c r="D62" s="365" t="s">
        <v>180</v>
      </c>
      <c r="E62" s="335" t="s">
        <v>182</v>
      </c>
      <c r="F62" s="337">
        <f>+F63</f>
        <v>237247920</v>
      </c>
      <c r="G62" s="344">
        <f>+G63</f>
        <v>0</v>
      </c>
      <c r="H62" s="344">
        <f>+H63</f>
        <v>14411580</v>
      </c>
      <c r="I62" s="344">
        <f t="shared" si="26"/>
        <v>14411580</v>
      </c>
      <c r="J62" s="344"/>
      <c r="K62" s="344">
        <f>+K63</f>
        <v>0</v>
      </c>
      <c r="L62" s="344">
        <f t="shared" si="22"/>
        <v>0</v>
      </c>
      <c r="M62" s="344">
        <f t="shared" si="23"/>
        <v>14411580</v>
      </c>
      <c r="N62" s="337">
        <f t="shared" si="28"/>
        <v>222836340</v>
      </c>
      <c r="P62" s="340"/>
      <c r="S62" s="347"/>
      <c r="T62" s="346"/>
      <c r="U62" s="342"/>
    </row>
    <row r="63" spans="1:21" s="339" customFormat="1" ht="18" customHeight="1" x14ac:dyDescent="0.25">
      <c r="A63" s="334"/>
      <c r="B63" s="335"/>
      <c r="C63" s="335"/>
      <c r="D63" s="365" t="s">
        <v>181</v>
      </c>
      <c r="E63" s="335" t="s">
        <v>183</v>
      </c>
      <c r="F63" s="337">
        <v>237247920</v>
      </c>
      <c r="G63" s="344"/>
      <c r="H63" s="344">
        <v>14411580</v>
      </c>
      <c r="I63" s="344">
        <f t="shared" si="26"/>
        <v>14411580</v>
      </c>
      <c r="J63" s="344"/>
      <c r="K63" s="344"/>
      <c r="L63" s="344">
        <f t="shared" si="22"/>
        <v>0</v>
      </c>
      <c r="M63" s="344">
        <f t="shared" si="23"/>
        <v>14411580</v>
      </c>
      <c r="N63" s="337">
        <f t="shared" si="28"/>
        <v>222836340</v>
      </c>
      <c r="P63" s="340"/>
      <c r="S63" s="347"/>
      <c r="T63" s="346"/>
      <c r="U63" s="342"/>
    </row>
    <row r="64" spans="1:21" s="339" customFormat="1" ht="18" customHeight="1" x14ac:dyDescent="0.25">
      <c r="A64" s="334"/>
      <c r="B64" s="335"/>
      <c r="C64" s="335"/>
      <c r="D64" s="365" t="s">
        <v>184</v>
      </c>
      <c r="E64" s="335" t="s">
        <v>186</v>
      </c>
      <c r="F64" s="337">
        <f>+F65</f>
        <v>202631050</v>
      </c>
      <c r="G64" s="344">
        <f>+G65</f>
        <v>0</v>
      </c>
      <c r="H64" s="344">
        <f>+H65</f>
        <v>277647</v>
      </c>
      <c r="I64" s="344">
        <f t="shared" si="26"/>
        <v>277647</v>
      </c>
      <c r="J64" s="344"/>
      <c r="K64" s="344">
        <f>+K65</f>
        <v>0</v>
      </c>
      <c r="L64" s="344">
        <f t="shared" si="22"/>
        <v>0</v>
      </c>
      <c r="M64" s="344">
        <f t="shared" si="23"/>
        <v>277647</v>
      </c>
      <c r="N64" s="337">
        <f t="shared" si="28"/>
        <v>202353403</v>
      </c>
      <c r="P64" s="340"/>
      <c r="S64" s="347"/>
      <c r="T64" s="346"/>
      <c r="U64" s="342"/>
    </row>
    <row r="65" spans="1:21" s="339" customFormat="1" ht="18" customHeight="1" x14ac:dyDescent="0.25">
      <c r="A65" s="334"/>
      <c r="B65" s="335"/>
      <c r="C65" s="335"/>
      <c r="D65" s="365" t="s">
        <v>185</v>
      </c>
      <c r="E65" s="335" t="s">
        <v>187</v>
      </c>
      <c r="F65" s="337">
        <v>202631050</v>
      </c>
      <c r="G65" s="344"/>
      <c r="H65" s="344">
        <v>277647</v>
      </c>
      <c r="I65" s="344">
        <f t="shared" si="26"/>
        <v>277647</v>
      </c>
      <c r="J65" s="344"/>
      <c r="K65" s="344"/>
      <c r="L65" s="344">
        <f t="shared" si="22"/>
        <v>0</v>
      </c>
      <c r="M65" s="344">
        <f t="shared" si="23"/>
        <v>277647</v>
      </c>
      <c r="N65" s="337">
        <f t="shared" si="28"/>
        <v>202353403</v>
      </c>
      <c r="P65" s="340"/>
      <c r="S65" s="347"/>
      <c r="T65" s="346"/>
      <c r="U65" s="342"/>
    </row>
    <row r="66" spans="1:21" s="339" customFormat="1" ht="18" customHeight="1" x14ac:dyDescent="0.25">
      <c r="A66" s="334"/>
      <c r="B66" s="335"/>
      <c r="C66" s="335"/>
      <c r="D66" s="365" t="s">
        <v>188</v>
      </c>
      <c r="E66" s="335" t="s">
        <v>190</v>
      </c>
      <c r="F66" s="337">
        <f t="shared" ref="F66" si="29">+F67</f>
        <v>51845</v>
      </c>
      <c r="G66" s="344">
        <f>+G67</f>
        <v>0</v>
      </c>
      <c r="H66" s="344">
        <f>+H67</f>
        <v>3223</v>
      </c>
      <c r="I66" s="344">
        <f t="shared" si="26"/>
        <v>3223</v>
      </c>
      <c r="J66" s="344"/>
      <c r="K66" s="344">
        <f>+K67</f>
        <v>0</v>
      </c>
      <c r="L66" s="344">
        <f t="shared" si="22"/>
        <v>0</v>
      </c>
      <c r="M66" s="344">
        <f t="shared" si="23"/>
        <v>3223</v>
      </c>
      <c r="N66" s="337">
        <f t="shared" si="28"/>
        <v>48622</v>
      </c>
      <c r="P66" s="340"/>
      <c r="S66" s="347"/>
      <c r="T66" s="346"/>
      <c r="U66" s="342"/>
    </row>
    <row r="67" spans="1:21" s="339" customFormat="1" ht="18" customHeight="1" x14ac:dyDescent="0.25">
      <c r="A67" s="334"/>
      <c r="B67" s="335"/>
      <c r="C67" s="335"/>
      <c r="D67" s="365" t="s">
        <v>189</v>
      </c>
      <c r="E67" s="335" t="s">
        <v>329</v>
      </c>
      <c r="F67" s="337">
        <v>51845</v>
      </c>
      <c r="G67" s="344"/>
      <c r="H67" s="344">
        <v>3223</v>
      </c>
      <c r="I67" s="344">
        <f t="shared" si="26"/>
        <v>3223</v>
      </c>
      <c r="J67" s="344"/>
      <c r="K67" s="344"/>
      <c r="L67" s="344">
        <f t="shared" si="22"/>
        <v>0</v>
      </c>
      <c r="M67" s="344">
        <f t="shared" si="23"/>
        <v>3223</v>
      </c>
      <c r="N67" s="337">
        <f t="shared" si="28"/>
        <v>48622</v>
      </c>
      <c r="P67" s="340"/>
      <c r="S67" s="347"/>
      <c r="T67" s="346"/>
      <c r="U67" s="342"/>
    </row>
    <row r="68" spans="1:21" s="339" customFormat="1" ht="18" customHeight="1" x14ac:dyDescent="0.25">
      <c r="A68" s="334"/>
      <c r="B68" s="335"/>
      <c r="C68" s="335"/>
      <c r="D68" s="365" t="s">
        <v>191</v>
      </c>
      <c r="E68" s="335" t="s">
        <v>193</v>
      </c>
      <c r="F68" s="337">
        <f t="shared" ref="F68" si="30">+F69</f>
        <v>190139023</v>
      </c>
      <c r="G68" s="344">
        <f>+G69</f>
        <v>0</v>
      </c>
      <c r="H68" s="344">
        <f>+H69</f>
        <v>11715091</v>
      </c>
      <c r="I68" s="344">
        <f t="shared" si="26"/>
        <v>11715091</v>
      </c>
      <c r="J68" s="344"/>
      <c r="K68" s="344">
        <f>+K69</f>
        <v>0</v>
      </c>
      <c r="L68" s="344">
        <f t="shared" si="22"/>
        <v>0</v>
      </c>
      <c r="M68" s="344">
        <f t="shared" si="23"/>
        <v>11715091</v>
      </c>
      <c r="N68" s="337">
        <f t="shared" si="28"/>
        <v>178423932</v>
      </c>
      <c r="P68" s="340"/>
      <c r="S68" s="347"/>
      <c r="T68" s="346"/>
      <c r="U68" s="342"/>
    </row>
    <row r="69" spans="1:21" s="339" customFormat="1" ht="18" customHeight="1" x14ac:dyDescent="0.25">
      <c r="A69" s="334"/>
      <c r="B69" s="335"/>
      <c r="C69" s="335"/>
      <c r="D69" s="365" t="s">
        <v>192</v>
      </c>
      <c r="E69" s="335" t="s">
        <v>194</v>
      </c>
      <c r="F69" s="337">
        <v>190139023</v>
      </c>
      <c r="G69" s="344"/>
      <c r="H69" s="344">
        <v>11715091</v>
      </c>
      <c r="I69" s="344">
        <f t="shared" si="26"/>
        <v>11715091</v>
      </c>
      <c r="J69" s="344"/>
      <c r="K69" s="344"/>
      <c r="L69" s="344">
        <f t="shared" si="22"/>
        <v>0</v>
      </c>
      <c r="M69" s="344">
        <f t="shared" si="23"/>
        <v>11715091</v>
      </c>
      <c r="N69" s="337">
        <f t="shared" si="28"/>
        <v>178423932</v>
      </c>
      <c r="P69" s="340"/>
      <c r="S69" s="347"/>
      <c r="T69" s="346"/>
      <c r="U69" s="342"/>
    </row>
    <row r="70" spans="1:21" s="339" customFormat="1" ht="18" customHeight="1" x14ac:dyDescent="0.25">
      <c r="A70" s="334"/>
      <c r="B70" s="335"/>
      <c r="C70" s="335"/>
      <c r="D70" s="365" t="s">
        <v>195</v>
      </c>
      <c r="E70" s="335" t="s">
        <v>197</v>
      </c>
      <c r="F70" s="337">
        <f t="shared" ref="F70" si="31">+F71</f>
        <v>9404942</v>
      </c>
      <c r="G70" s="344">
        <f>+G71</f>
        <v>0</v>
      </c>
      <c r="H70" s="344">
        <f>+H71</f>
        <v>580644</v>
      </c>
      <c r="I70" s="344">
        <f t="shared" si="26"/>
        <v>580644</v>
      </c>
      <c r="J70" s="344"/>
      <c r="K70" s="344">
        <f>+K71</f>
        <v>0</v>
      </c>
      <c r="L70" s="344">
        <f t="shared" si="22"/>
        <v>0</v>
      </c>
      <c r="M70" s="344">
        <f t="shared" si="23"/>
        <v>580644</v>
      </c>
      <c r="N70" s="337">
        <f t="shared" si="28"/>
        <v>8824298</v>
      </c>
      <c r="P70" s="340"/>
      <c r="S70" s="347"/>
      <c r="T70" s="346"/>
      <c r="U70" s="342"/>
    </row>
    <row r="71" spans="1:21" s="339" customFormat="1" ht="18" customHeight="1" x14ac:dyDescent="0.25">
      <c r="A71" s="334"/>
      <c r="B71" s="335"/>
      <c r="C71" s="335"/>
      <c r="D71" s="365" t="s">
        <v>196</v>
      </c>
      <c r="E71" s="335" t="s">
        <v>198</v>
      </c>
      <c r="F71" s="337">
        <v>9404942</v>
      </c>
      <c r="G71" s="344"/>
      <c r="H71" s="344">
        <v>580644</v>
      </c>
      <c r="I71" s="344">
        <f t="shared" si="26"/>
        <v>580644</v>
      </c>
      <c r="J71" s="344"/>
      <c r="K71" s="344"/>
      <c r="L71" s="344">
        <f t="shared" si="22"/>
        <v>0</v>
      </c>
      <c r="M71" s="344">
        <f t="shared" si="23"/>
        <v>580644</v>
      </c>
      <c r="N71" s="337">
        <f t="shared" si="28"/>
        <v>8824298</v>
      </c>
      <c r="P71" s="340"/>
      <c r="S71" s="347"/>
      <c r="T71" s="346"/>
      <c r="U71" s="342"/>
    </row>
    <row r="72" spans="1:21" s="339" customFormat="1" ht="18" customHeight="1" x14ac:dyDescent="0.25">
      <c r="A72" s="334"/>
      <c r="B72" s="335"/>
      <c r="C72" s="335"/>
      <c r="D72" s="365" t="s">
        <v>199</v>
      </c>
      <c r="E72" s="335" t="s">
        <v>201</v>
      </c>
      <c r="F72" s="337">
        <f>+F73</f>
        <v>28215046</v>
      </c>
      <c r="G72" s="344">
        <f>+G73</f>
        <v>0</v>
      </c>
      <c r="H72" s="344">
        <f>+H73</f>
        <v>1741930</v>
      </c>
      <c r="I72" s="344">
        <f t="shared" si="26"/>
        <v>1741930</v>
      </c>
      <c r="J72" s="344"/>
      <c r="K72" s="344">
        <f>+K73</f>
        <v>0</v>
      </c>
      <c r="L72" s="344">
        <f t="shared" si="22"/>
        <v>0</v>
      </c>
      <c r="M72" s="344">
        <f t="shared" si="23"/>
        <v>1741930</v>
      </c>
      <c r="N72" s="337">
        <f t="shared" si="28"/>
        <v>26473116</v>
      </c>
      <c r="P72" s="340"/>
      <c r="S72" s="347"/>
      <c r="T72" s="346"/>
      <c r="U72" s="342"/>
    </row>
    <row r="73" spans="1:21" s="339" customFormat="1" ht="18" customHeight="1" x14ac:dyDescent="0.25">
      <c r="A73" s="334"/>
      <c r="B73" s="335"/>
      <c r="C73" s="335"/>
      <c r="D73" s="365" t="s">
        <v>200</v>
      </c>
      <c r="E73" s="335" t="s">
        <v>202</v>
      </c>
      <c r="F73" s="337">
        <v>28215046</v>
      </c>
      <c r="G73" s="344"/>
      <c r="H73" s="344">
        <v>1741930</v>
      </c>
      <c r="I73" s="344">
        <f t="shared" si="26"/>
        <v>1741930</v>
      </c>
      <c r="J73" s="344"/>
      <c r="K73" s="344"/>
      <c r="L73" s="344">
        <f t="shared" si="22"/>
        <v>0</v>
      </c>
      <c r="M73" s="344">
        <f>+I73+L73</f>
        <v>1741930</v>
      </c>
      <c r="N73" s="337">
        <f>+F73-M73</f>
        <v>26473116</v>
      </c>
      <c r="P73" s="340"/>
      <c r="S73" s="347"/>
      <c r="T73" s="346"/>
      <c r="U73" s="342"/>
    </row>
    <row r="74" spans="1:21" s="339" customFormat="1" ht="18" customHeight="1" x14ac:dyDescent="0.25">
      <c r="A74" s="334"/>
      <c r="B74" s="335"/>
      <c r="C74" s="335"/>
      <c r="D74" s="365" t="s">
        <v>203</v>
      </c>
      <c r="E74" s="335" t="s">
        <v>205</v>
      </c>
      <c r="F74" s="337">
        <f>+F75</f>
        <v>23975938</v>
      </c>
      <c r="G74" s="344">
        <f>G75</f>
        <v>0</v>
      </c>
      <c r="H74" s="344">
        <f>+H75</f>
        <v>0</v>
      </c>
      <c r="I74" s="344">
        <f>+I75</f>
        <v>0</v>
      </c>
      <c r="J74" s="344"/>
      <c r="K74" s="344">
        <f>+K75</f>
        <v>0</v>
      </c>
      <c r="L74" s="344">
        <f t="shared" si="22"/>
        <v>0</v>
      </c>
      <c r="M74" s="344">
        <f t="shared" ref="M74:M101" si="32">+I74+L74</f>
        <v>0</v>
      </c>
      <c r="N74" s="337">
        <f t="shared" ref="N74:N84" si="33">+F74-M74</f>
        <v>23975938</v>
      </c>
      <c r="P74" s="340"/>
      <c r="S74" s="347"/>
      <c r="T74" s="347"/>
      <c r="U74" s="342"/>
    </row>
    <row r="75" spans="1:21" s="339" customFormat="1" ht="18" customHeight="1" x14ac:dyDescent="0.25">
      <c r="A75" s="334"/>
      <c r="B75" s="335"/>
      <c r="C75" s="335"/>
      <c r="D75" s="365" t="s">
        <v>204</v>
      </c>
      <c r="E75" s="335" t="s">
        <v>206</v>
      </c>
      <c r="F75" s="337">
        <v>23975938</v>
      </c>
      <c r="G75" s="344"/>
      <c r="H75" s="344"/>
      <c r="I75" s="344">
        <f t="shared" ref="I75:I100" si="34">+G75+H75</f>
        <v>0</v>
      </c>
      <c r="J75" s="344"/>
      <c r="K75" s="344"/>
      <c r="L75" s="344">
        <f t="shared" si="22"/>
        <v>0</v>
      </c>
      <c r="M75" s="344">
        <f t="shared" si="32"/>
        <v>0</v>
      </c>
      <c r="N75" s="337">
        <f t="shared" si="33"/>
        <v>23975938</v>
      </c>
      <c r="P75" s="340"/>
      <c r="S75" s="347"/>
      <c r="T75" s="347"/>
      <c r="U75" s="342"/>
    </row>
    <row r="76" spans="1:21" s="339" customFormat="1" ht="18" customHeight="1" x14ac:dyDescent="0.25">
      <c r="A76" s="334"/>
      <c r="B76" s="335"/>
      <c r="C76" s="335"/>
      <c r="D76" s="365" t="s">
        <v>210</v>
      </c>
      <c r="E76" s="335" t="s">
        <v>211</v>
      </c>
      <c r="F76" s="337">
        <f>+F77+F79+F81</f>
        <v>2044369640</v>
      </c>
      <c r="G76" s="344">
        <f>+G77+G79</f>
        <v>0</v>
      </c>
      <c r="H76" s="344">
        <f>+H77+H79+H81</f>
        <v>194118788</v>
      </c>
      <c r="I76" s="344">
        <f>+G76+H76</f>
        <v>194118788</v>
      </c>
      <c r="J76" s="344"/>
      <c r="K76" s="344">
        <f>+K77</f>
        <v>0</v>
      </c>
      <c r="L76" s="344">
        <f t="shared" si="22"/>
        <v>0</v>
      </c>
      <c r="M76" s="344">
        <f t="shared" si="32"/>
        <v>194118788</v>
      </c>
      <c r="N76" s="337">
        <f t="shared" si="33"/>
        <v>1850250852</v>
      </c>
      <c r="P76" s="340"/>
      <c r="S76" s="347"/>
      <c r="T76" s="347"/>
      <c r="U76" s="342"/>
    </row>
    <row r="77" spans="1:21" s="339" customFormat="1" ht="18" customHeight="1" x14ac:dyDescent="0.25">
      <c r="A77" s="334"/>
      <c r="B77" s="335"/>
      <c r="C77" s="335"/>
      <c r="D77" s="365" t="s">
        <v>212</v>
      </c>
      <c r="E77" s="335" t="s">
        <v>214</v>
      </c>
      <c r="F77" s="337">
        <f>+F78</f>
        <v>180000000</v>
      </c>
      <c r="G77" s="344">
        <f>+G78</f>
        <v>0</v>
      </c>
      <c r="H77" s="344">
        <f t="shared" ref="G77:H81" si="35">+H78</f>
        <v>180000000</v>
      </c>
      <c r="I77" s="344">
        <f t="shared" si="34"/>
        <v>180000000</v>
      </c>
      <c r="J77" s="344"/>
      <c r="K77" s="344">
        <f>+K78</f>
        <v>0</v>
      </c>
      <c r="L77" s="344">
        <f t="shared" si="22"/>
        <v>0</v>
      </c>
      <c r="M77" s="344">
        <f t="shared" si="32"/>
        <v>180000000</v>
      </c>
      <c r="N77" s="337">
        <f t="shared" si="33"/>
        <v>0</v>
      </c>
      <c r="P77" s="340"/>
      <c r="S77" s="347"/>
      <c r="T77" s="347"/>
      <c r="U77" s="342"/>
    </row>
    <row r="78" spans="1:21" s="339" customFormat="1" ht="18" customHeight="1" x14ac:dyDescent="0.25">
      <c r="A78" s="334"/>
      <c r="B78" s="335"/>
      <c r="C78" s="335"/>
      <c r="D78" s="365" t="s">
        <v>213</v>
      </c>
      <c r="E78" s="335" t="s">
        <v>215</v>
      </c>
      <c r="F78" s="337">
        <v>180000000</v>
      </c>
      <c r="G78" s="344"/>
      <c r="H78" s="344">
        <v>180000000</v>
      </c>
      <c r="I78" s="344">
        <f t="shared" si="34"/>
        <v>180000000</v>
      </c>
      <c r="J78" s="344"/>
      <c r="K78" s="344"/>
      <c r="L78" s="344">
        <f t="shared" si="22"/>
        <v>0</v>
      </c>
      <c r="M78" s="344">
        <f t="shared" si="32"/>
        <v>180000000</v>
      </c>
      <c r="N78" s="337">
        <f t="shared" si="33"/>
        <v>0</v>
      </c>
      <c r="P78" s="340"/>
      <c r="S78" s="347"/>
      <c r="T78" s="346"/>
      <c r="U78" s="342"/>
    </row>
    <row r="79" spans="1:21" s="339" customFormat="1" ht="18" customHeight="1" x14ac:dyDescent="0.25">
      <c r="A79" s="334"/>
      <c r="B79" s="335"/>
      <c r="C79" s="335"/>
      <c r="D79" s="365" t="s">
        <v>431</v>
      </c>
      <c r="E79" s="335" t="s">
        <v>432</v>
      </c>
      <c r="F79" s="337">
        <f>+F80</f>
        <v>123544200</v>
      </c>
      <c r="G79" s="344">
        <f t="shared" si="35"/>
        <v>0</v>
      </c>
      <c r="H79" s="344">
        <f t="shared" si="35"/>
        <v>9969877</v>
      </c>
      <c r="I79" s="344">
        <f>+G79+H79</f>
        <v>9969877</v>
      </c>
      <c r="J79" s="344"/>
      <c r="K79" s="344">
        <f>+K80</f>
        <v>0</v>
      </c>
      <c r="L79" s="344">
        <f t="shared" si="22"/>
        <v>0</v>
      </c>
      <c r="M79" s="344">
        <f t="shared" si="32"/>
        <v>9969877</v>
      </c>
      <c r="N79" s="337">
        <f t="shared" si="33"/>
        <v>113574323</v>
      </c>
      <c r="P79" s="340"/>
      <c r="S79" s="347"/>
      <c r="T79" s="346"/>
      <c r="U79" s="342"/>
    </row>
    <row r="80" spans="1:21" s="339" customFormat="1" ht="18" customHeight="1" x14ac:dyDescent="0.25">
      <c r="A80" s="334"/>
      <c r="B80" s="335"/>
      <c r="C80" s="335"/>
      <c r="D80" s="365" t="s">
        <v>429</v>
      </c>
      <c r="E80" s="335" t="s">
        <v>430</v>
      </c>
      <c r="F80" s="337">
        <v>123544200</v>
      </c>
      <c r="G80" s="344"/>
      <c r="H80" s="344">
        <v>9969877</v>
      </c>
      <c r="I80" s="344">
        <f>+G80+H80</f>
        <v>9969877</v>
      </c>
      <c r="J80" s="344"/>
      <c r="K80" s="344"/>
      <c r="L80" s="344"/>
      <c r="M80" s="344">
        <f t="shared" si="32"/>
        <v>9969877</v>
      </c>
      <c r="N80" s="337">
        <f>+F80-M80</f>
        <v>113574323</v>
      </c>
      <c r="P80" s="340"/>
      <c r="S80" s="347"/>
      <c r="T80" s="346"/>
      <c r="U80" s="342"/>
    </row>
    <row r="81" spans="1:21" s="339" customFormat="1" ht="18" customHeight="1" x14ac:dyDescent="0.25">
      <c r="A81" s="334"/>
      <c r="B81" s="335"/>
      <c r="C81" s="335"/>
      <c r="D81" s="365" t="s">
        <v>453</v>
      </c>
      <c r="E81" s="335" t="s">
        <v>456</v>
      </c>
      <c r="F81" s="337">
        <f>+F82</f>
        <v>1740825440</v>
      </c>
      <c r="G81" s="344">
        <f t="shared" si="35"/>
        <v>0</v>
      </c>
      <c r="H81" s="344">
        <f t="shared" si="35"/>
        <v>4148911</v>
      </c>
      <c r="I81" s="344">
        <f>+G81+H81</f>
        <v>4148911</v>
      </c>
      <c r="J81" s="344"/>
      <c r="K81" s="344">
        <f>+K82</f>
        <v>0</v>
      </c>
      <c r="L81" s="344">
        <f t="shared" ref="L81" si="36">+J81+K81</f>
        <v>0</v>
      </c>
      <c r="M81" s="344">
        <f t="shared" si="32"/>
        <v>4148911</v>
      </c>
      <c r="N81" s="337">
        <f t="shared" ref="N81" si="37">+F81-M81</f>
        <v>1736676529</v>
      </c>
      <c r="P81" s="340"/>
      <c r="S81" s="347"/>
      <c r="T81" s="346"/>
      <c r="U81" s="342"/>
    </row>
    <row r="82" spans="1:21" s="339" customFormat="1" ht="18" customHeight="1" x14ac:dyDescent="0.25">
      <c r="A82" s="334"/>
      <c r="B82" s="335"/>
      <c r="C82" s="335"/>
      <c r="D82" s="365" t="s">
        <v>454</v>
      </c>
      <c r="E82" s="335" t="s">
        <v>455</v>
      </c>
      <c r="F82" s="337">
        <v>1740825440</v>
      </c>
      <c r="G82" s="344"/>
      <c r="H82" s="344">
        <f>184148911-180000000</f>
        <v>4148911</v>
      </c>
      <c r="I82" s="344">
        <f>+G82+H82</f>
        <v>4148911</v>
      </c>
      <c r="J82" s="344"/>
      <c r="K82" s="344"/>
      <c r="L82" s="344"/>
      <c r="M82" s="344">
        <f t="shared" si="32"/>
        <v>4148911</v>
      </c>
      <c r="N82" s="337">
        <f>+F82-M82</f>
        <v>1736676529</v>
      </c>
      <c r="P82" s="340"/>
      <c r="S82" s="347"/>
      <c r="T82" s="346"/>
      <c r="U82" s="342"/>
    </row>
    <row r="83" spans="1:21" s="339" customFormat="1" ht="18" customHeight="1" x14ac:dyDescent="0.25">
      <c r="A83" s="334"/>
      <c r="B83" s="335"/>
      <c r="C83" s="335"/>
      <c r="D83" s="365" t="s">
        <v>216</v>
      </c>
      <c r="E83" s="335" t="s">
        <v>219</v>
      </c>
      <c r="F83" s="337">
        <f>+F84+F95+F99</f>
        <v>10039198750</v>
      </c>
      <c r="G83" s="344">
        <f>+G84+G95+G99</f>
        <v>0</v>
      </c>
      <c r="H83" s="344">
        <f>+H84+H95+H99</f>
        <v>76300000</v>
      </c>
      <c r="I83" s="344">
        <f>+G83+H83</f>
        <v>76300000</v>
      </c>
      <c r="J83" s="344"/>
      <c r="K83" s="344">
        <f>+K84</f>
        <v>0</v>
      </c>
      <c r="L83" s="344">
        <f t="shared" si="22"/>
        <v>0</v>
      </c>
      <c r="M83" s="344">
        <f t="shared" si="32"/>
        <v>76300000</v>
      </c>
      <c r="N83" s="337">
        <f t="shared" si="33"/>
        <v>9962898750</v>
      </c>
      <c r="P83" s="340"/>
      <c r="S83" s="347"/>
      <c r="T83" s="347"/>
      <c r="U83" s="342"/>
    </row>
    <row r="84" spans="1:21" s="339" customFormat="1" ht="18" customHeight="1" x14ac:dyDescent="0.25">
      <c r="A84" s="334"/>
      <c r="B84" s="335"/>
      <c r="C84" s="335"/>
      <c r="D84" s="365" t="s">
        <v>217</v>
      </c>
      <c r="E84" s="335" t="s">
        <v>220</v>
      </c>
      <c r="F84" s="337">
        <f>SUM(F85:F94)</f>
        <v>8593798750</v>
      </c>
      <c r="G84" s="344">
        <f>SUM(G85:G94)</f>
        <v>0</v>
      </c>
      <c r="H84" s="344">
        <f>SUM(H85:H94)</f>
        <v>0</v>
      </c>
      <c r="I84" s="344">
        <f t="shared" si="34"/>
        <v>0</v>
      </c>
      <c r="J84" s="344"/>
      <c r="K84" s="344">
        <f>+SUM(K85:K94)</f>
        <v>0</v>
      </c>
      <c r="L84" s="344">
        <f t="shared" si="22"/>
        <v>0</v>
      </c>
      <c r="M84" s="344">
        <f t="shared" si="32"/>
        <v>0</v>
      </c>
      <c r="N84" s="337">
        <f t="shared" si="33"/>
        <v>8593798750</v>
      </c>
      <c r="P84" s="340"/>
      <c r="S84" s="347"/>
      <c r="T84" s="347"/>
      <c r="U84" s="342"/>
    </row>
    <row r="85" spans="1:21" s="339" customFormat="1" ht="18" customHeight="1" x14ac:dyDescent="0.25">
      <c r="A85" s="334"/>
      <c r="B85" s="335"/>
      <c r="C85" s="335"/>
      <c r="D85" s="365" t="s">
        <v>218</v>
      </c>
      <c r="E85" s="335" t="s">
        <v>221</v>
      </c>
      <c r="F85" s="337">
        <v>356112500</v>
      </c>
      <c r="G85" s="344"/>
      <c r="H85" s="344"/>
      <c r="I85" s="344">
        <f t="shared" si="34"/>
        <v>0</v>
      </c>
      <c r="J85" s="344"/>
      <c r="K85" s="344"/>
      <c r="L85" s="344">
        <f t="shared" si="22"/>
        <v>0</v>
      </c>
      <c r="M85" s="344">
        <f t="shared" si="32"/>
        <v>0</v>
      </c>
      <c r="N85" s="337">
        <f>+F85-M85</f>
        <v>356112500</v>
      </c>
      <c r="P85" s="340"/>
      <c r="S85" s="347"/>
      <c r="T85" s="346"/>
      <c r="U85" s="342"/>
    </row>
    <row r="86" spans="1:21" s="339" customFormat="1" ht="18" customHeight="1" x14ac:dyDescent="0.25">
      <c r="A86" s="334"/>
      <c r="B86" s="335"/>
      <c r="C86" s="335"/>
      <c r="D86" s="365" t="s">
        <v>222</v>
      </c>
      <c r="E86" s="335" t="s">
        <v>223</v>
      </c>
      <c r="F86" s="337">
        <v>413550000</v>
      </c>
      <c r="G86" s="344"/>
      <c r="H86" s="344"/>
      <c r="I86" s="344">
        <f t="shared" si="34"/>
        <v>0</v>
      </c>
      <c r="J86" s="344"/>
      <c r="K86" s="344"/>
      <c r="L86" s="344">
        <f t="shared" si="22"/>
        <v>0</v>
      </c>
      <c r="M86" s="344">
        <f t="shared" si="32"/>
        <v>0</v>
      </c>
      <c r="N86" s="337">
        <f t="shared" ref="N86:N100" si="38">+F86-M86</f>
        <v>413550000</v>
      </c>
      <c r="P86" s="340"/>
      <c r="S86" s="347"/>
      <c r="T86" s="346"/>
      <c r="U86" s="342"/>
    </row>
    <row r="87" spans="1:21" s="339" customFormat="1" ht="18" customHeight="1" x14ac:dyDescent="0.25">
      <c r="A87" s="334"/>
      <c r="B87" s="335"/>
      <c r="C87" s="335"/>
      <c r="D87" s="365" t="s">
        <v>224</v>
      </c>
      <c r="E87" s="335" t="s">
        <v>225</v>
      </c>
      <c r="F87" s="337">
        <v>45950000</v>
      </c>
      <c r="G87" s="344"/>
      <c r="H87" s="344"/>
      <c r="I87" s="344">
        <f t="shared" si="34"/>
        <v>0</v>
      </c>
      <c r="J87" s="344"/>
      <c r="K87" s="344"/>
      <c r="L87" s="344">
        <f t="shared" si="22"/>
        <v>0</v>
      </c>
      <c r="M87" s="344">
        <f t="shared" si="32"/>
        <v>0</v>
      </c>
      <c r="N87" s="337">
        <f t="shared" si="38"/>
        <v>45950000</v>
      </c>
      <c r="P87" s="340"/>
      <c r="S87" s="347"/>
      <c r="T87" s="346"/>
      <c r="U87" s="342"/>
    </row>
    <row r="88" spans="1:21" s="339" customFormat="1" ht="18" customHeight="1" x14ac:dyDescent="0.25">
      <c r="A88" s="334"/>
      <c r="B88" s="335"/>
      <c r="C88" s="335"/>
      <c r="D88" s="365" t="s">
        <v>226</v>
      </c>
      <c r="E88" s="335" t="s">
        <v>227</v>
      </c>
      <c r="F88" s="337">
        <v>252725000</v>
      </c>
      <c r="G88" s="344"/>
      <c r="H88" s="344"/>
      <c r="I88" s="344">
        <f t="shared" si="34"/>
        <v>0</v>
      </c>
      <c r="J88" s="344"/>
      <c r="K88" s="344"/>
      <c r="L88" s="344">
        <f t="shared" si="22"/>
        <v>0</v>
      </c>
      <c r="M88" s="344">
        <f t="shared" si="32"/>
        <v>0</v>
      </c>
      <c r="N88" s="337">
        <f t="shared" si="38"/>
        <v>252725000</v>
      </c>
      <c r="P88" s="340"/>
      <c r="S88" s="347"/>
      <c r="T88" s="346"/>
      <c r="U88" s="342"/>
    </row>
    <row r="89" spans="1:21" s="339" customFormat="1" ht="18" customHeight="1" x14ac:dyDescent="0.25">
      <c r="A89" s="334"/>
      <c r="B89" s="335"/>
      <c r="C89" s="335"/>
      <c r="D89" s="365" t="s">
        <v>228</v>
      </c>
      <c r="E89" s="335" t="s">
        <v>229</v>
      </c>
      <c r="F89" s="337">
        <v>3101625000</v>
      </c>
      <c r="G89" s="344"/>
      <c r="H89" s="344"/>
      <c r="I89" s="344">
        <f t="shared" si="34"/>
        <v>0</v>
      </c>
      <c r="J89" s="344"/>
      <c r="K89" s="344"/>
      <c r="L89" s="344">
        <f t="shared" si="22"/>
        <v>0</v>
      </c>
      <c r="M89" s="344">
        <f t="shared" si="32"/>
        <v>0</v>
      </c>
      <c r="N89" s="337">
        <f t="shared" si="38"/>
        <v>3101625000</v>
      </c>
      <c r="P89" s="340"/>
      <c r="S89" s="347"/>
      <c r="T89" s="346"/>
      <c r="U89" s="342"/>
    </row>
    <row r="90" spans="1:21" s="339" customFormat="1" ht="18" customHeight="1" x14ac:dyDescent="0.25">
      <c r="A90" s="334"/>
      <c r="B90" s="335"/>
      <c r="C90" s="335"/>
      <c r="D90" s="365" t="s">
        <v>230</v>
      </c>
      <c r="E90" s="335" t="s">
        <v>231</v>
      </c>
      <c r="F90" s="337">
        <v>13785000</v>
      </c>
      <c r="G90" s="344"/>
      <c r="H90" s="344"/>
      <c r="I90" s="344">
        <f t="shared" si="34"/>
        <v>0</v>
      </c>
      <c r="J90" s="344"/>
      <c r="K90" s="344"/>
      <c r="L90" s="344">
        <f t="shared" si="22"/>
        <v>0</v>
      </c>
      <c r="M90" s="344">
        <f t="shared" si="32"/>
        <v>0</v>
      </c>
      <c r="N90" s="337">
        <f t="shared" si="38"/>
        <v>13785000</v>
      </c>
      <c r="P90" s="340"/>
      <c r="S90" s="347"/>
      <c r="T90" s="346"/>
      <c r="U90" s="342"/>
    </row>
    <row r="91" spans="1:21" s="339" customFormat="1" ht="18" customHeight="1" x14ac:dyDescent="0.25">
      <c r="A91" s="334"/>
      <c r="B91" s="335"/>
      <c r="C91" s="335"/>
      <c r="D91" s="365" t="s">
        <v>232</v>
      </c>
      <c r="E91" s="335" t="s">
        <v>233</v>
      </c>
      <c r="F91" s="337">
        <v>126362500</v>
      </c>
      <c r="G91" s="344"/>
      <c r="H91" s="344"/>
      <c r="I91" s="344">
        <f t="shared" si="34"/>
        <v>0</v>
      </c>
      <c r="J91" s="344"/>
      <c r="K91" s="344"/>
      <c r="L91" s="344">
        <f t="shared" si="22"/>
        <v>0</v>
      </c>
      <c r="M91" s="344">
        <f t="shared" si="32"/>
        <v>0</v>
      </c>
      <c r="N91" s="337">
        <f t="shared" si="38"/>
        <v>126362500</v>
      </c>
      <c r="P91" s="340"/>
      <c r="S91" s="347"/>
      <c r="T91" s="346"/>
      <c r="U91" s="342"/>
    </row>
    <row r="92" spans="1:21" s="339" customFormat="1" ht="19.5" customHeight="1" x14ac:dyDescent="0.25">
      <c r="A92" s="366"/>
      <c r="B92" s="367"/>
      <c r="C92" s="367"/>
      <c r="D92" s="368" t="s">
        <v>234</v>
      </c>
      <c r="E92" s="369" t="s">
        <v>235</v>
      </c>
      <c r="F92" s="370">
        <v>2297500</v>
      </c>
      <c r="G92" s="371"/>
      <c r="H92" s="371"/>
      <c r="I92" s="371">
        <f t="shared" si="34"/>
        <v>0</v>
      </c>
      <c r="J92" s="371"/>
      <c r="K92" s="371"/>
      <c r="L92" s="371">
        <f t="shared" si="22"/>
        <v>0</v>
      </c>
      <c r="M92" s="371">
        <f t="shared" si="32"/>
        <v>0</v>
      </c>
      <c r="N92" s="370">
        <f t="shared" si="38"/>
        <v>2297500</v>
      </c>
      <c r="P92" s="340"/>
      <c r="S92" s="347"/>
      <c r="T92" s="346"/>
      <c r="U92" s="342"/>
    </row>
    <row r="93" spans="1:21" s="339" customFormat="1" ht="30.75" customHeight="1" x14ac:dyDescent="0.25">
      <c r="A93" s="366"/>
      <c r="B93" s="367"/>
      <c r="C93" s="367"/>
      <c r="D93" s="368" t="s">
        <v>236</v>
      </c>
      <c r="E93" s="369" t="s">
        <v>237</v>
      </c>
      <c r="F93" s="370">
        <v>1156791250</v>
      </c>
      <c r="G93" s="371"/>
      <c r="H93" s="371"/>
      <c r="I93" s="371">
        <f t="shared" si="34"/>
        <v>0</v>
      </c>
      <c r="J93" s="371"/>
      <c r="K93" s="371"/>
      <c r="L93" s="371">
        <f t="shared" si="22"/>
        <v>0</v>
      </c>
      <c r="M93" s="371">
        <f t="shared" si="32"/>
        <v>0</v>
      </c>
      <c r="N93" s="370">
        <f t="shared" si="38"/>
        <v>1156791250</v>
      </c>
      <c r="P93" s="340"/>
      <c r="S93" s="347"/>
      <c r="T93" s="346"/>
      <c r="U93" s="342"/>
    </row>
    <row r="94" spans="1:21" s="339" customFormat="1" ht="31.5" x14ac:dyDescent="0.25">
      <c r="A94" s="366"/>
      <c r="B94" s="367"/>
      <c r="C94" s="367"/>
      <c r="D94" s="368" t="s">
        <v>238</v>
      </c>
      <c r="E94" s="369" t="s">
        <v>239</v>
      </c>
      <c r="F94" s="370">
        <v>3124600000</v>
      </c>
      <c r="G94" s="371"/>
      <c r="H94" s="371"/>
      <c r="I94" s="371">
        <f t="shared" si="34"/>
        <v>0</v>
      </c>
      <c r="J94" s="371"/>
      <c r="K94" s="371"/>
      <c r="L94" s="371">
        <f t="shared" si="22"/>
        <v>0</v>
      </c>
      <c r="M94" s="371">
        <f t="shared" si="32"/>
        <v>0</v>
      </c>
      <c r="N94" s="370">
        <f t="shared" si="38"/>
        <v>3124600000</v>
      </c>
      <c r="P94" s="340"/>
      <c r="S94" s="347"/>
      <c r="T94" s="346"/>
      <c r="U94" s="342"/>
    </row>
    <row r="95" spans="1:21" s="339" customFormat="1" ht="18" customHeight="1" x14ac:dyDescent="0.25">
      <c r="A95" s="334"/>
      <c r="B95" s="335"/>
      <c r="C95" s="335"/>
      <c r="D95" s="365" t="s">
        <v>433</v>
      </c>
      <c r="E95" s="335" t="s">
        <v>434</v>
      </c>
      <c r="F95" s="337">
        <f>+F96+F97+F98</f>
        <v>984100000</v>
      </c>
      <c r="G95" s="344">
        <f>+G96+G97</f>
        <v>0</v>
      </c>
      <c r="H95" s="344">
        <f>+H96+H97</f>
        <v>42050000</v>
      </c>
      <c r="I95" s="344">
        <f>+G95+H95</f>
        <v>42050000</v>
      </c>
      <c r="J95" s="344">
        <f>+J96+J97</f>
        <v>0</v>
      </c>
      <c r="K95" s="344">
        <f>+SUM(K101:K110)</f>
        <v>0</v>
      </c>
      <c r="L95" s="344">
        <f>+J95+K95</f>
        <v>0</v>
      </c>
      <c r="M95" s="344">
        <f t="shared" si="32"/>
        <v>42050000</v>
      </c>
      <c r="N95" s="337">
        <f t="shared" si="38"/>
        <v>942050000</v>
      </c>
      <c r="P95" s="340"/>
      <c r="S95" s="347"/>
      <c r="T95" s="346"/>
      <c r="U95" s="342"/>
    </row>
    <row r="96" spans="1:21" s="339" customFormat="1" ht="18" customHeight="1" x14ac:dyDescent="0.25">
      <c r="A96" s="334"/>
      <c r="B96" s="335"/>
      <c r="C96" s="335"/>
      <c r="D96" s="365" t="s">
        <v>435</v>
      </c>
      <c r="E96" s="335" t="s">
        <v>437</v>
      </c>
      <c r="F96" s="337">
        <v>516750000</v>
      </c>
      <c r="G96" s="344"/>
      <c r="H96" s="344">
        <v>40950000</v>
      </c>
      <c r="I96" s="344">
        <f t="shared" si="34"/>
        <v>40950000</v>
      </c>
      <c r="J96" s="344"/>
      <c r="K96" s="344"/>
      <c r="L96" s="344">
        <f t="shared" si="22"/>
        <v>0</v>
      </c>
      <c r="M96" s="344">
        <f t="shared" si="32"/>
        <v>40950000</v>
      </c>
      <c r="N96" s="337">
        <f t="shared" si="38"/>
        <v>475800000</v>
      </c>
      <c r="P96" s="340"/>
      <c r="S96" s="347"/>
      <c r="T96" s="346"/>
      <c r="U96" s="342"/>
    </row>
    <row r="97" spans="1:21" s="339" customFormat="1" ht="18" customHeight="1" x14ac:dyDescent="0.25">
      <c r="A97" s="334"/>
      <c r="B97" s="335"/>
      <c r="C97" s="335"/>
      <c r="D97" s="365" t="s">
        <v>436</v>
      </c>
      <c r="E97" s="335" t="s">
        <v>438</v>
      </c>
      <c r="F97" s="337">
        <v>19500000</v>
      </c>
      <c r="G97" s="344"/>
      <c r="H97" s="344">
        <v>1100000</v>
      </c>
      <c r="I97" s="344">
        <f t="shared" si="34"/>
        <v>1100000</v>
      </c>
      <c r="J97" s="344"/>
      <c r="K97" s="344"/>
      <c r="L97" s="344">
        <f t="shared" si="22"/>
        <v>0</v>
      </c>
      <c r="M97" s="344">
        <f t="shared" si="32"/>
        <v>1100000</v>
      </c>
      <c r="N97" s="337">
        <f t="shared" si="38"/>
        <v>18400000</v>
      </c>
      <c r="P97" s="340"/>
      <c r="S97" s="347"/>
      <c r="T97" s="346"/>
      <c r="U97" s="342"/>
    </row>
    <row r="98" spans="1:21" s="339" customFormat="1" ht="18" customHeight="1" x14ac:dyDescent="0.25">
      <c r="A98" s="334"/>
      <c r="B98" s="335"/>
      <c r="C98" s="335"/>
      <c r="D98" s="365" t="s">
        <v>457</v>
      </c>
      <c r="E98" s="335" t="s">
        <v>458</v>
      </c>
      <c r="F98" s="337">
        <v>447850000</v>
      </c>
      <c r="G98" s="344"/>
      <c r="H98" s="344"/>
      <c r="I98" s="344">
        <f t="shared" si="34"/>
        <v>0</v>
      </c>
      <c r="J98" s="344"/>
      <c r="K98" s="344"/>
      <c r="L98" s="344">
        <f t="shared" si="22"/>
        <v>0</v>
      </c>
      <c r="M98" s="344">
        <f t="shared" si="32"/>
        <v>0</v>
      </c>
      <c r="N98" s="337">
        <f t="shared" si="38"/>
        <v>447850000</v>
      </c>
      <c r="P98" s="340"/>
      <c r="S98" s="347"/>
      <c r="T98" s="346"/>
      <c r="U98" s="342"/>
    </row>
    <row r="99" spans="1:21" s="339" customFormat="1" ht="18" customHeight="1" x14ac:dyDescent="0.25">
      <c r="A99" s="334"/>
      <c r="B99" s="335"/>
      <c r="C99" s="335"/>
      <c r="D99" s="365" t="s">
        <v>439</v>
      </c>
      <c r="E99" s="335" t="s">
        <v>442</v>
      </c>
      <c r="F99" s="337">
        <f>+F100</f>
        <v>461300000</v>
      </c>
      <c r="G99" s="344">
        <f>+G100</f>
        <v>0</v>
      </c>
      <c r="H99" s="344">
        <f>+H100</f>
        <v>34250000</v>
      </c>
      <c r="I99" s="344">
        <f t="shared" si="34"/>
        <v>34250000</v>
      </c>
      <c r="J99" s="344"/>
      <c r="K99" s="344">
        <f>+SUM(K104:K113)</f>
        <v>0</v>
      </c>
      <c r="L99" s="344">
        <f t="shared" si="22"/>
        <v>0</v>
      </c>
      <c r="M99" s="344">
        <f t="shared" si="32"/>
        <v>34250000</v>
      </c>
      <c r="N99" s="337">
        <f t="shared" si="38"/>
        <v>427050000</v>
      </c>
      <c r="P99" s="340"/>
      <c r="S99" s="347"/>
      <c r="T99" s="347"/>
      <c r="U99" s="342"/>
    </row>
    <row r="100" spans="1:21" s="339" customFormat="1" ht="18" customHeight="1" x14ac:dyDescent="0.25">
      <c r="A100" s="334"/>
      <c r="B100" s="335"/>
      <c r="C100" s="335"/>
      <c r="D100" s="365" t="s">
        <v>440</v>
      </c>
      <c r="E100" s="335" t="s">
        <v>441</v>
      </c>
      <c r="F100" s="337">
        <v>461300000</v>
      </c>
      <c r="G100" s="344"/>
      <c r="H100" s="344">
        <v>34250000</v>
      </c>
      <c r="I100" s="344">
        <f t="shared" si="34"/>
        <v>34250000</v>
      </c>
      <c r="J100" s="344"/>
      <c r="K100" s="344"/>
      <c r="L100" s="344">
        <f t="shared" si="22"/>
        <v>0</v>
      </c>
      <c r="M100" s="344">
        <f t="shared" si="32"/>
        <v>34250000</v>
      </c>
      <c r="N100" s="337">
        <f t="shared" si="38"/>
        <v>427050000</v>
      </c>
      <c r="P100" s="340"/>
      <c r="S100" s="347"/>
      <c r="T100" s="346"/>
      <c r="U100" s="342"/>
    </row>
    <row r="101" spans="1:21" s="339" customFormat="1" ht="18" customHeight="1" x14ac:dyDescent="0.25">
      <c r="A101" s="334"/>
      <c r="B101" s="335"/>
      <c r="C101" s="335"/>
      <c r="D101" s="365" t="s">
        <v>240</v>
      </c>
      <c r="E101" s="335" t="s">
        <v>241</v>
      </c>
      <c r="F101" s="337">
        <f>+F102</f>
        <v>757451250</v>
      </c>
      <c r="G101" s="344">
        <f>+G102</f>
        <v>0</v>
      </c>
      <c r="H101" s="344">
        <f>+H102</f>
        <v>0</v>
      </c>
      <c r="I101" s="344">
        <f>+G101+H101</f>
        <v>0</v>
      </c>
      <c r="J101" s="344">
        <f>+J102</f>
        <v>0</v>
      </c>
      <c r="K101" s="344">
        <f>+K102</f>
        <v>0</v>
      </c>
      <c r="L101" s="344">
        <f>+J101+K101</f>
        <v>0</v>
      </c>
      <c r="M101" s="344">
        <f t="shared" si="32"/>
        <v>0</v>
      </c>
      <c r="N101" s="337">
        <f>+F101-M101</f>
        <v>757451250</v>
      </c>
      <c r="P101" s="340"/>
      <c r="S101" s="347"/>
      <c r="T101" s="347"/>
      <c r="U101" s="342"/>
    </row>
    <row r="102" spans="1:21" s="339" customFormat="1" ht="18" customHeight="1" x14ac:dyDescent="0.25">
      <c r="A102" s="334"/>
      <c r="B102" s="335"/>
      <c r="C102" s="335"/>
      <c r="D102" s="365" t="s">
        <v>242</v>
      </c>
      <c r="E102" s="335" t="s">
        <v>409</v>
      </c>
      <c r="F102" s="337">
        <f>SUM(F103:F112)</f>
        <v>757451250</v>
      </c>
      <c r="G102" s="344">
        <f>SUM(G103:G112)</f>
        <v>0</v>
      </c>
      <c r="H102" s="344">
        <f>SUM(H103:H112)</f>
        <v>0</v>
      </c>
      <c r="I102" s="344">
        <f>+G102+H102</f>
        <v>0</v>
      </c>
      <c r="J102" s="344">
        <f>SUM(J103:J112)</f>
        <v>0</v>
      </c>
      <c r="K102" s="344">
        <f>SUM(K103:K112)</f>
        <v>0</v>
      </c>
      <c r="L102" s="344">
        <f>+J102+K102</f>
        <v>0</v>
      </c>
      <c r="M102" s="344">
        <f>+I102+L102</f>
        <v>0</v>
      </c>
      <c r="N102" s="337">
        <f>+F102-M102</f>
        <v>757451250</v>
      </c>
      <c r="P102" s="340"/>
      <c r="S102" s="347"/>
      <c r="T102" s="347"/>
      <c r="U102" s="342"/>
    </row>
    <row r="103" spans="1:21" s="339" customFormat="1" ht="18" customHeight="1" x14ac:dyDescent="0.25">
      <c r="A103" s="334"/>
      <c r="B103" s="335"/>
      <c r="C103" s="335"/>
      <c r="D103" s="365" t="s">
        <v>243</v>
      </c>
      <c r="E103" s="335" t="s">
        <v>331</v>
      </c>
      <c r="F103" s="337">
        <v>31387500</v>
      </c>
      <c r="G103" s="344"/>
      <c r="H103" s="344"/>
      <c r="I103" s="344">
        <f t="shared" ref="I103:I110" si="39">+G103+H103</f>
        <v>0</v>
      </c>
      <c r="J103" s="344"/>
      <c r="K103" s="344"/>
      <c r="L103" s="344">
        <f t="shared" si="22"/>
        <v>0</v>
      </c>
      <c r="M103" s="344">
        <f t="shared" ref="M103:M112" si="40">+I103+L103</f>
        <v>0</v>
      </c>
      <c r="N103" s="337">
        <f t="shared" ref="N103:N108" si="41">+F103-M103</f>
        <v>31387500</v>
      </c>
      <c r="P103" s="340"/>
      <c r="S103" s="347"/>
      <c r="T103" s="346"/>
      <c r="U103" s="342"/>
    </row>
    <row r="104" spans="1:21" s="339" customFormat="1" ht="18" customHeight="1" x14ac:dyDescent="0.25">
      <c r="A104" s="334"/>
      <c r="B104" s="335"/>
      <c r="C104" s="335"/>
      <c r="D104" s="365" t="s">
        <v>244</v>
      </c>
      <c r="E104" s="335" t="s">
        <v>245</v>
      </c>
      <c r="F104" s="337">
        <v>36450000</v>
      </c>
      <c r="G104" s="344"/>
      <c r="H104" s="344"/>
      <c r="I104" s="344">
        <f t="shared" si="39"/>
        <v>0</v>
      </c>
      <c r="J104" s="344"/>
      <c r="K104" s="344"/>
      <c r="L104" s="344">
        <f t="shared" si="22"/>
        <v>0</v>
      </c>
      <c r="M104" s="344">
        <f t="shared" si="40"/>
        <v>0</v>
      </c>
      <c r="N104" s="337">
        <f t="shared" si="41"/>
        <v>36450000</v>
      </c>
      <c r="P104" s="340"/>
      <c r="S104" s="347"/>
      <c r="T104" s="346"/>
      <c r="U104" s="342"/>
    </row>
    <row r="105" spans="1:21" s="339" customFormat="1" ht="18" customHeight="1" x14ac:dyDescent="0.25">
      <c r="A105" s="334"/>
      <c r="B105" s="335"/>
      <c r="C105" s="335"/>
      <c r="D105" s="365" t="s">
        <v>246</v>
      </c>
      <c r="E105" s="335" t="s">
        <v>247</v>
      </c>
      <c r="F105" s="337">
        <v>4050000</v>
      </c>
      <c r="G105" s="344"/>
      <c r="H105" s="344"/>
      <c r="I105" s="344">
        <f t="shared" si="39"/>
        <v>0</v>
      </c>
      <c r="J105" s="344"/>
      <c r="K105" s="344"/>
      <c r="L105" s="344">
        <f t="shared" si="22"/>
        <v>0</v>
      </c>
      <c r="M105" s="344">
        <f t="shared" si="40"/>
        <v>0</v>
      </c>
      <c r="N105" s="337">
        <f t="shared" si="41"/>
        <v>4050000</v>
      </c>
      <c r="P105" s="340"/>
      <c r="S105" s="347"/>
      <c r="T105" s="346"/>
      <c r="U105" s="342"/>
    </row>
    <row r="106" spans="1:21" s="339" customFormat="1" ht="18" customHeight="1" x14ac:dyDescent="0.25">
      <c r="A106" s="334"/>
      <c r="B106" s="335"/>
      <c r="C106" s="335"/>
      <c r="D106" s="365" t="s">
        <v>248</v>
      </c>
      <c r="E106" s="335" t="s">
        <v>249</v>
      </c>
      <c r="F106" s="337">
        <v>22275000</v>
      </c>
      <c r="G106" s="344"/>
      <c r="H106" s="344"/>
      <c r="I106" s="344">
        <f t="shared" si="39"/>
        <v>0</v>
      </c>
      <c r="J106" s="344"/>
      <c r="K106" s="344"/>
      <c r="L106" s="344">
        <f t="shared" si="22"/>
        <v>0</v>
      </c>
      <c r="M106" s="344">
        <f t="shared" si="40"/>
        <v>0</v>
      </c>
      <c r="N106" s="337">
        <f t="shared" si="41"/>
        <v>22275000</v>
      </c>
      <c r="P106" s="340"/>
      <c r="S106" s="347"/>
      <c r="T106" s="346"/>
      <c r="U106" s="342"/>
    </row>
    <row r="107" spans="1:21" s="339" customFormat="1" ht="18" customHeight="1" x14ac:dyDescent="0.25">
      <c r="A107" s="334"/>
      <c r="B107" s="335"/>
      <c r="C107" s="335"/>
      <c r="D107" s="365" t="s">
        <v>250</v>
      </c>
      <c r="E107" s="335" t="s">
        <v>251</v>
      </c>
      <c r="F107" s="337">
        <v>273375000</v>
      </c>
      <c r="G107" s="344"/>
      <c r="H107" s="344"/>
      <c r="I107" s="344">
        <f t="shared" si="39"/>
        <v>0</v>
      </c>
      <c r="J107" s="344"/>
      <c r="K107" s="344"/>
      <c r="L107" s="344">
        <f t="shared" si="22"/>
        <v>0</v>
      </c>
      <c r="M107" s="344">
        <f t="shared" si="40"/>
        <v>0</v>
      </c>
      <c r="N107" s="337">
        <f t="shared" si="41"/>
        <v>273375000</v>
      </c>
      <c r="P107" s="340"/>
      <c r="S107" s="347"/>
      <c r="T107" s="346"/>
      <c r="U107" s="342"/>
    </row>
    <row r="108" spans="1:21" s="339" customFormat="1" ht="18" customHeight="1" x14ac:dyDescent="0.25">
      <c r="A108" s="334"/>
      <c r="B108" s="335"/>
      <c r="C108" s="335"/>
      <c r="D108" s="365" t="s">
        <v>252</v>
      </c>
      <c r="E108" s="335" t="s">
        <v>253</v>
      </c>
      <c r="F108" s="337">
        <v>1215000</v>
      </c>
      <c r="G108" s="344"/>
      <c r="H108" s="344"/>
      <c r="I108" s="344">
        <f t="shared" si="39"/>
        <v>0</v>
      </c>
      <c r="J108" s="344"/>
      <c r="K108" s="344"/>
      <c r="L108" s="344">
        <f t="shared" si="22"/>
        <v>0</v>
      </c>
      <c r="M108" s="344">
        <f t="shared" si="40"/>
        <v>0</v>
      </c>
      <c r="N108" s="337">
        <f t="shared" si="41"/>
        <v>1215000</v>
      </c>
      <c r="P108" s="340"/>
      <c r="S108" s="347"/>
      <c r="T108" s="346"/>
      <c r="U108" s="342"/>
    </row>
    <row r="109" spans="1:21" s="339" customFormat="1" ht="18" customHeight="1" x14ac:dyDescent="0.25">
      <c r="A109" s="334"/>
      <c r="B109" s="335"/>
      <c r="C109" s="335"/>
      <c r="D109" s="365" t="s">
        <v>254</v>
      </c>
      <c r="E109" s="335" t="s">
        <v>255</v>
      </c>
      <c r="F109" s="337">
        <v>11137500</v>
      </c>
      <c r="G109" s="344"/>
      <c r="H109" s="344"/>
      <c r="I109" s="344">
        <f t="shared" si="39"/>
        <v>0</v>
      </c>
      <c r="J109" s="344"/>
      <c r="K109" s="344"/>
      <c r="L109" s="344">
        <f t="shared" si="22"/>
        <v>0</v>
      </c>
      <c r="M109" s="344">
        <f t="shared" si="40"/>
        <v>0</v>
      </c>
      <c r="N109" s="337">
        <f>+F109-M109</f>
        <v>11137500</v>
      </c>
      <c r="P109" s="340"/>
      <c r="S109" s="347"/>
      <c r="T109" s="346"/>
      <c r="U109" s="342"/>
    </row>
    <row r="110" spans="1:21" s="339" customFormat="1" ht="32.25" customHeight="1" x14ac:dyDescent="0.25">
      <c r="A110" s="366"/>
      <c r="B110" s="367"/>
      <c r="C110" s="367"/>
      <c r="D110" s="368" t="s">
        <v>256</v>
      </c>
      <c r="E110" s="369" t="s">
        <v>257</v>
      </c>
      <c r="F110" s="370">
        <v>202500</v>
      </c>
      <c r="G110" s="371"/>
      <c r="H110" s="371"/>
      <c r="I110" s="371">
        <f t="shared" si="39"/>
        <v>0</v>
      </c>
      <c r="J110" s="371"/>
      <c r="K110" s="371"/>
      <c r="L110" s="371">
        <f t="shared" si="22"/>
        <v>0</v>
      </c>
      <c r="M110" s="371">
        <f t="shared" si="40"/>
        <v>0</v>
      </c>
      <c r="N110" s="370">
        <f>+F110-M110</f>
        <v>202500</v>
      </c>
      <c r="P110" s="340"/>
      <c r="S110" s="347"/>
      <c r="T110" s="346"/>
      <c r="U110" s="342"/>
    </row>
    <row r="111" spans="1:21" s="339" customFormat="1" ht="31.5" x14ac:dyDescent="0.25">
      <c r="A111" s="366"/>
      <c r="B111" s="367"/>
      <c r="C111" s="367"/>
      <c r="D111" s="368" t="s">
        <v>258</v>
      </c>
      <c r="E111" s="369" t="s">
        <v>259</v>
      </c>
      <c r="F111" s="370">
        <v>101958750</v>
      </c>
      <c r="G111" s="371"/>
      <c r="H111" s="371"/>
      <c r="I111" s="371">
        <f>+G111+H111</f>
        <v>0</v>
      </c>
      <c r="J111" s="371"/>
      <c r="K111" s="371"/>
      <c r="L111" s="371">
        <f t="shared" si="22"/>
        <v>0</v>
      </c>
      <c r="M111" s="371">
        <f t="shared" si="40"/>
        <v>0</v>
      </c>
      <c r="N111" s="370">
        <f>+F111-M111</f>
        <v>101958750</v>
      </c>
      <c r="P111" s="340"/>
      <c r="S111" s="347"/>
      <c r="T111" s="346"/>
      <c r="U111" s="342"/>
    </row>
    <row r="112" spans="1:21" s="153" customFormat="1" ht="31.5" x14ac:dyDescent="0.25">
      <c r="A112" s="372"/>
      <c r="B112" s="373"/>
      <c r="C112" s="373"/>
      <c r="D112" s="374" t="s">
        <v>260</v>
      </c>
      <c r="E112" s="375" t="s">
        <v>261</v>
      </c>
      <c r="F112" s="376">
        <v>275400000</v>
      </c>
      <c r="G112" s="377"/>
      <c r="H112" s="377"/>
      <c r="I112" s="377">
        <f t="shared" ref="I112" si="42">+G112+H112</f>
        <v>0</v>
      </c>
      <c r="J112" s="377"/>
      <c r="K112" s="377"/>
      <c r="L112" s="377">
        <f t="shared" si="22"/>
        <v>0</v>
      </c>
      <c r="M112" s="377">
        <f t="shared" si="40"/>
        <v>0</v>
      </c>
      <c r="N112" s="376">
        <f>+F112-M112</f>
        <v>275400000</v>
      </c>
      <c r="P112" s="200"/>
      <c r="S112" s="221"/>
      <c r="T112" s="358"/>
      <c r="U112" s="254"/>
    </row>
    <row r="113" spans="1:21" s="319" customFormat="1" ht="18" customHeight="1" x14ac:dyDescent="0.25">
      <c r="A113" s="276">
        <v>4</v>
      </c>
      <c r="B113" s="305"/>
      <c r="C113" s="305" t="s">
        <v>84</v>
      </c>
      <c r="D113" s="363"/>
      <c r="E113" s="364" t="s">
        <v>85</v>
      </c>
      <c r="F113" s="307">
        <f>+F114</f>
        <v>31153000</v>
      </c>
      <c r="G113" s="308">
        <f t="shared" ref="F113:H114" si="43">+G114</f>
        <v>0</v>
      </c>
      <c r="H113" s="308">
        <f t="shared" si="43"/>
        <v>0</v>
      </c>
      <c r="I113" s="308">
        <f>+G113+H113</f>
        <v>0</v>
      </c>
      <c r="J113" s="308">
        <f>+J114</f>
        <v>0</v>
      </c>
      <c r="K113" s="308">
        <f>+K114</f>
        <v>0</v>
      </c>
      <c r="L113" s="308">
        <f>+J113+K113</f>
        <v>0</v>
      </c>
      <c r="M113" s="308">
        <f>+I113+L113</f>
        <v>0</v>
      </c>
      <c r="N113" s="307">
        <f>+F113-M113</f>
        <v>31153000</v>
      </c>
      <c r="P113" s="320"/>
      <c r="R113" s="321"/>
      <c r="S113" s="349"/>
      <c r="T113" s="349"/>
      <c r="U113" s="350"/>
    </row>
    <row r="114" spans="1:21" s="329" customFormat="1" ht="18" customHeight="1" x14ac:dyDescent="0.25">
      <c r="A114" s="323"/>
      <c r="B114" s="324"/>
      <c r="C114" s="324"/>
      <c r="D114" s="325" t="s">
        <v>207</v>
      </c>
      <c r="E114" s="326" t="s">
        <v>262</v>
      </c>
      <c r="F114" s="327">
        <f t="shared" si="43"/>
        <v>31153000</v>
      </c>
      <c r="G114" s="328">
        <f t="shared" si="43"/>
        <v>0</v>
      </c>
      <c r="H114" s="328">
        <f t="shared" si="43"/>
        <v>0</v>
      </c>
      <c r="I114" s="328">
        <f>+G114+H114</f>
        <v>0</v>
      </c>
      <c r="J114" s="328">
        <f t="shared" ref="J114:K116" si="44">+J115</f>
        <v>0</v>
      </c>
      <c r="K114" s="328">
        <f t="shared" si="44"/>
        <v>0</v>
      </c>
      <c r="L114" s="328">
        <f>+J114+K114</f>
        <v>0</v>
      </c>
      <c r="M114" s="328">
        <f t="shared" ref="M114:M120" si="45">+I114+L114</f>
        <v>0</v>
      </c>
      <c r="N114" s="327">
        <f t="shared" ref="N114:N117" si="46">+F114-M114</f>
        <v>31153000</v>
      </c>
      <c r="P114" s="330"/>
      <c r="R114" s="331"/>
      <c r="S114" s="351"/>
      <c r="T114" s="351"/>
      <c r="U114" s="333"/>
    </row>
    <row r="115" spans="1:21" s="339" customFormat="1" ht="18" customHeight="1" x14ac:dyDescent="0.25">
      <c r="A115" s="334"/>
      <c r="B115" s="378"/>
      <c r="C115" s="378"/>
      <c r="D115" s="335" t="s">
        <v>63</v>
      </c>
      <c r="E115" s="335" t="s">
        <v>30</v>
      </c>
      <c r="F115" s="337">
        <f>F116</f>
        <v>31153000</v>
      </c>
      <c r="G115" s="344">
        <f>+G116</f>
        <v>0</v>
      </c>
      <c r="H115" s="344">
        <f>+H116</f>
        <v>0</v>
      </c>
      <c r="I115" s="344">
        <f>+G115+H115</f>
        <v>0</v>
      </c>
      <c r="J115" s="344">
        <f>+J116</f>
        <v>0</v>
      </c>
      <c r="K115" s="344">
        <f t="shared" si="44"/>
        <v>0</v>
      </c>
      <c r="L115" s="344">
        <f>+J115+K115</f>
        <v>0</v>
      </c>
      <c r="M115" s="344">
        <f t="shared" si="45"/>
        <v>0</v>
      </c>
      <c r="N115" s="337">
        <f t="shared" si="46"/>
        <v>31153000</v>
      </c>
      <c r="P115" s="340"/>
      <c r="S115" s="347"/>
      <c r="T115" s="347"/>
      <c r="U115" s="342"/>
    </row>
    <row r="116" spans="1:21" s="339" customFormat="1" ht="18" customHeight="1" x14ac:dyDescent="0.25">
      <c r="A116" s="334"/>
      <c r="B116" s="335"/>
      <c r="C116" s="335"/>
      <c r="D116" s="335" t="s">
        <v>263</v>
      </c>
      <c r="E116" s="336" t="s">
        <v>264</v>
      </c>
      <c r="F116" s="337">
        <f>+F117</f>
        <v>31153000</v>
      </c>
      <c r="G116" s="338">
        <f>+G117</f>
        <v>0</v>
      </c>
      <c r="H116" s="338">
        <f>+H117</f>
        <v>0</v>
      </c>
      <c r="I116" s="338">
        <f>+G116+H116</f>
        <v>0</v>
      </c>
      <c r="J116" s="338">
        <f t="shared" si="44"/>
        <v>0</v>
      </c>
      <c r="K116" s="338">
        <f t="shared" si="44"/>
        <v>0</v>
      </c>
      <c r="L116" s="338">
        <f>+J116+K116</f>
        <v>0</v>
      </c>
      <c r="M116" s="338">
        <f t="shared" si="45"/>
        <v>0</v>
      </c>
      <c r="N116" s="337">
        <f t="shared" si="46"/>
        <v>31153000</v>
      </c>
      <c r="P116" s="340"/>
      <c r="S116" s="347"/>
      <c r="T116" s="347"/>
      <c r="U116" s="342"/>
    </row>
    <row r="117" spans="1:21" s="339" customFormat="1" ht="18" customHeight="1" x14ac:dyDescent="0.25">
      <c r="A117" s="334"/>
      <c r="B117" s="378"/>
      <c r="C117" s="378"/>
      <c r="D117" s="335" t="s">
        <v>64</v>
      </c>
      <c r="E117" s="335" t="s">
        <v>65</v>
      </c>
      <c r="F117" s="337">
        <f>F118+F119+F120</f>
        <v>31153000</v>
      </c>
      <c r="G117" s="344">
        <f>SUM(G118:G120)</f>
        <v>0</v>
      </c>
      <c r="H117" s="344">
        <f>SUM(H118:H120)</f>
        <v>0</v>
      </c>
      <c r="I117" s="344">
        <f>+G117+H117</f>
        <v>0</v>
      </c>
      <c r="J117" s="344">
        <f>SUM(J118:J120)</f>
        <v>0</v>
      </c>
      <c r="K117" s="344">
        <f>SUM(K118:K120)</f>
        <v>0</v>
      </c>
      <c r="L117" s="344">
        <f>+J117+K117</f>
        <v>0</v>
      </c>
      <c r="M117" s="344">
        <f t="shared" si="45"/>
        <v>0</v>
      </c>
      <c r="N117" s="337">
        <f t="shared" si="46"/>
        <v>31153000</v>
      </c>
      <c r="P117" s="340"/>
      <c r="S117" s="347"/>
      <c r="T117" s="347"/>
      <c r="U117" s="342"/>
    </row>
    <row r="118" spans="1:21" s="339" customFormat="1" ht="18" customHeight="1" x14ac:dyDescent="0.25">
      <c r="A118" s="334"/>
      <c r="B118" s="378"/>
      <c r="C118" s="378"/>
      <c r="D118" s="335" t="s">
        <v>66</v>
      </c>
      <c r="E118" s="335" t="s">
        <v>67</v>
      </c>
      <c r="F118" s="337">
        <v>1447000</v>
      </c>
      <c r="G118" s="344"/>
      <c r="H118" s="344"/>
      <c r="I118" s="344">
        <f t="shared" ref="I118:I120" si="47">+G118+H118</f>
        <v>0</v>
      </c>
      <c r="J118" s="344"/>
      <c r="K118" s="344"/>
      <c r="L118" s="344">
        <f t="shared" ref="L118:L120" si="48">+J118+K118</f>
        <v>0</v>
      </c>
      <c r="M118" s="344">
        <f t="shared" si="45"/>
        <v>0</v>
      </c>
      <c r="N118" s="337">
        <f>+F118-M118</f>
        <v>1447000</v>
      </c>
      <c r="P118" s="340"/>
      <c r="S118" s="347"/>
      <c r="T118" s="347"/>
      <c r="U118" s="342"/>
    </row>
    <row r="119" spans="1:21" s="339" customFormat="1" ht="18" customHeight="1" x14ac:dyDescent="0.25">
      <c r="A119" s="334"/>
      <c r="B119" s="378"/>
      <c r="C119" s="378"/>
      <c r="D119" s="335" t="s">
        <v>337</v>
      </c>
      <c r="E119" s="335" t="s">
        <v>338</v>
      </c>
      <c r="F119" s="337">
        <v>3792000</v>
      </c>
      <c r="G119" s="344"/>
      <c r="H119" s="344"/>
      <c r="I119" s="344">
        <f t="shared" si="47"/>
        <v>0</v>
      </c>
      <c r="J119" s="344"/>
      <c r="K119" s="344"/>
      <c r="L119" s="344">
        <f t="shared" si="48"/>
        <v>0</v>
      </c>
      <c r="M119" s="344">
        <f t="shared" si="45"/>
        <v>0</v>
      </c>
      <c r="N119" s="337">
        <f t="shared" ref="N119:N120" si="49">+F119-M119</f>
        <v>3792000</v>
      </c>
      <c r="P119" s="340"/>
      <c r="S119" s="347"/>
      <c r="T119" s="347"/>
      <c r="U119" s="342"/>
    </row>
    <row r="120" spans="1:21" s="339" customFormat="1" ht="18" customHeight="1" x14ac:dyDescent="0.25">
      <c r="A120" s="334"/>
      <c r="B120" s="378"/>
      <c r="C120" s="378"/>
      <c r="D120" s="335" t="s">
        <v>68</v>
      </c>
      <c r="E120" s="335" t="s">
        <v>69</v>
      </c>
      <c r="F120" s="337">
        <v>25914000</v>
      </c>
      <c r="G120" s="344"/>
      <c r="H120" s="344"/>
      <c r="I120" s="344">
        <f t="shared" si="47"/>
        <v>0</v>
      </c>
      <c r="J120" s="344"/>
      <c r="K120" s="344"/>
      <c r="L120" s="344">
        <f t="shared" si="48"/>
        <v>0</v>
      </c>
      <c r="M120" s="344">
        <f t="shared" si="45"/>
        <v>0</v>
      </c>
      <c r="N120" s="337">
        <f t="shared" si="49"/>
        <v>25914000</v>
      </c>
      <c r="P120" s="340"/>
      <c r="S120" s="347"/>
      <c r="T120" s="347"/>
      <c r="U120" s="342"/>
    </row>
    <row r="121" spans="1:21" s="153" customFormat="1" ht="18" customHeight="1" x14ac:dyDescent="0.25">
      <c r="A121" s="353"/>
      <c r="B121" s="354"/>
      <c r="C121" s="354"/>
      <c r="D121" s="355"/>
      <c r="E121" s="355"/>
      <c r="F121" s="356"/>
      <c r="G121" s="357"/>
      <c r="H121" s="357"/>
      <c r="I121" s="357"/>
      <c r="J121" s="357"/>
      <c r="K121" s="357"/>
      <c r="L121" s="357"/>
      <c r="M121" s="357"/>
      <c r="N121" s="356"/>
      <c r="P121" s="200"/>
      <c r="S121" s="221"/>
      <c r="T121" s="221"/>
      <c r="U121" s="254"/>
    </row>
    <row r="122" spans="1:21" s="319" customFormat="1" ht="18" customHeight="1" x14ac:dyDescent="0.25">
      <c r="A122" s="276"/>
      <c r="B122" s="305" t="s">
        <v>405</v>
      </c>
      <c r="C122" s="305"/>
      <c r="D122" s="305"/>
      <c r="E122" s="305" t="s">
        <v>406</v>
      </c>
      <c r="F122" s="359">
        <f t="shared" ref="F122:G124" si="50">+F123</f>
        <v>654671250</v>
      </c>
      <c r="G122" s="360">
        <f t="shared" si="50"/>
        <v>0</v>
      </c>
      <c r="H122" s="360">
        <f>+H123</f>
        <v>0</v>
      </c>
      <c r="I122" s="360">
        <f t="shared" ref="I122:I136" si="51">+G122+H122</f>
        <v>0</v>
      </c>
      <c r="J122" s="360">
        <f>+J124</f>
        <v>0</v>
      </c>
      <c r="K122" s="360">
        <f>+K123</f>
        <v>0</v>
      </c>
      <c r="L122" s="360">
        <f>+J122+K122</f>
        <v>0</v>
      </c>
      <c r="M122" s="360">
        <f t="shared" ref="M122" si="52">+I122+L122</f>
        <v>0</v>
      </c>
      <c r="N122" s="359">
        <f t="shared" ref="N122:N130" si="53">+F122-M122</f>
        <v>654671250</v>
      </c>
      <c r="P122" s="361"/>
      <c r="R122" s="321"/>
      <c r="S122" s="362"/>
      <c r="T122" s="362"/>
      <c r="U122" s="350"/>
    </row>
    <row r="123" spans="1:21" s="319" customFormat="1" ht="18" customHeight="1" x14ac:dyDescent="0.25">
      <c r="A123" s="277">
        <v>5</v>
      </c>
      <c r="B123" s="305"/>
      <c r="C123" s="305" t="s">
        <v>86</v>
      </c>
      <c r="D123" s="363"/>
      <c r="E123" s="364" t="s">
        <v>87</v>
      </c>
      <c r="F123" s="307">
        <f t="shared" si="50"/>
        <v>654671250</v>
      </c>
      <c r="G123" s="308">
        <f t="shared" si="50"/>
        <v>0</v>
      </c>
      <c r="H123" s="308">
        <f>+H124</f>
        <v>0</v>
      </c>
      <c r="I123" s="308">
        <f t="shared" si="51"/>
        <v>0</v>
      </c>
      <c r="J123" s="308">
        <f>+J124</f>
        <v>0</v>
      </c>
      <c r="K123" s="308">
        <f>+K124</f>
        <v>0</v>
      </c>
      <c r="L123" s="308">
        <f>+J123+K123</f>
        <v>0</v>
      </c>
      <c r="M123" s="308">
        <f>+I123+L123</f>
        <v>0</v>
      </c>
      <c r="N123" s="307">
        <f t="shared" si="53"/>
        <v>654671250</v>
      </c>
      <c r="P123" s="320"/>
      <c r="R123" s="321"/>
      <c r="S123" s="349"/>
      <c r="T123" s="349"/>
      <c r="U123" s="350"/>
    </row>
    <row r="124" spans="1:21" s="329" customFormat="1" ht="18" customHeight="1" x14ac:dyDescent="0.25">
      <c r="A124" s="323"/>
      <c r="B124" s="324"/>
      <c r="C124" s="324"/>
      <c r="D124" s="325" t="s">
        <v>207</v>
      </c>
      <c r="E124" s="326" t="s">
        <v>262</v>
      </c>
      <c r="F124" s="327">
        <f t="shared" si="50"/>
        <v>654671250</v>
      </c>
      <c r="G124" s="328">
        <f t="shared" si="50"/>
        <v>0</v>
      </c>
      <c r="H124" s="328">
        <f>+H125</f>
        <v>0</v>
      </c>
      <c r="I124" s="328">
        <f t="shared" si="51"/>
        <v>0</v>
      </c>
      <c r="J124" s="328">
        <f>+J125</f>
        <v>0</v>
      </c>
      <c r="K124" s="328">
        <f>+K125</f>
        <v>0</v>
      </c>
      <c r="L124" s="328">
        <f t="shared" ref="L124:L136" si="54">+J124+K124</f>
        <v>0</v>
      </c>
      <c r="M124" s="328">
        <f t="shared" ref="M124:M127" si="55">+I124+L124</f>
        <v>0</v>
      </c>
      <c r="N124" s="327">
        <f t="shared" si="53"/>
        <v>654671250</v>
      </c>
      <c r="P124" s="330"/>
      <c r="R124" s="331"/>
      <c r="S124" s="351"/>
      <c r="T124" s="351"/>
      <c r="U124" s="333"/>
    </row>
    <row r="125" spans="1:21" s="339" customFormat="1" ht="18" customHeight="1" x14ac:dyDescent="0.25">
      <c r="A125" s="334"/>
      <c r="B125" s="335"/>
      <c r="C125" s="335"/>
      <c r="D125" s="365" t="s">
        <v>63</v>
      </c>
      <c r="E125" s="335" t="s">
        <v>30</v>
      </c>
      <c r="F125" s="337">
        <f>F131+F126</f>
        <v>654671250</v>
      </c>
      <c r="G125" s="344">
        <f>+G126+G131</f>
        <v>0</v>
      </c>
      <c r="H125" s="344">
        <f>+H126+H131</f>
        <v>0</v>
      </c>
      <c r="I125" s="344">
        <f t="shared" si="51"/>
        <v>0</v>
      </c>
      <c r="J125" s="344">
        <f>+J126+J131</f>
        <v>0</v>
      </c>
      <c r="K125" s="344">
        <f>+K131+K126</f>
        <v>0</v>
      </c>
      <c r="L125" s="344">
        <f t="shared" si="54"/>
        <v>0</v>
      </c>
      <c r="M125" s="344">
        <f t="shared" si="55"/>
        <v>0</v>
      </c>
      <c r="N125" s="337">
        <f t="shared" si="53"/>
        <v>654671250</v>
      </c>
      <c r="P125" s="340"/>
      <c r="S125" s="347"/>
      <c r="T125" s="347"/>
      <c r="U125" s="342"/>
    </row>
    <row r="126" spans="1:21" s="339" customFormat="1" ht="18" customHeight="1" x14ac:dyDescent="0.25">
      <c r="A126" s="334"/>
      <c r="B126" s="335"/>
      <c r="C126" s="335"/>
      <c r="D126" s="365" t="s">
        <v>263</v>
      </c>
      <c r="E126" s="336" t="s">
        <v>264</v>
      </c>
      <c r="F126" s="337">
        <f>+F127</f>
        <v>137486250</v>
      </c>
      <c r="G126" s="344">
        <f>+G127</f>
        <v>0</v>
      </c>
      <c r="H126" s="344">
        <f>+H127</f>
        <v>0</v>
      </c>
      <c r="I126" s="344">
        <f t="shared" si="51"/>
        <v>0</v>
      </c>
      <c r="J126" s="344">
        <f>+J127</f>
        <v>0</v>
      </c>
      <c r="K126" s="344">
        <f>+K127</f>
        <v>0</v>
      </c>
      <c r="L126" s="344">
        <f t="shared" si="54"/>
        <v>0</v>
      </c>
      <c r="M126" s="344">
        <f t="shared" si="55"/>
        <v>0</v>
      </c>
      <c r="N126" s="337">
        <f t="shared" si="53"/>
        <v>137486250</v>
      </c>
      <c r="P126" s="340"/>
      <c r="S126" s="347"/>
      <c r="T126" s="347"/>
      <c r="U126" s="342"/>
    </row>
    <row r="127" spans="1:21" s="339" customFormat="1" ht="18" customHeight="1" x14ac:dyDescent="0.25">
      <c r="A127" s="334"/>
      <c r="B127" s="335"/>
      <c r="C127" s="335"/>
      <c r="D127" s="365" t="s">
        <v>64</v>
      </c>
      <c r="E127" s="335" t="s">
        <v>65</v>
      </c>
      <c r="F127" s="337">
        <f>+F128+F129+F130</f>
        <v>137486250</v>
      </c>
      <c r="G127" s="344">
        <f>SUM(G128:G129)</f>
        <v>0</v>
      </c>
      <c r="H127" s="344">
        <f>SUM(H128:H129)</f>
        <v>0</v>
      </c>
      <c r="I127" s="344">
        <f t="shared" si="51"/>
        <v>0</v>
      </c>
      <c r="J127" s="344">
        <f>SUM(J128:J130)</f>
        <v>0</v>
      </c>
      <c r="K127" s="344">
        <f>SUM(K128:K130)</f>
        <v>0</v>
      </c>
      <c r="L127" s="344">
        <f t="shared" si="54"/>
        <v>0</v>
      </c>
      <c r="M127" s="344">
        <f t="shared" si="55"/>
        <v>0</v>
      </c>
      <c r="N127" s="337">
        <f t="shared" si="53"/>
        <v>137486250</v>
      </c>
      <c r="P127" s="340"/>
      <c r="S127" s="347"/>
      <c r="T127" s="347"/>
      <c r="U127" s="342"/>
    </row>
    <row r="128" spans="1:21" s="339" customFormat="1" ht="18" customHeight="1" x14ac:dyDescent="0.25">
      <c r="A128" s="334"/>
      <c r="B128" s="335"/>
      <c r="C128" s="335"/>
      <c r="D128" s="365" t="s">
        <v>66</v>
      </c>
      <c r="E128" s="335" t="s">
        <v>67</v>
      </c>
      <c r="F128" s="337">
        <v>2756250</v>
      </c>
      <c r="G128" s="344"/>
      <c r="H128" s="344"/>
      <c r="I128" s="344">
        <f t="shared" si="51"/>
        <v>0</v>
      </c>
      <c r="J128" s="344"/>
      <c r="K128" s="344"/>
      <c r="L128" s="344">
        <f t="shared" si="54"/>
        <v>0</v>
      </c>
      <c r="M128" s="344">
        <f>+I128+L128</f>
        <v>0</v>
      </c>
      <c r="N128" s="337">
        <f t="shared" si="53"/>
        <v>2756250</v>
      </c>
      <c r="P128" s="340"/>
      <c r="S128" s="346"/>
      <c r="T128" s="347"/>
      <c r="U128" s="342"/>
    </row>
    <row r="129" spans="1:21" s="339" customFormat="1" ht="18" customHeight="1" x14ac:dyDescent="0.25">
      <c r="A129" s="334"/>
      <c r="B129" s="335"/>
      <c r="C129" s="335"/>
      <c r="D129" s="365" t="s">
        <v>369</v>
      </c>
      <c r="E129" s="335" t="s">
        <v>370</v>
      </c>
      <c r="F129" s="337">
        <v>7230000</v>
      </c>
      <c r="G129" s="344"/>
      <c r="H129" s="344"/>
      <c r="I129" s="344">
        <f t="shared" si="51"/>
        <v>0</v>
      </c>
      <c r="J129" s="344"/>
      <c r="K129" s="344"/>
      <c r="L129" s="344">
        <f t="shared" si="54"/>
        <v>0</v>
      </c>
      <c r="M129" s="344">
        <f>+I129+L129</f>
        <v>0</v>
      </c>
      <c r="N129" s="337">
        <f t="shared" si="53"/>
        <v>7230000</v>
      </c>
      <c r="P129" s="340"/>
      <c r="S129" s="347"/>
      <c r="T129" s="347"/>
      <c r="U129" s="342"/>
    </row>
    <row r="130" spans="1:21" s="339" customFormat="1" ht="18" customHeight="1" x14ac:dyDescent="0.25">
      <c r="A130" s="334"/>
      <c r="B130" s="335"/>
      <c r="C130" s="335"/>
      <c r="D130" s="365" t="s">
        <v>447</v>
      </c>
      <c r="E130" s="335" t="s">
        <v>448</v>
      </c>
      <c r="F130" s="337">
        <v>127500000</v>
      </c>
      <c r="G130" s="344"/>
      <c r="H130" s="344"/>
      <c r="I130" s="344">
        <f t="shared" si="51"/>
        <v>0</v>
      </c>
      <c r="J130" s="344"/>
      <c r="K130" s="344"/>
      <c r="L130" s="344">
        <f t="shared" si="54"/>
        <v>0</v>
      </c>
      <c r="M130" s="344">
        <f>+I130+L130</f>
        <v>0</v>
      </c>
      <c r="N130" s="337">
        <f t="shared" si="53"/>
        <v>127500000</v>
      </c>
      <c r="P130" s="340"/>
      <c r="S130" s="347"/>
      <c r="T130" s="347"/>
      <c r="U130" s="342"/>
    </row>
    <row r="131" spans="1:21" s="339" customFormat="1" ht="18" customHeight="1" x14ac:dyDescent="0.25">
      <c r="A131" s="334"/>
      <c r="B131" s="335"/>
      <c r="C131" s="335"/>
      <c r="D131" s="365" t="s">
        <v>265</v>
      </c>
      <c r="E131" s="335" t="s">
        <v>266</v>
      </c>
      <c r="F131" s="337">
        <f>+F132</f>
        <v>517185000</v>
      </c>
      <c r="G131" s="344">
        <f>+G132</f>
        <v>0</v>
      </c>
      <c r="H131" s="344">
        <f>+H132</f>
        <v>0</v>
      </c>
      <c r="I131" s="344">
        <f t="shared" si="51"/>
        <v>0</v>
      </c>
      <c r="J131" s="344">
        <f>+J132</f>
        <v>0</v>
      </c>
      <c r="K131" s="344">
        <f>+K132</f>
        <v>0</v>
      </c>
      <c r="L131" s="344">
        <f t="shared" si="54"/>
        <v>0</v>
      </c>
      <c r="M131" s="344">
        <f t="shared" ref="M131:M132" si="56">+I131+L131</f>
        <v>0</v>
      </c>
      <c r="N131" s="337">
        <f>+F131-M131</f>
        <v>517185000</v>
      </c>
      <c r="P131" s="340"/>
      <c r="S131" s="347"/>
      <c r="T131" s="347"/>
      <c r="U131" s="342"/>
    </row>
    <row r="132" spans="1:21" s="339" customFormat="1" ht="18" customHeight="1" x14ac:dyDescent="0.25">
      <c r="A132" s="334"/>
      <c r="B132" s="335"/>
      <c r="C132" s="335"/>
      <c r="D132" s="365" t="s">
        <v>71</v>
      </c>
      <c r="E132" s="335" t="s">
        <v>72</v>
      </c>
      <c r="F132" s="337">
        <f>SUM(F133:F136)</f>
        <v>517185000</v>
      </c>
      <c r="G132" s="344">
        <f>SUM(G133:G134)</f>
        <v>0</v>
      </c>
      <c r="H132" s="344">
        <f>SUM(H133:H134)</f>
        <v>0</v>
      </c>
      <c r="I132" s="344">
        <f t="shared" si="51"/>
        <v>0</v>
      </c>
      <c r="J132" s="344">
        <f>SUM(J133:J136)</f>
        <v>0</v>
      </c>
      <c r="K132" s="344">
        <f>SUM(K133:K136)</f>
        <v>0</v>
      </c>
      <c r="L132" s="344">
        <f>+J132+K132</f>
        <v>0</v>
      </c>
      <c r="M132" s="344">
        <f t="shared" si="56"/>
        <v>0</v>
      </c>
      <c r="N132" s="337">
        <f>+F132-M132</f>
        <v>517185000</v>
      </c>
      <c r="P132" s="340"/>
      <c r="S132" s="347"/>
      <c r="T132" s="347"/>
      <c r="U132" s="342"/>
    </row>
    <row r="133" spans="1:21" s="339" customFormat="1" ht="18" customHeight="1" x14ac:dyDescent="0.25">
      <c r="A133" s="334"/>
      <c r="B133" s="335"/>
      <c r="C133" s="335"/>
      <c r="D133" s="365" t="s">
        <v>73</v>
      </c>
      <c r="E133" s="335" t="s">
        <v>74</v>
      </c>
      <c r="F133" s="337">
        <v>128100000</v>
      </c>
      <c r="G133" s="344"/>
      <c r="H133" s="344"/>
      <c r="I133" s="344">
        <f t="shared" si="51"/>
        <v>0</v>
      </c>
      <c r="J133" s="344"/>
      <c r="K133" s="344"/>
      <c r="L133" s="344">
        <f t="shared" si="54"/>
        <v>0</v>
      </c>
      <c r="M133" s="344">
        <f>+I133+L133</f>
        <v>0</v>
      </c>
      <c r="N133" s="337">
        <f t="shared" ref="N133:N136" si="57">+F133-M133</f>
        <v>128100000</v>
      </c>
      <c r="P133" s="340"/>
      <c r="S133" s="346"/>
      <c r="T133" s="346"/>
      <c r="U133" s="342"/>
    </row>
    <row r="134" spans="1:21" s="339" customFormat="1" ht="18" customHeight="1" x14ac:dyDescent="0.25">
      <c r="A134" s="334"/>
      <c r="B134" s="335"/>
      <c r="C134" s="335"/>
      <c r="D134" s="365" t="s">
        <v>88</v>
      </c>
      <c r="E134" s="335" t="s">
        <v>89</v>
      </c>
      <c r="F134" s="337">
        <v>79635000</v>
      </c>
      <c r="G134" s="344"/>
      <c r="H134" s="344"/>
      <c r="I134" s="344">
        <f t="shared" si="51"/>
        <v>0</v>
      </c>
      <c r="J134" s="344"/>
      <c r="K134" s="344"/>
      <c r="L134" s="344">
        <f t="shared" si="54"/>
        <v>0</v>
      </c>
      <c r="M134" s="344">
        <f t="shared" ref="M134" si="58">+I134+L134</f>
        <v>0</v>
      </c>
      <c r="N134" s="337">
        <f t="shared" si="57"/>
        <v>79635000</v>
      </c>
      <c r="P134" s="340"/>
      <c r="S134" s="346"/>
      <c r="T134" s="347"/>
      <c r="U134" s="342"/>
    </row>
    <row r="135" spans="1:21" s="339" customFormat="1" ht="18" customHeight="1" x14ac:dyDescent="0.25">
      <c r="A135" s="334"/>
      <c r="B135" s="335"/>
      <c r="C135" s="335"/>
      <c r="D135" s="365" t="s">
        <v>445</v>
      </c>
      <c r="E135" s="335" t="s">
        <v>446</v>
      </c>
      <c r="F135" s="337">
        <v>241950000</v>
      </c>
      <c r="G135" s="344"/>
      <c r="H135" s="344"/>
      <c r="I135" s="344">
        <f t="shared" si="51"/>
        <v>0</v>
      </c>
      <c r="J135" s="344"/>
      <c r="K135" s="344"/>
      <c r="L135" s="344">
        <f t="shared" si="54"/>
        <v>0</v>
      </c>
      <c r="M135" s="344">
        <f>+I135+L135</f>
        <v>0</v>
      </c>
      <c r="N135" s="337">
        <f t="shared" si="57"/>
        <v>241950000</v>
      </c>
      <c r="P135" s="340"/>
      <c r="S135" s="347"/>
      <c r="T135" s="347"/>
      <c r="U135" s="342"/>
    </row>
    <row r="136" spans="1:21" s="339" customFormat="1" ht="18" customHeight="1" x14ac:dyDescent="0.25">
      <c r="A136" s="334"/>
      <c r="B136" s="335"/>
      <c r="C136" s="335"/>
      <c r="D136" s="365" t="s">
        <v>107</v>
      </c>
      <c r="E136" s="335" t="s">
        <v>108</v>
      </c>
      <c r="F136" s="337">
        <v>67500000</v>
      </c>
      <c r="G136" s="344"/>
      <c r="H136" s="344"/>
      <c r="I136" s="344">
        <f t="shared" si="51"/>
        <v>0</v>
      </c>
      <c r="J136" s="344"/>
      <c r="K136" s="344"/>
      <c r="L136" s="344">
        <f t="shared" si="54"/>
        <v>0</v>
      </c>
      <c r="M136" s="344">
        <f>+I136+L136</f>
        <v>0</v>
      </c>
      <c r="N136" s="337">
        <f t="shared" si="57"/>
        <v>67500000</v>
      </c>
      <c r="P136" s="340"/>
      <c r="S136" s="347"/>
      <c r="T136" s="347"/>
      <c r="U136" s="342"/>
    </row>
    <row r="137" spans="1:21" s="153" customFormat="1" ht="18" customHeight="1" x14ac:dyDescent="0.25">
      <c r="A137" s="353"/>
      <c r="B137" s="355"/>
      <c r="C137" s="355"/>
      <c r="D137" s="355"/>
      <c r="E137" s="355"/>
      <c r="F137" s="356"/>
      <c r="G137" s="357"/>
      <c r="H137" s="357"/>
      <c r="I137" s="357"/>
      <c r="J137" s="357"/>
      <c r="K137" s="357"/>
      <c r="L137" s="357"/>
      <c r="M137" s="357"/>
      <c r="N137" s="356"/>
      <c r="P137" s="200"/>
      <c r="S137" s="221"/>
      <c r="T137" s="221"/>
      <c r="U137" s="254"/>
    </row>
    <row r="138" spans="1:21" s="319" customFormat="1" ht="18" customHeight="1" x14ac:dyDescent="0.25">
      <c r="A138" s="276"/>
      <c r="B138" s="305" t="s">
        <v>380</v>
      </c>
      <c r="C138" s="305"/>
      <c r="D138" s="305"/>
      <c r="E138" s="305" t="s">
        <v>381</v>
      </c>
      <c r="F138" s="359">
        <f>+F139+F165+F173+F184+F206</f>
        <v>4317651500</v>
      </c>
      <c r="G138" s="360">
        <f>+G139+G165+G173+G184+G206</f>
        <v>0</v>
      </c>
      <c r="H138" s="360">
        <f>+H139+H165+H173+H184+H206</f>
        <v>0</v>
      </c>
      <c r="I138" s="360">
        <f t="shared" ref="I138:I164" si="59">+G138+H138</f>
        <v>0</v>
      </c>
      <c r="J138" s="360">
        <f>+J139+J165+J173+J184+J206</f>
        <v>0</v>
      </c>
      <c r="K138" s="360">
        <f>+K139+K165+K173+K184+K206</f>
        <v>7840000</v>
      </c>
      <c r="L138" s="360">
        <f t="shared" ref="L138:L146" si="60">+J138+K138</f>
        <v>7840000</v>
      </c>
      <c r="M138" s="360">
        <f t="shared" ref="M138" si="61">+I138+L138</f>
        <v>7840000</v>
      </c>
      <c r="N138" s="359">
        <f t="shared" ref="N138:N146" si="62">+F138-M138</f>
        <v>4309811500</v>
      </c>
      <c r="P138" s="361"/>
      <c r="R138" s="321"/>
      <c r="S138" s="362"/>
      <c r="T138" s="362"/>
      <c r="U138" s="350"/>
    </row>
    <row r="139" spans="1:21" s="319" customFormat="1" ht="18" customHeight="1" x14ac:dyDescent="0.25">
      <c r="A139" s="276">
        <v>6</v>
      </c>
      <c r="B139" s="305"/>
      <c r="C139" s="305" t="s">
        <v>90</v>
      </c>
      <c r="D139" s="363"/>
      <c r="E139" s="364" t="s">
        <v>91</v>
      </c>
      <c r="F139" s="307">
        <f>+F140+F147</f>
        <v>1165936000</v>
      </c>
      <c r="G139" s="308">
        <f>+G140+G147</f>
        <v>0</v>
      </c>
      <c r="H139" s="308">
        <f>+H140+H147</f>
        <v>0</v>
      </c>
      <c r="I139" s="308">
        <f t="shared" si="59"/>
        <v>0</v>
      </c>
      <c r="J139" s="308">
        <f>+J140+J147</f>
        <v>0</v>
      </c>
      <c r="K139" s="308">
        <f>+K140+K147</f>
        <v>0</v>
      </c>
      <c r="L139" s="308">
        <f t="shared" si="60"/>
        <v>0</v>
      </c>
      <c r="M139" s="308">
        <f>+I139+L139</f>
        <v>0</v>
      </c>
      <c r="N139" s="307">
        <f t="shared" si="62"/>
        <v>1165936000</v>
      </c>
      <c r="P139" s="320"/>
      <c r="R139" s="321"/>
      <c r="S139" s="349"/>
      <c r="T139" s="349"/>
      <c r="U139" s="350"/>
    </row>
    <row r="140" spans="1:21" s="329" customFormat="1" ht="18" customHeight="1" x14ac:dyDescent="0.25">
      <c r="A140" s="323"/>
      <c r="B140" s="324"/>
      <c r="C140" s="379"/>
      <c r="D140" s="325" t="s">
        <v>207</v>
      </c>
      <c r="E140" s="326" t="s">
        <v>262</v>
      </c>
      <c r="F140" s="327">
        <f>+F141</f>
        <v>39736000</v>
      </c>
      <c r="G140" s="328">
        <f>+G141</f>
        <v>0</v>
      </c>
      <c r="H140" s="328">
        <f>+H141</f>
        <v>0</v>
      </c>
      <c r="I140" s="328">
        <f t="shared" si="59"/>
        <v>0</v>
      </c>
      <c r="J140" s="328">
        <f t="shared" ref="J140:K142" si="63">+J141</f>
        <v>0</v>
      </c>
      <c r="K140" s="328">
        <f t="shared" si="63"/>
        <v>0</v>
      </c>
      <c r="L140" s="328">
        <f t="shared" si="60"/>
        <v>0</v>
      </c>
      <c r="M140" s="328">
        <f t="shared" ref="M140:M164" si="64">+I140+L140</f>
        <v>0</v>
      </c>
      <c r="N140" s="327">
        <f t="shared" si="62"/>
        <v>39736000</v>
      </c>
      <c r="P140" s="330"/>
      <c r="R140" s="331"/>
      <c r="S140" s="351"/>
      <c r="T140" s="351"/>
      <c r="U140" s="333"/>
    </row>
    <row r="141" spans="1:21" s="381" customFormat="1" ht="18" customHeight="1" x14ac:dyDescent="0.25">
      <c r="A141" s="380"/>
      <c r="B141" s="352"/>
      <c r="C141" s="334"/>
      <c r="D141" s="335" t="s">
        <v>63</v>
      </c>
      <c r="E141" s="335" t="s">
        <v>30</v>
      </c>
      <c r="F141" s="337">
        <f>+F142</f>
        <v>39736000</v>
      </c>
      <c r="G141" s="344">
        <f t="shared" ref="G141:H142" si="65">+G142</f>
        <v>0</v>
      </c>
      <c r="H141" s="344">
        <f t="shared" si="65"/>
        <v>0</v>
      </c>
      <c r="I141" s="344">
        <f t="shared" si="59"/>
        <v>0</v>
      </c>
      <c r="J141" s="344">
        <f t="shared" si="63"/>
        <v>0</v>
      </c>
      <c r="K141" s="344">
        <f t="shared" si="63"/>
        <v>0</v>
      </c>
      <c r="L141" s="344">
        <f t="shared" si="60"/>
        <v>0</v>
      </c>
      <c r="M141" s="344">
        <f t="shared" si="64"/>
        <v>0</v>
      </c>
      <c r="N141" s="337">
        <f t="shared" si="62"/>
        <v>39736000</v>
      </c>
      <c r="P141" s="340"/>
      <c r="S141" s="347"/>
      <c r="T141" s="347"/>
      <c r="U141" s="382"/>
    </row>
    <row r="142" spans="1:21" s="339" customFormat="1" ht="18" customHeight="1" x14ac:dyDescent="0.25">
      <c r="A142" s="334"/>
      <c r="B142" s="335"/>
      <c r="C142" s="334"/>
      <c r="D142" s="365" t="s">
        <v>263</v>
      </c>
      <c r="E142" s="335" t="s">
        <v>264</v>
      </c>
      <c r="F142" s="337">
        <f>+F143</f>
        <v>39736000</v>
      </c>
      <c r="G142" s="344">
        <f t="shared" si="65"/>
        <v>0</v>
      </c>
      <c r="H142" s="344">
        <f t="shared" si="65"/>
        <v>0</v>
      </c>
      <c r="I142" s="344">
        <f t="shared" si="59"/>
        <v>0</v>
      </c>
      <c r="J142" s="344">
        <f t="shared" si="63"/>
        <v>0</v>
      </c>
      <c r="K142" s="344">
        <f t="shared" si="63"/>
        <v>0</v>
      </c>
      <c r="L142" s="344">
        <f t="shared" si="60"/>
        <v>0</v>
      </c>
      <c r="M142" s="344">
        <f t="shared" si="64"/>
        <v>0</v>
      </c>
      <c r="N142" s="337">
        <f t="shared" si="62"/>
        <v>39736000</v>
      </c>
      <c r="P142" s="340"/>
      <c r="S142" s="347"/>
      <c r="T142" s="347"/>
      <c r="U142" s="342"/>
    </row>
    <row r="143" spans="1:21" s="381" customFormat="1" ht="18" customHeight="1" x14ac:dyDescent="0.25">
      <c r="A143" s="380"/>
      <c r="B143" s="352"/>
      <c r="C143" s="334"/>
      <c r="D143" s="335" t="s">
        <v>64</v>
      </c>
      <c r="E143" s="335" t="s">
        <v>65</v>
      </c>
      <c r="F143" s="337">
        <f>F145+F144+F146</f>
        <v>39736000</v>
      </c>
      <c r="G143" s="344">
        <f>+G145</f>
        <v>0</v>
      </c>
      <c r="H143" s="344">
        <f>+H145</f>
        <v>0</v>
      </c>
      <c r="I143" s="344">
        <f t="shared" si="59"/>
        <v>0</v>
      </c>
      <c r="J143" s="344">
        <f>+J145</f>
        <v>0</v>
      </c>
      <c r="K143" s="344">
        <f>+K145</f>
        <v>0</v>
      </c>
      <c r="L143" s="344">
        <f t="shared" si="60"/>
        <v>0</v>
      </c>
      <c r="M143" s="344">
        <f t="shared" si="64"/>
        <v>0</v>
      </c>
      <c r="N143" s="337">
        <f t="shared" si="62"/>
        <v>39736000</v>
      </c>
      <c r="P143" s="340"/>
      <c r="S143" s="347"/>
      <c r="T143" s="347"/>
      <c r="U143" s="382"/>
    </row>
    <row r="144" spans="1:21" s="381" customFormat="1" ht="18" customHeight="1" x14ac:dyDescent="0.25">
      <c r="A144" s="380"/>
      <c r="B144" s="352"/>
      <c r="C144" s="334"/>
      <c r="D144" s="335" t="s">
        <v>66</v>
      </c>
      <c r="E144" s="335" t="s">
        <v>67</v>
      </c>
      <c r="F144" s="337">
        <v>13500</v>
      </c>
      <c r="G144" s="344"/>
      <c r="H144" s="344"/>
      <c r="I144" s="344">
        <f t="shared" si="59"/>
        <v>0</v>
      </c>
      <c r="J144" s="344"/>
      <c r="K144" s="344"/>
      <c r="L144" s="344">
        <f t="shared" si="60"/>
        <v>0</v>
      </c>
      <c r="M144" s="344">
        <f t="shared" si="64"/>
        <v>0</v>
      </c>
      <c r="N144" s="337">
        <f t="shared" si="62"/>
        <v>13500</v>
      </c>
      <c r="P144" s="340"/>
      <c r="S144" s="347"/>
      <c r="T144" s="347"/>
      <c r="U144" s="382"/>
    </row>
    <row r="145" spans="1:21" s="381" customFormat="1" ht="18" customHeight="1" x14ac:dyDescent="0.25">
      <c r="A145" s="380"/>
      <c r="B145" s="352"/>
      <c r="C145" s="334"/>
      <c r="D145" s="335" t="s">
        <v>339</v>
      </c>
      <c r="E145" s="335" t="s">
        <v>340</v>
      </c>
      <c r="F145" s="337">
        <v>29175000</v>
      </c>
      <c r="G145" s="344"/>
      <c r="H145" s="344"/>
      <c r="I145" s="344">
        <f t="shared" si="59"/>
        <v>0</v>
      </c>
      <c r="J145" s="344"/>
      <c r="K145" s="344"/>
      <c r="L145" s="344">
        <f t="shared" si="60"/>
        <v>0</v>
      </c>
      <c r="M145" s="344">
        <f t="shared" si="64"/>
        <v>0</v>
      </c>
      <c r="N145" s="337">
        <f t="shared" si="62"/>
        <v>29175000</v>
      </c>
      <c r="P145" s="340"/>
      <c r="S145" s="347"/>
      <c r="T145" s="347"/>
      <c r="U145" s="382"/>
    </row>
    <row r="146" spans="1:21" s="381" customFormat="1" ht="18" customHeight="1" x14ac:dyDescent="0.25">
      <c r="A146" s="380"/>
      <c r="B146" s="352"/>
      <c r="C146" s="334"/>
      <c r="D146" s="335" t="s">
        <v>371</v>
      </c>
      <c r="E146" s="335" t="s">
        <v>372</v>
      </c>
      <c r="F146" s="337">
        <v>10547500</v>
      </c>
      <c r="G146" s="344"/>
      <c r="H146" s="344"/>
      <c r="I146" s="344">
        <f t="shared" si="59"/>
        <v>0</v>
      </c>
      <c r="J146" s="344"/>
      <c r="K146" s="344"/>
      <c r="L146" s="344">
        <f t="shared" si="60"/>
        <v>0</v>
      </c>
      <c r="M146" s="344">
        <f t="shared" si="64"/>
        <v>0</v>
      </c>
      <c r="N146" s="337">
        <f t="shared" si="62"/>
        <v>10547500</v>
      </c>
      <c r="P146" s="340"/>
      <c r="S146" s="347"/>
      <c r="T146" s="347"/>
      <c r="U146" s="382"/>
    </row>
    <row r="147" spans="1:21" s="381" customFormat="1" ht="18" customHeight="1" x14ac:dyDescent="0.25">
      <c r="A147" s="380"/>
      <c r="B147" s="383"/>
      <c r="C147" s="384"/>
      <c r="D147" s="365" t="s">
        <v>267</v>
      </c>
      <c r="E147" s="335" t="s">
        <v>268</v>
      </c>
      <c r="F147" s="337">
        <f>+F148</f>
        <v>1126200000</v>
      </c>
      <c r="G147" s="344">
        <f>+G148</f>
        <v>0</v>
      </c>
      <c r="H147" s="344">
        <f>+H148</f>
        <v>0</v>
      </c>
      <c r="I147" s="344">
        <f>+G147+H147</f>
        <v>0</v>
      </c>
      <c r="J147" s="344">
        <f>+J148</f>
        <v>0</v>
      </c>
      <c r="K147" s="344">
        <f>+K148</f>
        <v>0</v>
      </c>
      <c r="L147" s="344">
        <f>+J147+K147</f>
        <v>0</v>
      </c>
      <c r="M147" s="344">
        <f t="shared" si="64"/>
        <v>0</v>
      </c>
      <c r="N147" s="337">
        <f>+F147-M147</f>
        <v>1126200000</v>
      </c>
      <c r="P147" s="340"/>
      <c r="R147" s="385"/>
      <c r="S147" s="347"/>
      <c r="T147" s="347"/>
      <c r="U147" s="382"/>
    </row>
    <row r="148" spans="1:21" s="381" customFormat="1" ht="18" customHeight="1" x14ac:dyDescent="0.25">
      <c r="A148" s="380"/>
      <c r="B148" s="352"/>
      <c r="C148" s="334"/>
      <c r="D148" s="335" t="s">
        <v>78</v>
      </c>
      <c r="E148" s="335" t="s">
        <v>75</v>
      </c>
      <c r="F148" s="337">
        <f>+F149+F159+F156</f>
        <v>1126200000</v>
      </c>
      <c r="G148" s="344">
        <f>+G149+G159</f>
        <v>0</v>
      </c>
      <c r="H148" s="344">
        <f>+H149+H159</f>
        <v>0</v>
      </c>
      <c r="I148" s="344">
        <f>+G148+H148</f>
        <v>0</v>
      </c>
      <c r="J148" s="344">
        <f>+J149+J159</f>
        <v>0</v>
      </c>
      <c r="K148" s="344">
        <f>+K149+K159</f>
        <v>0</v>
      </c>
      <c r="L148" s="344">
        <f>+J148+K148</f>
        <v>0</v>
      </c>
      <c r="M148" s="344">
        <f t="shared" si="64"/>
        <v>0</v>
      </c>
      <c r="N148" s="337">
        <f>+F148-M148</f>
        <v>1126200000</v>
      </c>
      <c r="P148" s="340"/>
      <c r="S148" s="347"/>
      <c r="T148" s="347"/>
      <c r="U148" s="382"/>
    </row>
    <row r="149" spans="1:21" s="339" customFormat="1" ht="18" customHeight="1" x14ac:dyDescent="0.25">
      <c r="A149" s="334"/>
      <c r="B149" s="335"/>
      <c r="C149" s="334"/>
      <c r="D149" s="365" t="s">
        <v>269</v>
      </c>
      <c r="E149" s="335" t="s">
        <v>270</v>
      </c>
      <c r="F149" s="337">
        <f>+F153+F150</f>
        <v>385400000</v>
      </c>
      <c r="G149" s="344">
        <f>+G153</f>
        <v>0</v>
      </c>
      <c r="H149" s="344">
        <f>+H153</f>
        <v>0</v>
      </c>
      <c r="I149" s="344">
        <f>+G149+H149</f>
        <v>0</v>
      </c>
      <c r="J149" s="344">
        <f>+J153</f>
        <v>0</v>
      </c>
      <c r="K149" s="344">
        <f>+K153+K150</f>
        <v>0</v>
      </c>
      <c r="L149" s="344">
        <f>+J149+K149</f>
        <v>0</v>
      </c>
      <c r="M149" s="344">
        <f t="shared" si="64"/>
        <v>0</v>
      </c>
      <c r="N149" s="337">
        <f>+F149-M149</f>
        <v>385400000</v>
      </c>
      <c r="P149" s="340"/>
      <c r="S149" s="347"/>
      <c r="T149" s="347"/>
      <c r="U149" s="342"/>
    </row>
    <row r="150" spans="1:21" s="381" customFormat="1" ht="18" customHeight="1" x14ac:dyDescent="0.25">
      <c r="A150" s="380"/>
      <c r="B150" s="352"/>
      <c r="C150" s="334"/>
      <c r="D150" s="335" t="s">
        <v>76</v>
      </c>
      <c r="E150" s="335" t="s">
        <v>484</v>
      </c>
      <c r="F150" s="337">
        <f>F151+F152</f>
        <v>180100000</v>
      </c>
      <c r="G150" s="344">
        <f>G151</f>
        <v>0</v>
      </c>
      <c r="H150" s="344">
        <f>+H151</f>
        <v>0</v>
      </c>
      <c r="I150" s="344">
        <f>+G150+H150</f>
        <v>0</v>
      </c>
      <c r="J150" s="344">
        <f>J151</f>
        <v>0</v>
      </c>
      <c r="K150" s="344">
        <f>+K151</f>
        <v>0</v>
      </c>
      <c r="L150" s="344">
        <f>+J150+K150</f>
        <v>0</v>
      </c>
      <c r="M150" s="344">
        <f t="shared" si="64"/>
        <v>0</v>
      </c>
      <c r="N150" s="337">
        <f>+F150-M150</f>
        <v>180100000</v>
      </c>
      <c r="P150" s="340"/>
      <c r="S150" s="347"/>
      <c r="T150" s="347"/>
      <c r="U150" s="382"/>
    </row>
    <row r="151" spans="1:21" s="381" customFormat="1" ht="18" customHeight="1" x14ac:dyDescent="0.25">
      <c r="A151" s="380"/>
      <c r="B151" s="352"/>
      <c r="C151" s="334"/>
      <c r="D151" s="335" t="s">
        <v>393</v>
      </c>
      <c r="E151" s="335" t="s">
        <v>394</v>
      </c>
      <c r="F151" s="337">
        <v>99600000</v>
      </c>
      <c r="G151" s="344"/>
      <c r="H151" s="344"/>
      <c r="I151" s="344">
        <f t="shared" ref="I151:I152" si="66">+G151+H151</f>
        <v>0</v>
      </c>
      <c r="J151" s="344"/>
      <c r="K151" s="344"/>
      <c r="L151" s="344">
        <f t="shared" ref="L151:L152" si="67">+J151+K151</f>
        <v>0</v>
      </c>
      <c r="M151" s="344">
        <f t="shared" si="64"/>
        <v>0</v>
      </c>
      <c r="N151" s="337">
        <f t="shared" ref="N151:N152" si="68">+F151-M151</f>
        <v>99600000</v>
      </c>
      <c r="P151" s="340"/>
      <c r="S151" s="346"/>
      <c r="T151" s="347"/>
      <c r="U151" s="382"/>
    </row>
    <row r="152" spans="1:21" s="381" customFormat="1" ht="18" customHeight="1" x14ac:dyDescent="0.25">
      <c r="A152" s="380"/>
      <c r="B152" s="352"/>
      <c r="C152" s="334"/>
      <c r="D152" s="335" t="s">
        <v>117</v>
      </c>
      <c r="E152" s="335" t="s">
        <v>118</v>
      </c>
      <c r="F152" s="337">
        <v>80500000</v>
      </c>
      <c r="G152" s="344"/>
      <c r="H152" s="344"/>
      <c r="I152" s="344">
        <f t="shared" si="66"/>
        <v>0</v>
      </c>
      <c r="J152" s="344"/>
      <c r="K152" s="344"/>
      <c r="L152" s="344">
        <f t="shared" si="67"/>
        <v>0</v>
      </c>
      <c r="M152" s="344">
        <f t="shared" si="64"/>
        <v>0</v>
      </c>
      <c r="N152" s="337">
        <f t="shared" si="68"/>
        <v>80500000</v>
      </c>
      <c r="P152" s="340"/>
      <c r="S152" s="346"/>
      <c r="T152" s="347"/>
      <c r="U152" s="382"/>
    </row>
    <row r="153" spans="1:21" s="381" customFormat="1" ht="18" customHeight="1" x14ac:dyDescent="0.25">
      <c r="A153" s="380"/>
      <c r="B153" s="352"/>
      <c r="C153" s="334"/>
      <c r="D153" s="335" t="s">
        <v>92</v>
      </c>
      <c r="E153" s="335" t="s">
        <v>94</v>
      </c>
      <c r="F153" s="337">
        <f>F154+F155</f>
        <v>205300000</v>
      </c>
      <c r="G153" s="344">
        <f>+G154+G155</f>
        <v>0</v>
      </c>
      <c r="H153" s="344">
        <f>+H154+H155</f>
        <v>0</v>
      </c>
      <c r="I153" s="344">
        <f>+G153+H153</f>
        <v>0</v>
      </c>
      <c r="J153" s="344">
        <f>J154+J155</f>
        <v>0</v>
      </c>
      <c r="K153" s="344">
        <f>+K154+K155</f>
        <v>0</v>
      </c>
      <c r="L153" s="344">
        <f>+J153+K153</f>
        <v>0</v>
      </c>
      <c r="M153" s="344">
        <f t="shared" si="64"/>
        <v>0</v>
      </c>
      <c r="N153" s="337">
        <f>+F153-M153</f>
        <v>205300000</v>
      </c>
      <c r="P153" s="340"/>
      <c r="S153" s="347"/>
      <c r="T153" s="347"/>
      <c r="U153" s="382"/>
    </row>
    <row r="154" spans="1:21" s="381" customFormat="1" ht="18" customHeight="1" x14ac:dyDescent="0.25">
      <c r="A154" s="380"/>
      <c r="B154" s="352"/>
      <c r="C154" s="334"/>
      <c r="D154" s="335" t="s">
        <v>93</v>
      </c>
      <c r="E154" s="335" t="s">
        <v>95</v>
      </c>
      <c r="F154" s="337">
        <v>180000000</v>
      </c>
      <c r="G154" s="344"/>
      <c r="H154" s="344"/>
      <c r="I154" s="344">
        <f t="shared" ref="I154:I155" si="69">+G154+H154</f>
        <v>0</v>
      </c>
      <c r="J154" s="344"/>
      <c r="K154" s="344"/>
      <c r="L154" s="344">
        <f t="shared" ref="L154:L164" si="70">+J154+K154</f>
        <v>0</v>
      </c>
      <c r="M154" s="344">
        <f t="shared" si="64"/>
        <v>0</v>
      </c>
      <c r="N154" s="337">
        <f t="shared" ref="N154:N155" si="71">+F154-M154</f>
        <v>180000000</v>
      </c>
      <c r="P154" s="340"/>
      <c r="S154" s="347"/>
      <c r="T154" s="347"/>
      <c r="U154" s="382"/>
    </row>
    <row r="155" spans="1:21" s="381" customFormat="1" ht="18" customHeight="1" x14ac:dyDescent="0.25">
      <c r="A155" s="380"/>
      <c r="B155" s="352"/>
      <c r="C155" s="334"/>
      <c r="D155" s="335" t="s">
        <v>397</v>
      </c>
      <c r="E155" s="335" t="s">
        <v>398</v>
      </c>
      <c r="F155" s="337">
        <v>25300000</v>
      </c>
      <c r="G155" s="344"/>
      <c r="H155" s="344"/>
      <c r="I155" s="344">
        <f t="shared" si="69"/>
        <v>0</v>
      </c>
      <c r="J155" s="344"/>
      <c r="K155" s="344"/>
      <c r="L155" s="344">
        <f t="shared" si="70"/>
        <v>0</v>
      </c>
      <c r="M155" s="344">
        <f t="shared" si="64"/>
        <v>0</v>
      </c>
      <c r="N155" s="337">
        <f t="shared" si="71"/>
        <v>25300000</v>
      </c>
      <c r="P155" s="340"/>
      <c r="S155" s="347"/>
      <c r="T155" s="347"/>
      <c r="U155" s="382"/>
    </row>
    <row r="156" spans="1:21" s="339" customFormat="1" ht="18" customHeight="1" x14ac:dyDescent="0.25">
      <c r="A156" s="334"/>
      <c r="B156" s="335"/>
      <c r="C156" s="334"/>
      <c r="D156" s="365" t="s">
        <v>399</v>
      </c>
      <c r="E156" s="335" t="s">
        <v>400</v>
      </c>
      <c r="F156" s="337">
        <f>+F157</f>
        <v>200000000</v>
      </c>
      <c r="G156" s="344">
        <f>+G160</f>
        <v>0</v>
      </c>
      <c r="H156" s="344">
        <f>+H160</f>
        <v>0</v>
      </c>
      <c r="I156" s="344">
        <f>+G156+H156</f>
        <v>0</v>
      </c>
      <c r="J156" s="344">
        <f>+J160</f>
        <v>0</v>
      </c>
      <c r="K156" s="344">
        <f>+K160+K157</f>
        <v>0</v>
      </c>
      <c r="L156" s="344">
        <f>+J156+K156</f>
        <v>0</v>
      </c>
      <c r="M156" s="344">
        <f t="shared" si="64"/>
        <v>0</v>
      </c>
      <c r="N156" s="337">
        <f>+F156-M156</f>
        <v>200000000</v>
      </c>
      <c r="P156" s="340"/>
      <c r="S156" s="347"/>
      <c r="T156" s="347"/>
      <c r="U156" s="342"/>
    </row>
    <row r="157" spans="1:21" s="381" customFormat="1" ht="18" customHeight="1" x14ac:dyDescent="0.25">
      <c r="A157" s="380"/>
      <c r="B157" s="352"/>
      <c r="C157" s="334"/>
      <c r="D157" s="335" t="s">
        <v>401</v>
      </c>
      <c r="E157" s="335" t="s">
        <v>402</v>
      </c>
      <c r="F157" s="337">
        <f>+F158</f>
        <v>200000000</v>
      </c>
      <c r="G157" s="344">
        <f>G158</f>
        <v>0</v>
      </c>
      <c r="H157" s="344">
        <f>+H158</f>
        <v>0</v>
      </c>
      <c r="I157" s="344">
        <f>+G157+H157</f>
        <v>0</v>
      </c>
      <c r="J157" s="344">
        <f>J158</f>
        <v>0</v>
      </c>
      <c r="K157" s="344">
        <f>+K158</f>
        <v>0</v>
      </c>
      <c r="L157" s="344">
        <f>+J157+K157</f>
        <v>0</v>
      </c>
      <c r="M157" s="344">
        <f t="shared" si="64"/>
        <v>0</v>
      </c>
      <c r="N157" s="337">
        <f>+F157-M157</f>
        <v>200000000</v>
      </c>
      <c r="P157" s="340"/>
      <c r="S157" s="347"/>
      <c r="T157" s="347"/>
      <c r="U157" s="382"/>
    </row>
    <row r="158" spans="1:21" s="381" customFormat="1" ht="18" customHeight="1" x14ac:dyDescent="0.25">
      <c r="A158" s="380"/>
      <c r="B158" s="352"/>
      <c r="C158" s="334"/>
      <c r="D158" s="335" t="s">
        <v>459</v>
      </c>
      <c r="E158" s="335" t="s">
        <v>460</v>
      </c>
      <c r="F158" s="337">
        <v>200000000</v>
      </c>
      <c r="G158" s="344"/>
      <c r="H158" s="344"/>
      <c r="I158" s="344">
        <f t="shared" ref="I158" si="72">+G158+H158</f>
        <v>0</v>
      </c>
      <c r="J158" s="344"/>
      <c r="K158" s="344"/>
      <c r="L158" s="344">
        <f t="shared" ref="L158" si="73">+J158+K158</f>
        <v>0</v>
      </c>
      <c r="M158" s="344">
        <f t="shared" si="64"/>
        <v>0</v>
      </c>
      <c r="N158" s="337">
        <f t="shared" ref="N158" si="74">+F158-M158</f>
        <v>200000000</v>
      </c>
      <c r="P158" s="340"/>
      <c r="S158" s="346"/>
      <c r="T158" s="347"/>
      <c r="U158" s="382"/>
    </row>
    <row r="159" spans="1:21" s="339" customFormat="1" ht="18" customHeight="1" x14ac:dyDescent="0.25">
      <c r="A159" s="334"/>
      <c r="B159" s="335"/>
      <c r="C159" s="334"/>
      <c r="D159" s="365" t="s">
        <v>273</v>
      </c>
      <c r="E159" s="335" t="s">
        <v>274</v>
      </c>
      <c r="F159" s="337">
        <f>+F160+F162</f>
        <v>540800000</v>
      </c>
      <c r="G159" s="344">
        <f>+G160+G162</f>
        <v>0</v>
      </c>
      <c r="H159" s="344">
        <f>+H160+H162</f>
        <v>0</v>
      </c>
      <c r="I159" s="344">
        <f>+G159+H159</f>
        <v>0</v>
      </c>
      <c r="J159" s="344">
        <f t="shared" ref="J159:K160" si="75">+J160</f>
        <v>0</v>
      </c>
      <c r="K159" s="344">
        <f t="shared" si="75"/>
        <v>0</v>
      </c>
      <c r="L159" s="344">
        <f t="shared" si="70"/>
        <v>0</v>
      </c>
      <c r="M159" s="344">
        <f t="shared" si="64"/>
        <v>0</v>
      </c>
      <c r="N159" s="337">
        <f>+F159-M159</f>
        <v>540800000</v>
      </c>
      <c r="P159" s="340"/>
      <c r="S159" s="347"/>
      <c r="T159" s="347"/>
      <c r="U159" s="342"/>
    </row>
    <row r="160" spans="1:21" s="381" customFormat="1" ht="18" customHeight="1" x14ac:dyDescent="0.25">
      <c r="A160" s="380"/>
      <c r="B160" s="352"/>
      <c r="C160" s="334"/>
      <c r="D160" s="335" t="s">
        <v>96</v>
      </c>
      <c r="E160" s="335" t="s">
        <v>98</v>
      </c>
      <c r="F160" s="337">
        <f>F161</f>
        <v>335000000</v>
      </c>
      <c r="G160" s="344">
        <f>+G161</f>
        <v>0</v>
      </c>
      <c r="H160" s="344">
        <f>+H161</f>
        <v>0</v>
      </c>
      <c r="I160" s="344">
        <f>+G160+H160</f>
        <v>0</v>
      </c>
      <c r="J160" s="344">
        <f>+J161</f>
        <v>0</v>
      </c>
      <c r="K160" s="344">
        <f t="shared" si="75"/>
        <v>0</v>
      </c>
      <c r="L160" s="344">
        <f t="shared" si="70"/>
        <v>0</v>
      </c>
      <c r="M160" s="344">
        <f t="shared" si="64"/>
        <v>0</v>
      </c>
      <c r="N160" s="337">
        <f>+F160-M160</f>
        <v>335000000</v>
      </c>
      <c r="P160" s="340"/>
      <c r="S160" s="347"/>
      <c r="T160" s="347"/>
      <c r="U160" s="382"/>
    </row>
    <row r="161" spans="1:21" s="381" customFormat="1" ht="18" customHeight="1" x14ac:dyDescent="0.25">
      <c r="A161" s="380"/>
      <c r="B161" s="352"/>
      <c r="C161" s="334"/>
      <c r="D161" s="335" t="s">
        <v>97</v>
      </c>
      <c r="E161" s="335" t="s">
        <v>99</v>
      </c>
      <c r="F161" s="337">
        <v>335000000</v>
      </c>
      <c r="G161" s="344"/>
      <c r="H161" s="344"/>
      <c r="I161" s="344">
        <f t="shared" si="59"/>
        <v>0</v>
      </c>
      <c r="J161" s="344"/>
      <c r="K161" s="344"/>
      <c r="L161" s="344">
        <f t="shared" si="70"/>
        <v>0</v>
      </c>
      <c r="M161" s="344">
        <f t="shared" si="64"/>
        <v>0</v>
      </c>
      <c r="N161" s="337">
        <f t="shared" ref="N161" si="76">+F161-M161</f>
        <v>335000000</v>
      </c>
      <c r="P161" s="340"/>
      <c r="S161" s="347"/>
      <c r="T161" s="347"/>
      <c r="U161" s="382"/>
    </row>
    <row r="162" spans="1:21" s="381" customFormat="1" ht="18" customHeight="1" x14ac:dyDescent="0.25">
      <c r="A162" s="380"/>
      <c r="B162" s="352"/>
      <c r="C162" s="334"/>
      <c r="D162" s="335" t="s">
        <v>382</v>
      </c>
      <c r="E162" s="335" t="s">
        <v>383</v>
      </c>
      <c r="F162" s="337">
        <f>SUM(F163:F164)</f>
        <v>205800000</v>
      </c>
      <c r="G162" s="344">
        <f>SUM(G163:G164)</f>
        <v>0</v>
      </c>
      <c r="H162" s="344">
        <f>SUM(H163:H164)</f>
        <v>0</v>
      </c>
      <c r="I162" s="344">
        <f>+G162+H162</f>
        <v>0</v>
      </c>
      <c r="J162" s="344">
        <f>SUM(J163:J164)</f>
        <v>0</v>
      </c>
      <c r="K162" s="344">
        <f>SUM(K163:K164)</f>
        <v>0</v>
      </c>
      <c r="L162" s="344">
        <f>+J162+K162</f>
        <v>0</v>
      </c>
      <c r="M162" s="344">
        <f t="shared" si="64"/>
        <v>0</v>
      </c>
      <c r="N162" s="337">
        <f>+F162-M162</f>
        <v>205800000</v>
      </c>
      <c r="P162" s="340"/>
      <c r="S162" s="347"/>
      <c r="T162" s="347"/>
      <c r="U162" s="382"/>
    </row>
    <row r="163" spans="1:21" s="381" customFormat="1" ht="18" customHeight="1" x14ac:dyDescent="0.25">
      <c r="A163" s="380"/>
      <c r="B163" s="352"/>
      <c r="C163" s="334"/>
      <c r="D163" s="335" t="s">
        <v>384</v>
      </c>
      <c r="E163" s="335" t="s">
        <v>385</v>
      </c>
      <c r="F163" s="337">
        <v>170400000</v>
      </c>
      <c r="G163" s="344"/>
      <c r="H163" s="344"/>
      <c r="I163" s="344">
        <f t="shared" si="59"/>
        <v>0</v>
      </c>
      <c r="J163" s="344"/>
      <c r="K163" s="344"/>
      <c r="L163" s="344">
        <f t="shared" si="70"/>
        <v>0</v>
      </c>
      <c r="M163" s="344">
        <f t="shared" si="64"/>
        <v>0</v>
      </c>
      <c r="N163" s="337">
        <f t="shared" ref="N163:N164" si="77">+F163-M163</f>
        <v>170400000</v>
      </c>
      <c r="P163" s="340"/>
      <c r="S163" s="347"/>
      <c r="T163" s="347"/>
      <c r="U163" s="382"/>
    </row>
    <row r="164" spans="1:21" s="388" customFormat="1" ht="18" customHeight="1" x14ac:dyDescent="0.25">
      <c r="A164" s="386"/>
      <c r="B164" s="387"/>
      <c r="C164" s="353"/>
      <c r="D164" s="355" t="s">
        <v>386</v>
      </c>
      <c r="E164" s="355" t="s">
        <v>387</v>
      </c>
      <c r="F164" s="356">
        <v>35400000</v>
      </c>
      <c r="G164" s="357"/>
      <c r="H164" s="357"/>
      <c r="I164" s="357">
        <f t="shared" si="59"/>
        <v>0</v>
      </c>
      <c r="J164" s="357"/>
      <c r="K164" s="357"/>
      <c r="L164" s="357">
        <f t="shared" si="70"/>
        <v>0</v>
      </c>
      <c r="M164" s="357">
        <f t="shared" si="64"/>
        <v>0</v>
      </c>
      <c r="N164" s="356">
        <f t="shared" si="77"/>
        <v>35400000</v>
      </c>
      <c r="P164" s="200"/>
      <c r="S164" s="221"/>
      <c r="T164" s="221"/>
      <c r="U164" s="389"/>
    </row>
    <row r="165" spans="1:21" s="319" customFormat="1" ht="18" customHeight="1" x14ac:dyDescent="0.25">
      <c r="A165" s="276">
        <v>7</v>
      </c>
      <c r="B165" s="305"/>
      <c r="C165" s="390" t="s">
        <v>102</v>
      </c>
      <c r="D165" s="363"/>
      <c r="E165" s="364" t="s">
        <v>103</v>
      </c>
      <c r="F165" s="307">
        <f t="shared" ref="F165:H168" si="78">+F166</f>
        <v>540210000</v>
      </c>
      <c r="G165" s="308">
        <f t="shared" si="78"/>
        <v>0</v>
      </c>
      <c r="H165" s="308">
        <f t="shared" si="78"/>
        <v>0</v>
      </c>
      <c r="I165" s="308">
        <f>+G165+H165</f>
        <v>0</v>
      </c>
      <c r="J165" s="308">
        <f>+J166</f>
        <v>0</v>
      </c>
      <c r="K165" s="308">
        <f t="shared" ref="J165:K168" si="79">+K166</f>
        <v>0</v>
      </c>
      <c r="L165" s="308">
        <f>+J165+K165</f>
        <v>0</v>
      </c>
      <c r="M165" s="308">
        <f>+I165+L165</f>
        <v>0</v>
      </c>
      <c r="N165" s="307">
        <f>+F165-M165</f>
        <v>540210000</v>
      </c>
      <c r="P165" s="320"/>
      <c r="R165" s="321"/>
      <c r="S165" s="349"/>
      <c r="T165" s="349"/>
      <c r="U165" s="350"/>
    </row>
    <row r="166" spans="1:21" s="329" customFormat="1" ht="18" customHeight="1" x14ac:dyDescent="0.25">
      <c r="A166" s="323"/>
      <c r="B166" s="324"/>
      <c r="C166" s="379"/>
      <c r="D166" s="325" t="s">
        <v>207</v>
      </c>
      <c r="E166" s="326" t="s">
        <v>262</v>
      </c>
      <c r="F166" s="327">
        <f t="shared" si="78"/>
        <v>540210000</v>
      </c>
      <c r="G166" s="328">
        <f t="shared" si="78"/>
        <v>0</v>
      </c>
      <c r="H166" s="328">
        <f t="shared" si="78"/>
        <v>0</v>
      </c>
      <c r="I166" s="328">
        <f>+G166+H166</f>
        <v>0</v>
      </c>
      <c r="J166" s="328">
        <f t="shared" si="79"/>
        <v>0</v>
      </c>
      <c r="K166" s="328">
        <f t="shared" si="79"/>
        <v>0</v>
      </c>
      <c r="L166" s="328">
        <f>+J166+K166</f>
        <v>0</v>
      </c>
      <c r="M166" s="328">
        <f t="shared" ref="M166:M169" si="80">+I166+L166</f>
        <v>0</v>
      </c>
      <c r="N166" s="327">
        <f>+F166-M166</f>
        <v>540210000</v>
      </c>
      <c r="P166" s="330"/>
      <c r="R166" s="331"/>
      <c r="S166" s="351"/>
      <c r="T166" s="351"/>
      <c r="U166" s="333"/>
    </row>
    <row r="167" spans="1:21" s="381" customFormat="1" ht="18" customHeight="1" x14ac:dyDescent="0.25">
      <c r="A167" s="380"/>
      <c r="B167" s="352"/>
      <c r="C167" s="334"/>
      <c r="D167" s="335" t="s">
        <v>63</v>
      </c>
      <c r="E167" s="335" t="s">
        <v>30</v>
      </c>
      <c r="F167" s="337">
        <f t="shared" si="78"/>
        <v>540210000</v>
      </c>
      <c r="G167" s="344">
        <f t="shared" si="78"/>
        <v>0</v>
      </c>
      <c r="H167" s="344">
        <f t="shared" si="78"/>
        <v>0</v>
      </c>
      <c r="I167" s="344">
        <f>+G167+H167</f>
        <v>0</v>
      </c>
      <c r="J167" s="344">
        <f t="shared" si="79"/>
        <v>0</v>
      </c>
      <c r="K167" s="344">
        <f t="shared" si="79"/>
        <v>0</v>
      </c>
      <c r="L167" s="344">
        <f>+J167+K167</f>
        <v>0</v>
      </c>
      <c r="M167" s="344">
        <f t="shared" si="80"/>
        <v>0</v>
      </c>
      <c r="N167" s="337">
        <f>+F167-M167</f>
        <v>540210000</v>
      </c>
      <c r="P167" s="340"/>
      <c r="S167" s="347"/>
      <c r="T167" s="347"/>
      <c r="U167" s="382"/>
    </row>
    <row r="168" spans="1:21" s="339" customFormat="1" ht="18" customHeight="1" x14ac:dyDescent="0.25">
      <c r="A168" s="334"/>
      <c r="B168" s="335"/>
      <c r="C168" s="334"/>
      <c r="D168" s="365" t="s">
        <v>263</v>
      </c>
      <c r="E168" s="335" t="s">
        <v>264</v>
      </c>
      <c r="F168" s="337">
        <f t="shared" si="78"/>
        <v>540210000</v>
      </c>
      <c r="G168" s="344">
        <f>+G169</f>
        <v>0</v>
      </c>
      <c r="H168" s="344">
        <f>+H169</f>
        <v>0</v>
      </c>
      <c r="I168" s="344">
        <f>+G168+H168</f>
        <v>0</v>
      </c>
      <c r="J168" s="344">
        <f t="shared" si="79"/>
        <v>0</v>
      </c>
      <c r="K168" s="344">
        <f t="shared" si="79"/>
        <v>0</v>
      </c>
      <c r="L168" s="344">
        <f>+J168+K168</f>
        <v>0</v>
      </c>
      <c r="M168" s="344">
        <f t="shared" si="80"/>
        <v>0</v>
      </c>
      <c r="N168" s="337">
        <f>+F168-M168</f>
        <v>540210000</v>
      </c>
      <c r="P168" s="340"/>
      <c r="S168" s="347"/>
      <c r="T168" s="347"/>
      <c r="U168" s="342"/>
    </row>
    <row r="169" spans="1:21" s="381" customFormat="1" ht="18" customHeight="1" x14ac:dyDescent="0.25">
      <c r="A169" s="380"/>
      <c r="B169" s="352"/>
      <c r="C169" s="334"/>
      <c r="D169" s="335" t="s">
        <v>64</v>
      </c>
      <c r="E169" s="335" t="s">
        <v>65</v>
      </c>
      <c r="F169" s="337">
        <f>SUM(F170:F172)</f>
        <v>540210000</v>
      </c>
      <c r="G169" s="344">
        <f>SUM(G170:G172)</f>
        <v>0</v>
      </c>
      <c r="H169" s="344">
        <f>SUM(H170:H172)</f>
        <v>0</v>
      </c>
      <c r="I169" s="344">
        <f>+G169+H169</f>
        <v>0</v>
      </c>
      <c r="J169" s="344">
        <f>SUM(J170:J172)</f>
        <v>0</v>
      </c>
      <c r="K169" s="344">
        <f>SUM(K170:K172)</f>
        <v>0</v>
      </c>
      <c r="L169" s="344">
        <f>+J169+K169</f>
        <v>0</v>
      </c>
      <c r="M169" s="344">
        <f t="shared" si="80"/>
        <v>0</v>
      </c>
      <c r="N169" s="337">
        <f>+F169-M169</f>
        <v>540210000</v>
      </c>
      <c r="P169" s="340"/>
      <c r="S169" s="347"/>
      <c r="T169" s="347"/>
      <c r="U169" s="382"/>
    </row>
    <row r="170" spans="1:21" s="381" customFormat="1" ht="18" customHeight="1" x14ac:dyDescent="0.25">
      <c r="A170" s="380"/>
      <c r="B170" s="352"/>
      <c r="C170" s="334"/>
      <c r="D170" s="335" t="s">
        <v>388</v>
      </c>
      <c r="E170" s="335" t="s">
        <v>389</v>
      </c>
      <c r="F170" s="337">
        <v>57760000</v>
      </c>
      <c r="G170" s="344"/>
      <c r="H170" s="344"/>
      <c r="I170" s="344">
        <f t="shared" ref="I170" si="81">+G170+H170</f>
        <v>0</v>
      </c>
      <c r="J170" s="344"/>
      <c r="K170" s="344"/>
      <c r="L170" s="344">
        <f t="shared" ref="L170:L172" si="82">+J170+K170</f>
        <v>0</v>
      </c>
      <c r="M170" s="344">
        <f>+I170+L170</f>
        <v>0</v>
      </c>
      <c r="N170" s="337">
        <f t="shared" ref="N170:N172" si="83">+F170-M170</f>
        <v>57760000</v>
      </c>
      <c r="P170" s="340"/>
      <c r="S170" s="346"/>
      <c r="T170" s="347"/>
      <c r="U170" s="382"/>
    </row>
    <row r="171" spans="1:21" s="381" customFormat="1" ht="18" customHeight="1" x14ac:dyDescent="0.25">
      <c r="A171" s="380"/>
      <c r="B171" s="352"/>
      <c r="C171" s="334"/>
      <c r="D171" s="335" t="s">
        <v>70</v>
      </c>
      <c r="E171" s="335" t="s">
        <v>33</v>
      </c>
      <c r="F171" s="337">
        <v>382450000</v>
      </c>
      <c r="G171" s="344"/>
      <c r="H171" s="344"/>
      <c r="I171" s="344">
        <f>+G171+H171</f>
        <v>0</v>
      </c>
      <c r="J171" s="344"/>
      <c r="K171" s="344"/>
      <c r="L171" s="344">
        <f t="shared" si="82"/>
        <v>0</v>
      </c>
      <c r="M171" s="344">
        <f t="shared" ref="M171:M172" si="84">+I171+L171</f>
        <v>0</v>
      </c>
      <c r="N171" s="337">
        <f t="shared" si="83"/>
        <v>382450000</v>
      </c>
      <c r="P171" s="340"/>
      <c r="S171" s="346"/>
      <c r="T171" s="347"/>
      <c r="U171" s="382"/>
    </row>
    <row r="172" spans="1:21" s="388" customFormat="1" ht="18" customHeight="1" x14ac:dyDescent="0.25">
      <c r="A172" s="386"/>
      <c r="B172" s="387"/>
      <c r="C172" s="353"/>
      <c r="D172" s="355" t="s">
        <v>104</v>
      </c>
      <c r="E172" s="355" t="s">
        <v>390</v>
      </c>
      <c r="F172" s="356">
        <v>100000000</v>
      </c>
      <c r="G172" s="357"/>
      <c r="H172" s="357"/>
      <c r="I172" s="357"/>
      <c r="J172" s="357">
        <v>0</v>
      </c>
      <c r="K172" s="357"/>
      <c r="L172" s="357">
        <f t="shared" si="82"/>
        <v>0</v>
      </c>
      <c r="M172" s="357">
        <f t="shared" si="84"/>
        <v>0</v>
      </c>
      <c r="N172" s="356">
        <f t="shared" si="83"/>
        <v>100000000</v>
      </c>
      <c r="P172" s="200"/>
      <c r="S172" s="221"/>
      <c r="T172" s="221"/>
      <c r="U172" s="389"/>
    </row>
    <row r="173" spans="1:21" s="319" customFormat="1" ht="18" customHeight="1" x14ac:dyDescent="0.25">
      <c r="A173" s="276">
        <v>8</v>
      </c>
      <c r="B173" s="305"/>
      <c r="C173" s="390" t="s">
        <v>105</v>
      </c>
      <c r="D173" s="363"/>
      <c r="E173" s="364" t="s">
        <v>106</v>
      </c>
      <c r="F173" s="307">
        <f t="shared" ref="F173:H180" si="85">+F174</f>
        <v>1600450000</v>
      </c>
      <c r="G173" s="308">
        <f t="shared" si="85"/>
        <v>0</v>
      </c>
      <c r="H173" s="308">
        <f>+H174</f>
        <v>0</v>
      </c>
      <c r="I173" s="308">
        <f>+G173+H173</f>
        <v>0</v>
      </c>
      <c r="J173" s="308">
        <f t="shared" ref="J173:K180" si="86">+J174</f>
        <v>0</v>
      </c>
      <c r="K173" s="308">
        <f t="shared" si="86"/>
        <v>0</v>
      </c>
      <c r="L173" s="308">
        <f>+J173+K173</f>
        <v>0</v>
      </c>
      <c r="M173" s="308">
        <f>+I173+L173</f>
        <v>0</v>
      </c>
      <c r="N173" s="307">
        <f>+F173-M173</f>
        <v>1600450000</v>
      </c>
      <c r="P173" s="320"/>
      <c r="R173" s="321"/>
      <c r="S173" s="349"/>
      <c r="T173" s="349"/>
      <c r="U173" s="350"/>
    </row>
    <row r="174" spans="1:21" s="329" customFormat="1" ht="18" customHeight="1" x14ac:dyDescent="0.25">
      <c r="A174" s="323"/>
      <c r="B174" s="324"/>
      <c r="C174" s="379"/>
      <c r="D174" s="325" t="s">
        <v>207</v>
      </c>
      <c r="E174" s="326" t="s">
        <v>262</v>
      </c>
      <c r="F174" s="327">
        <f>+F175</f>
        <v>1600450000</v>
      </c>
      <c r="G174" s="328">
        <f t="shared" si="85"/>
        <v>0</v>
      </c>
      <c r="H174" s="328">
        <f t="shared" si="85"/>
        <v>0</v>
      </c>
      <c r="I174" s="328">
        <f>+G174+H174</f>
        <v>0</v>
      </c>
      <c r="J174" s="328">
        <f t="shared" si="86"/>
        <v>0</v>
      </c>
      <c r="K174" s="328">
        <f t="shared" si="86"/>
        <v>0</v>
      </c>
      <c r="L174" s="328">
        <f>+J174+K174</f>
        <v>0</v>
      </c>
      <c r="M174" s="328">
        <f t="shared" ref="M174:M182" si="87">+I174+L174</f>
        <v>0</v>
      </c>
      <c r="N174" s="327">
        <f>+F174-M174</f>
        <v>1600450000</v>
      </c>
      <c r="P174" s="330"/>
      <c r="R174" s="331"/>
      <c r="S174" s="351"/>
      <c r="T174" s="351"/>
      <c r="U174" s="333"/>
    </row>
    <row r="175" spans="1:21" s="381" customFormat="1" ht="18" customHeight="1" x14ac:dyDescent="0.25">
      <c r="A175" s="380"/>
      <c r="B175" s="352"/>
      <c r="C175" s="334"/>
      <c r="D175" s="335" t="s">
        <v>63</v>
      </c>
      <c r="E175" s="335" t="s">
        <v>30</v>
      </c>
      <c r="F175" s="337">
        <f>+F180+F176</f>
        <v>1600450000</v>
      </c>
      <c r="G175" s="344">
        <f>+G180</f>
        <v>0</v>
      </c>
      <c r="H175" s="344">
        <f>+H180+H176</f>
        <v>0</v>
      </c>
      <c r="I175" s="344">
        <f>+G175+H175</f>
        <v>0</v>
      </c>
      <c r="J175" s="344">
        <f>+J180+J176</f>
        <v>0</v>
      </c>
      <c r="K175" s="344">
        <f>+K180+K176</f>
        <v>0</v>
      </c>
      <c r="L175" s="344">
        <f>+J175+K175</f>
        <v>0</v>
      </c>
      <c r="M175" s="344">
        <f t="shared" si="87"/>
        <v>0</v>
      </c>
      <c r="N175" s="337">
        <f>+F175-M175</f>
        <v>1600450000</v>
      </c>
      <c r="P175" s="340"/>
      <c r="S175" s="347"/>
      <c r="T175" s="347"/>
      <c r="U175" s="382"/>
    </row>
    <row r="176" spans="1:21" s="339" customFormat="1" ht="18" customHeight="1" x14ac:dyDescent="0.25">
      <c r="A176" s="334"/>
      <c r="B176" s="335"/>
      <c r="C176" s="334"/>
      <c r="D176" s="365" t="s">
        <v>263</v>
      </c>
      <c r="E176" s="335" t="s">
        <v>264</v>
      </c>
      <c r="F176" s="337">
        <f>+F177</f>
        <v>32500000</v>
      </c>
      <c r="G176" s="344">
        <f>+G177</f>
        <v>0</v>
      </c>
      <c r="H176" s="344">
        <f>+H177</f>
        <v>0</v>
      </c>
      <c r="I176" s="344">
        <f>+G176+H176</f>
        <v>0</v>
      </c>
      <c r="J176" s="344">
        <f t="shared" si="86"/>
        <v>0</v>
      </c>
      <c r="K176" s="344">
        <f t="shared" si="86"/>
        <v>0</v>
      </c>
      <c r="L176" s="344">
        <f>+J176+K176</f>
        <v>0</v>
      </c>
      <c r="M176" s="344">
        <f t="shared" si="87"/>
        <v>0</v>
      </c>
      <c r="N176" s="337">
        <f>+F176-M176</f>
        <v>32500000</v>
      </c>
      <c r="P176" s="340"/>
      <c r="S176" s="347"/>
      <c r="T176" s="347"/>
      <c r="U176" s="342"/>
    </row>
    <row r="177" spans="1:21" s="381" customFormat="1" ht="18" customHeight="1" x14ac:dyDescent="0.25">
      <c r="A177" s="380"/>
      <c r="B177" s="352"/>
      <c r="C177" s="334"/>
      <c r="D177" s="335" t="s">
        <v>64</v>
      </c>
      <c r="E177" s="335" t="s">
        <v>65</v>
      </c>
      <c r="F177" s="337">
        <f>+F179+F178</f>
        <v>32500000</v>
      </c>
      <c r="G177" s="344">
        <f>+G179</f>
        <v>0</v>
      </c>
      <c r="H177" s="344">
        <f>SUM(H179)</f>
        <v>0</v>
      </c>
      <c r="I177" s="344">
        <f>+G177+H177</f>
        <v>0</v>
      </c>
      <c r="J177" s="344">
        <f>+J179</f>
        <v>0</v>
      </c>
      <c r="K177" s="344">
        <f>+K179</f>
        <v>0</v>
      </c>
      <c r="L177" s="344">
        <f>+J177+K177</f>
        <v>0</v>
      </c>
      <c r="M177" s="344">
        <f t="shared" si="87"/>
        <v>0</v>
      </c>
      <c r="N177" s="337">
        <f>+F177-M177</f>
        <v>32500000</v>
      </c>
      <c r="P177" s="340"/>
      <c r="S177" s="347"/>
      <c r="T177" s="347"/>
      <c r="U177" s="382"/>
    </row>
    <row r="178" spans="1:21" s="381" customFormat="1" ht="18" customHeight="1" x14ac:dyDescent="0.25">
      <c r="A178" s="380"/>
      <c r="B178" s="352"/>
      <c r="C178" s="334"/>
      <c r="D178" s="335" t="s">
        <v>443</v>
      </c>
      <c r="E178" s="335" t="s">
        <v>444</v>
      </c>
      <c r="F178" s="337">
        <v>17500000</v>
      </c>
      <c r="G178" s="344"/>
      <c r="H178" s="344"/>
      <c r="I178" s="344">
        <f t="shared" ref="I178:I179" si="88">+G178+H178</f>
        <v>0</v>
      </c>
      <c r="J178" s="344"/>
      <c r="K178" s="344"/>
      <c r="L178" s="344">
        <f t="shared" ref="L178:L179" si="89">+J178+K178</f>
        <v>0</v>
      </c>
      <c r="M178" s="344">
        <f t="shared" si="87"/>
        <v>0</v>
      </c>
      <c r="N178" s="337">
        <f t="shared" ref="N178:N179" si="90">+F178-M178</f>
        <v>17500000</v>
      </c>
      <c r="P178" s="340"/>
      <c r="S178" s="347"/>
      <c r="T178" s="347"/>
      <c r="U178" s="382"/>
    </row>
    <row r="179" spans="1:21" s="381" customFormat="1" ht="18" customHeight="1" x14ac:dyDescent="0.25">
      <c r="A179" s="380"/>
      <c r="B179" s="352"/>
      <c r="C179" s="334"/>
      <c r="D179" s="335" t="s">
        <v>447</v>
      </c>
      <c r="E179" s="335" t="s">
        <v>448</v>
      </c>
      <c r="F179" s="337">
        <v>15000000</v>
      </c>
      <c r="G179" s="344"/>
      <c r="H179" s="344"/>
      <c r="I179" s="344">
        <f t="shared" si="88"/>
        <v>0</v>
      </c>
      <c r="J179" s="344"/>
      <c r="K179" s="344"/>
      <c r="L179" s="344">
        <f t="shared" si="89"/>
        <v>0</v>
      </c>
      <c r="M179" s="344">
        <f t="shared" si="87"/>
        <v>0</v>
      </c>
      <c r="N179" s="337">
        <f t="shared" si="90"/>
        <v>15000000</v>
      </c>
      <c r="P179" s="340"/>
      <c r="S179" s="347"/>
      <c r="T179" s="347"/>
      <c r="U179" s="382"/>
    </row>
    <row r="180" spans="1:21" s="339" customFormat="1" ht="18" customHeight="1" x14ac:dyDescent="0.25">
      <c r="A180" s="334"/>
      <c r="B180" s="335"/>
      <c r="C180" s="334"/>
      <c r="D180" s="365" t="s">
        <v>265</v>
      </c>
      <c r="E180" s="335" t="s">
        <v>266</v>
      </c>
      <c r="F180" s="337">
        <f t="shared" si="85"/>
        <v>1567950000</v>
      </c>
      <c r="G180" s="344">
        <f>+G181</f>
        <v>0</v>
      </c>
      <c r="H180" s="344">
        <f>+H181</f>
        <v>0</v>
      </c>
      <c r="I180" s="344">
        <f>+G180+H180</f>
        <v>0</v>
      </c>
      <c r="J180" s="344">
        <f t="shared" si="86"/>
        <v>0</v>
      </c>
      <c r="K180" s="344">
        <f t="shared" si="86"/>
        <v>0</v>
      </c>
      <c r="L180" s="344">
        <f>+J180+K180</f>
        <v>0</v>
      </c>
      <c r="M180" s="344">
        <f t="shared" si="87"/>
        <v>0</v>
      </c>
      <c r="N180" s="337">
        <f>+F180-M180</f>
        <v>1567950000</v>
      </c>
      <c r="P180" s="340"/>
      <c r="S180" s="347"/>
      <c r="T180" s="347"/>
      <c r="U180" s="342"/>
    </row>
    <row r="181" spans="1:21" s="381" customFormat="1" ht="18" customHeight="1" x14ac:dyDescent="0.25">
      <c r="A181" s="380"/>
      <c r="B181" s="352"/>
      <c r="C181" s="334"/>
      <c r="D181" s="335" t="s">
        <v>71</v>
      </c>
      <c r="E181" s="335" t="s">
        <v>72</v>
      </c>
      <c r="F181" s="337">
        <f>SUM(F182:F183)</f>
        <v>1567950000</v>
      </c>
      <c r="G181" s="344">
        <f>SUM(G182:G183)</f>
        <v>0</v>
      </c>
      <c r="H181" s="344">
        <f>SUM(H182:H183)</f>
        <v>0</v>
      </c>
      <c r="I181" s="344">
        <f>+G181+H181</f>
        <v>0</v>
      </c>
      <c r="J181" s="344">
        <f>SUM(J182:J183)</f>
        <v>0</v>
      </c>
      <c r="K181" s="344">
        <f>SUM(K182:K183)</f>
        <v>0</v>
      </c>
      <c r="L181" s="344">
        <f>+J181+K181</f>
        <v>0</v>
      </c>
      <c r="M181" s="344">
        <f t="shared" si="87"/>
        <v>0</v>
      </c>
      <c r="N181" s="337">
        <f>+F181-M181</f>
        <v>1567950000</v>
      </c>
      <c r="P181" s="340"/>
      <c r="S181" s="347"/>
      <c r="T181" s="347"/>
      <c r="U181" s="382"/>
    </row>
    <row r="182" spans="1:21" s="381" customFormat="1" ht="18" customHeight="1" x14ac:dyDescent="0.25">
      <c r="A182" s="380"/>
      <c r="B182" s="352"/>
      <c r="C182" s="334"/>
      <c r="D182" s="335" t="s">
        <v>73</v>
      </c>
      <c r="E182" s="335" t="s">
        <v>74</v>
      </c>
      <c r="F182" s="337">
        <v>1501270000</v>
      </c>
      <c r="G182" s="344"/>
      <c r="H182" s="344"/>
      <c r="I182" s="344">
        <f t="shared" ref="I182" si="91">+G182+H182</f>
        <v>0</v>
      </c>
      <c r="J182" s="344"/>
      <c r="K182" s="344"/>
      <c r="L182" s="344">
        <f t="shared" ref="L182:L193" si="92">+J182+K182</f>
        <v>0</v>
      </c>
      <c r="M182" s="344">
        <f t="shared" si="87"/>
        <v>0</v>
      </c>
      <c r="N182" s="337">
        <f t="shared" ref="N182:N183" si="93">+F182-M182</f>
        <v>1501270000</v>
      </c>
      <c r="P182" s="340"/>
      <c r="S182" s="346"/>
      <c r="T182" s="346"/>
      <c r="U182" s="382"/>
    </row>
    <row r="183" spans="1:21" s="388" customFormat="1" ht="18" customHeight="1" x14ac:dyDescent="0.25">
      <c r="A183" s="386"/>
      <c r="B183" s="387"/>
      <c r="C183" s="353"/>
      <c r="D183" s="355" t="s">
        <v>88</v>
      </c>
      <c r="E183" s="355" t="s">
        <v>89</v>
      </c>
      <c r="F183" s="356">
        <v>66680000</v>
      </c>
      <c r="G183" s="357"/>
      <c r="H183" s="357"/>
      <c r="I183" s="357"/>
      <c r="J183" s="357"/>
      <c r="K183" s="357"/>
      <c r="L183" s="357">
        <f t="shared" si="92"/>
        <v>0</v>
      </c>
      <c r="M183" s="357">
        <f>+I183+L183</f>
        <v>0</v>
      </c>
      <c r="N183" s="356">
        <f t="shared" si="93"/>
        <v>66680000</v>
      </c>
      <c r="P183" s="200"/>
      <c r="S183" s="358"/>
      <c r="T183" s="221"/>
      <c r="U183" s="389"/>
    </row>
    <row r="184" spans="1:21" s="319" customFormat="1" ht="18" customHeight="1" x14ac:dyDescent="0.25">
      <c r="A184" s="276">
        <v>9</v>
      </c>
      <c r="B184" s="305"/>
      <c r="C184" s="390" t="s">
        <v>109</v>
      </c>
      <c r="D184" s="363"/>
      <c r="E184" s="364" t="s">
        <v>110</v>
      </c>
      <c r="F184" s="307">
        <f>+F185+F201</f>
        <v>200844000</v>
      </c>
      <c r="G184" s="308">
        <f>+G185+G201</f>
        <v>0</v>
      </c>
      <c r="H184" s="308">
        <f>+H185+H201</f>
        <v>0</v>
      </c>
      <c r="I184" s="308">
        <f>+G184+H184</f>
        <v>0</v>
      </c>
      <c r="J184" s="308">
        <f>+J185+J201</f>
        <v>0</v>
      </c>
      <c r="K184" s="308">
        <f>+K185+K201</f>
        <v>6240000</v>
      </c>
      <c r="L184" s="308">
        <f t="shared" si="92"/>
        <v>6240000</v>
      </c>
      <c r="M184" s="308">
        <f>+I184+L184</f>
        <v>6240000</v>
      </c>
      <c r="N184" s="307">
        <f>+F184-M184</f>
        <v>194604000</v>
      </c>
      <c r="P184" s="320"/>
      <c r="R184" s="321"/>
      <c r="S184" s="349"/>
      <c r="T184" s="349"/>
      <c r="U184" s="350"/>
    </row>
    <row r="185" spans="1:21" s="329" customFormat="1" ht="18" customHeight="1" x14ac:dyDescent="0.25">
      <c r="A185" s="323"/>
      <c r="B185" s="324"/>
      <c r="C185" s="379"/>
      <c r="D185" s="325" t="s">
        <v>207</v>
      </c>
      <c r="E185" s="326" t="s">
        <v>262</v>
      </c>
      <c r="F185" s="327">
        <f>+F186</f>
        <v>174844000</v>
      </c>
      <c r="G185" s="328">
        <f>+G186</f>
        <v>0</v>
      </c>
      <c r="H185" s="328">
        <f>+H186</f>
        <v>0</v>
      </c>
      <c r="I185" s="328">
        <f>+G185+H185</f>
        <v>0</v>
      </c>
      <c r="J185" s="328">
        <f>+J186</f>
        <v>0</v>
      </c>
      <c r="K185" s="328">
        <f>+K186</f>
        <v>6240000</v>
      </c>
      <c r="L185" s="328">
        <f t="shared" si="92"/>
        <v>6240000</v>
      </c>
      <c r="M185" s="328">
        <f>+I185+L185</f>
        <v>6240000</v>
      </c>
      <c r="N185" s="327">
        <f>+F185-M185</f>
        <v>168604000</v>
      </c>
      <c r="P185" s="330"/>
      <c r="R185" s="331"/>
      <c r="S185" s="351"/>
      <c r="T185" s="351"/>
      <c r="U185" s="333"/>
    </row>
    <row r="186" spans="1:21" s="381" customFormat="1" ht="18" customHeight="1" x14ac:dyDescent="0.25">
      <c r="A186" s="380"/>
      <c r="B186" s="352"/>
      <c r="C186" s="334"/>
      <c r="D186" s="335" t="s">
        <v>63</v>
      </c>
      <c r="E186" s="335" t="s">
        <v>30</v>
      </c>
      <c r="F186" s="337">
        <f>+F187+F194+F198</f>
        <v>174844000</v>
      </c>
      <c r="G186" s="344">
        <f>+G187+G194</f>
        <v>0</v>
      </c>
      <c r="H186" s="344">
        <f>+H187+H194</f>
        <v>0</v>
      </c>
      <c r="I186" s="344">
        <f>+G186+H186</f>
        <v>0</v>
      </c>
      <c r="J186" s="344">
        <f>+J187+J194</f>
        <v>0</v>
      </c>
      <c r="K186" s="344">
        <f>+K187+K194</f>
        <v>6240000</v>
      </c>
      <c r="L186" s="344">
        <f t="shared" si="92"/>
        <v>6240000</v>
      </c>
      <c r="M186" s="344">
        <f t="shared" ref="M186:M196" si="94">+I186+L186</f>
        <v>6240000</v>
      </c>
      <c r="N186" s="337">
        <f>+F186-M186</f>
        <v>168604000</v>
      </c>
      <c r="P186" s="340"/>
      <c r="S186" s="347"/>
      <c r="T186" s="347"/>
      <c r="U186" s="382"/>
    </row>
    <row r="187" spans="1:21" s="339" customFormat="1" ht="18" customHeight="1" x14ac:dyDescent="0.25">
      <c r="A187" s="334"/>
      <c r="B187" s="335"/>
      <c r="C187" s="334"/>
      <c r="D187" s="365" t="s">
        <v>263</v>
      </c>
      <c r="E187" s="335" t="s">
        <v>264</v>
      </c>
      <c r="F187" s="337">
        <f t="shared" ref="F187" si="95">+F188</f>
        <v>44044000</v>
      </c>
      <c r="G187" s="344">
        <f>+G188</f>
        <v>0</v>
      </c>
      <c r="H187" s="344">
        <f>+H188</f>
        <v>0</v>
      </c>
      <c r="I187" s="344">
        <f>+G187+H187</f>
        <v>0</v>
      </c>
      <c r="J187" s="344">
        <f>+J188</f>
        <v>0</v>
      </c>
      <c r="K187" s="344">
        <f>+K188</f>
        <v>0</v>
      </c>
      <c r="L187" s="344">
        <f t="shared" si="92"/>
        <v>0</v>
      </c>
      <c r="M187" s="344">
        <f t="shared" si="94"/>
        <v>0</v>
      </c>
      <c r="N187" s="337">
        <f>+F187-M187</f>
        <v>44044000</v>
      </c>
      <c r="P187" s="340"/>
      <c r="S187" s="347"/>
      <c r="T187" s="347"/>
      <c r="U187" s="342"/>
    </row>
    <row r="188" spans="1:21" s="381" customFormat="1" ht="18" customHeight="1" x14ac:dyDescent="0.25">
      <c r="A188" s="380"/>
      <c r="B188" s="352"/>
      <c r="C188" s="334"/>
      <c r="D188" s="335" t="s">
        <v>64</v>
      </c>
      <c r="E188" s="335" t="s">
        <v>65</v>
      </c>
      <c r="F188" s="337">
        <f>SUM(F189:F193)</f>
        <v>44044000</v>
      </c>
      <c r="G188" s="344">
        <f>SUM(G189:G193)</f>
        <v>0</v>
      </c>
      <c r="H188" s="344">
        <f>SUM(H189:H193)</f>
        <v>0</v>
      </c>
      <c r="I188" s="344">
        <f>+G188+H188</f>
        <v>0</v>
      </c>
      <c r="J188" s="344">
        <f>SUM(J189:J193)</f>
        <v>0</v>
      </c>
      <c r="K188" s="344">
        <f>SUM(K189:K193)</f>
        <v>0</v>
      </c>
      <c r="L188" s="344">
        <f t="shared" si="92"/>
        <v>0</v>
      </c>
      <c r="M188" s="344">
        <f t="shared" si="94"/>
        <v>0</v>
      </c>
      <c r="N188" s="337">
        <f>+F188-M188</f>
        <v>44044000</v>
      </c>
      <c r="P188" s="340"/>
      <c r="S188" s="347"/>
      <c r="T188" s="347"/>
      <c r="U188" s="382"/>
    </row>
    <row r="189" spans="1:21" s="381" customFormat="1" ht="18" customHeight="1" x14ac:dyDescent="0.25">
      <c r="A189" s="380"/>
      <c r="B189" s="352"/>
      <c r="C189" s="334"/>
      <c r="D189" s="335" t="s">
        <v>66</v>
      </c>
      <c r="E189" s="335" t="s">
        <v>67</v>
      </c>
      <c r="F189" s="337">
        <v>24037500</v>
      </c>
      <c r="G189" s="344"/>
      <c r="H189" s="344"/>
      <c r="I189" s="344">
        <f t="shared" ref="I189" si="96">+G189+H189</f>
        <v>0</v>
      </c>
      <c r="J189" s="344"/>
      <c r="K189" s="344"/>
      <c r="L189" s="344">
        <f t="shared" si="92"/>
        <v>0</v>
      </c>
      <c r="M189" s="357">
        <f t="shared" si="94"/>
        <v>0</v>
      </c>
      <c r="N189" s="337">
        <f t="shared" ref="N189:N193" si="97">+F189-M189</f>
        <v>24037500</v>
      </c>
      <c r="P189" s="340"/>
      <c r="S189" s="347"/>
      <c r="T189" s="347"/>
      <c r="U189" s="382"/>
    </row>
    <row r="190" spans="1:21" s="381" customFormat="1" ht="18" customHeight="1" x14ac:dyDescent="0.25">
      <c r="A190" s="380"/>
      <c r="B190" s="352"/>
      <c r="C190" s="334"/>
      <c r="D190" s="335" t="s">
        <v>337</v>
      </c>
      <c r="E190" s="335" t="s">
        <v>338</v>
      </c>
      <c r="F190" s="337">
        <v>12104000</v>
      </c>
      <c r="G190" s="344"/>
      <c r="H190" s="344"/>
      <c r="I190" s="344"/>
      <c r="J190" s="344"/>
      <c r="K190" s="344"/>
      <c r="L190" s="344">
        <f t="shared" si="92"/>
        <v>0</v>
      </c>
      <c r="M190" s="357">
        <f t="shared" si="94"/>
        <v>0</v>
      </c>
      <c r="N190" s="337">
        <f t="shared" si="97"/>
        <v>12104000</v>
      </c>
      <c r="P190" s="340"/>
      <c r="S190" s="347"/>
      <c r="T190" s="347"/>
      <c r="U190" s="382"/>
    </row>
    <row r="191" spans="1:21" s="381" customFormat="1" ht="18" customHeight="1" x14ac:dyDescent="0.25">
      <c r="A191" s="380"/>
      <c r="B191" s="352"/>
      <c r="C191" s="334"/>
      <c r="D191" s="335" t="s">
        <v>367</v>
      </c>
      <c r="E191" s="335" t="s">
        <v>368</v>
      </c>
      <c r="F191" s="337">
        <v>3142500</v>
      </c>
      <c r="G191" s="344"/>
      <c r="H191" s="344"/>
      <c r="I191" s="344"/>
      <c r="J191" s="344"/>
      <c r="K191" s="344"/>
      <c r="L191" s="344">
        <f t="shared" si="92"/>
        <v>0</v>
      </c>
      <c r="M191" s="357">
        <f t="shared" si="94"/>
        <v>0</v>
      </c>
      <c r="N191" s="337">
        <f t="shared" si="97"/>
        <v>3142500</v>
      </c>
      <c r="P191" s="340"/>
      <c r="S191" s="347"/>
      <c r="T191" s="347"/>
      <c r="U191" s="382"/>
    </row>
    <row r="192" spans="1:21" s="381" customFormat="1" ht="18" customHeight="1" x14ac:dyDescent="0.25">
      <c r="A192" s="380"/>
      <c r="B192" s="352"/>
      <c r="C192" s="334"/>
      <c r="D192" s="335" t="s">
        <v>373</v>
      </c>
      <c r="E192" s="335" t="s">
        <v>392</v>
      </c>
      <c r="F192" s="337">
        <v>560000</v>
      </c>
      <c r="G192" s="344"/>
      <c r="H192" s="344"/>
      <c r="I192" s="344"/>
      <c r="J192" s="344"/>
      <c r="K192" s="344"/>
      <c r="L192" s="344">
        <f t="shared" si="92"/>
        <v>0</v>
      </c>
      <c r="M192" s="357">
        <f t="shared" si="94"/>
        <v>0</v>
      </c>
      <c r="N192" s="337">
        <f t="shared" si="97"/>
        <v>560000</v>
      </c>
      <c r="P192" s="340"/>
      <c r="S192" s="347"/>
      <c r="T192" s="347"/>
      <c r="U192" s="382"/>
    </row>
    <row r="193" spans="1:21" s="381" customFormat="1" ht="18" customHeight="1" x14ac:dyDescent="0.25">
      <c r="A193" s="380"/>
      <c r="B193" s="352"/>
      <c r="C193" s="334"/>
      <c r="D193" s="335" t="s">
        <v>70</v>
      </c>
      <c r="E193" s="335" t="s">
        <v>33</v>
      </c>
      <c r="F193" s="337">
        <v>4200000</v>
      </c>
      <c r="G193" s="344"/>
      <c r="H193" s="344"/>
      <c r="I193" s="344"/>
      <c r="J193" s="344"/>
      <c r="K193" s="344"/>
      <c r="L193" s="344">
        <f t="shared" si="92"/>
        <v>0</v>
      </c>
      <c r="M193" s="357">
        <f t="shared" si="94"/>
        <v>0</v>
      </c>
      <c r="N193" s="337">
        <f t="shared" si="97"/>
        <v>4200000</v>
      </c>
      <c r="P193" s="340"/>
      <c r="S193" s="347"/>
      <c r="T193" s="347"/>
      <c r="U193" s="382"/>
    </row>
    <row r="194" spans="1:21" s="339" customFormat="1" ht="18" customHeight="1" x14ac:dyDescent="0.25">
      <c r="A194" s="334"/>
      <c r="B194" s="335"/>
      <c r="C194" s="334"/>
      <c r="D194" s="365" t="s">
        <v>271</v>
      </c>
      <c r="E194" s="335" t="s">
        <v>272</v>
      </c>
      <c r="F194" s="337">
        <f t="shared" ref="F194" si="98">+F195</f>
        <v>78300000</v>
      </c>
      <c r="G194" s="344">
        <f>+G195</f>
        <v>0</v>
      </c>
      <c r="H194" s="344">
        <f>+H195</f>
        <v>0</v>
      </c>
      <c r="I194" s="344">
        <f>+G194+H194</f>
        <v>0</v>
      </c>
      <c r="J194" s="344">
        <f>+J195</f>
        <v>0</v>
      </c>
      <c r="K194" s="344">
        <f>+K195</f>
        <v>6240000</v>
      </c>
      <c r="L194" s="344">
        <f>+J194+K194</f>
        <v>6240000</v>
      </c>
      <c r="M194" s="344">
        <f t="shared" si="94"/>
        <v>6240000</v>
      </c>
      <c r="N194" s="337">
        <f>+F194-M194</f>
        <v>72060000</v>
      </c>
      <c r="P194" s="340"/>
      <c r="S194" s="347"/>
      <c r="T194" s="347"/>
      <c r="U194" s="342"/>
    </row>
    <row r="195" spans="1:21" s="381" customFormat="1" ht="18" customHeight="1" x14ac:dyDescent="0.25">
      <c r="A195" s="380"/>
      <c r="B195" s="352"/>
      <c r="C195" s="334"/>
      <c r="D195" s="335" t="s">
        <v>81</v>
      </c>
      <c r="E195" s="335" t="s">
        <v>31</v>
      </c>
      <c r="F195" s="337">
        <f>SUM(F196:F197)</f>
        <v>78300000</v>
      </c>
      <c r="G195" s="344">
        <f>SUM(G197:G197)</f>
        <v>0</v>
      </c>
      <c r="H195" s="344">
        <f>+H197</f>
        <v>0</v>
      </c>
      <c r="I195" s="344">
        <f>+G195+H195</f>
        <v>0</v>
      </c>
      <c r="J195" s="344">
        <f>SUM(J197:J197)</f>
        <v>0</v>
      </c>
      <c r="K195" s="344">
        <f>+K197</f>
        <v>6240000</v>
      </c>
      <c r="L195" s="344">
        <f>+J195+K195</f>
        <v>6240000</v>
      </c>
      <c r="M195" s="344">
        <f t="shared" si="94"/>
        <v>6240000</v>
      </c>
      <c r="N195" s="337">
        <f>+F195-M195</f>
        <v>72060000</v>
      </c>
      <c r="P195" s="340"/>
      <c r="S195" s="347"/>
      <c r="T195" s="347"/>
      <c r="U195" s="382"/>
    </row>
    <row r="196" spans="1:21" s="381" customFormat="1" ht="18" customHeight="1" x14ac:dyDescent="0.25">
      <c r="A196" s="380"/>
      <c r="B196" s="352"/>
      <c r="C196" s="334"/>
      <c r="D196" s="335" t="s">
        <v>451</v>
      </c>
      <c r="E196" s="335" t="s">
        <v>452</v>
      </c>
      <c r="F196" s="337">
        <v>1500000</v>
      </c>
      <c r="G196" s="344"/>
      <c r="H196" s="344"/>
      <c r="I196" s="344">
        <f t="shared" ref="I196" si="99">+G196+H196</f>
        <v>0</v>
      </c>
      <c r="J196" s="344"/>
      <c r="K196" s="344"/>
      <c r="L196" s="344">
        <f t="shared" ref="L196" si="100">+J196+K196</f>
        <v>0</v>
      </c>
      <c r="M196" s="344">
        <f t="shared" si="94"/>
        <v>0</v>
      </c>
      <c r="N196" s="337">
        <f t="shared" ref="N196:N197" si="101">+F196-M196</f>
        <v>1500000</v>
      </c>
      <c r="P196" s="340"/>
      <c r="S196" s="347"/>
      <c r="T196" s="347"/>
      <c r="U196" s="382"/>
    </row>
    <row r="197" spans="1:21" s="381" customFormat="1" ht="18" customHeight="1" x14ac:dyDescent="0.25">
      <c r="A197" s="380"/>
      <c r="B197" s="352"/>
      <c r="C197" s="334"/>
      <c r="D197" s="335" t="s">
        <v>82</v>
      </c>
      <c r="E197" s="335" t="s">
        <v>83</v>
      </c>
      <c r="F197" s="337">
        <v>76800000</v>
      </c>
      <c r="G197" s="344"/>
      <c r="H197" s="344"/>
      <c r="I197" s="344">
        <f>+G197+H197</f>
        <v>0</v>
      </c>
      <c r="J197" s="344"/>
      <c r="K197" s="344">
        <v>6240000</v>
      </c>
      <c r="L197" s="344">
        <f>+J197+K197</f>
        <v>6240000</v>
      </c>
      <c r="M197" s="344">
        <f>+I197+L197</f>
        <v>6240000</v>
      </c>
      <c r="N197" s="337">
        <f t="shared" si="101"/>
        <v>70560000</v>
      </c>
      <c r="P197" s="340"/>
      <c r="S197" s="346"/>
      <c r="T197" s="347"/>
      <c r="U197" s="382"/>
    </row>
    <row r="198" spans="1:21" s="339" customFormat="1" ht="18" customHeight="1" x14ac:dyDescent="0.25">
      <c r="A198" s="334"/>
      <c r="B198" s="335"/>
      <c r="C198" s="334"/>
      <c r="D198" s="365" t="s">
        <v>275</v>
      </c>
      <c r="E198" s="335" t="s">
        <v>276</v>
      </c>
      <c r="F198" s="337">
        <f>+F199</f>
        <v>52500000</v>
      </c>
      <c r="G198" s="344">
        <f>+G199</f>
        <v>0</v>
      </c>
      <c r="H198" s="344">
        <f>+H199</f>
        <v>0</v>
      </c>
      <c r="I198" s="344">
        <f>+G198+H198</f>
        <v>0</v>
      </c>
      <c r="J198" s="344">
        <f>+J199</f>
        <v>0</v>
      </c>
      <c r="K198" s="344">
        <f>+K199</f>
        <v>0</v>
      </c>
      <c r="L198" s="344">
        <f>+J198+K198</f>
        <v>0</v>
      </c>
      <c r="M198" s="344">
        <f t="shared" ref="M198:M205" si="102">+I198+L198</f>
        <v>0</v>
      </c>
      <c r="N198" s="337">
        <f>+F198-M198</f>
        <v>52500000</v>
      </c>
      <c r="P198" s="340"/>
      <c r="S198" s="347"/>
      <c r="T198" s="347"/>
      <c r="U198" s="342"/>
    </row>
    <row r="199" spans="1:21" s="381" customFormat="1" ht="18" customHeight="1" x14ac:dyDescent="0.25">
      <c r="A199" s="380"/>
      <c r="B199" s="352"/>
      <c r="C199" s="334"/>
      <c r="D199" s="335" t="s">
        <v>150</v>
      </c>
      <c r="E199" s="335" t="s">
        <v>32</v>
      </c>
      <c r="F199" s="337">
        <f>+F200</f>
        <v>52500000</v>
      </c>
      <c r="G199" s="344">
        <f>SUM(G201:G201)</f>
        <v>0</v>
      </c>
      <c r="H199" s="344">
        <f>+H201</f>
        <v>0</v>
      </c>
      <c r="I199" s="344">
        <f>+G199+H199</f>
        <v>0</v>
      </c>
      <c r="J199" s="344">
        <f>SUM(J201:J201)</f>
        <v>0</v>
      </c>
      <c r="K199" s="344">
        <f>+K201</f>
        <v>0</v>
      </c>
      <c r="L199" s="344">
        <f>+J199+K199</f>
        <v>0</v>
      </c>
      <c r="M199" s="344">
        <f t="shared" si="102"/>
        <v>0</v>
      </c>
      <c r="N199" s="337">
        <f>+F199-M199</f>
        <v>52500000</v>
      </c>
      <c r="P199" s="340"/>
      <c r="S199" s="347"/>
      <c r="T199" s="347"/>
      <c r="U199" s="382"/>
    </row>
    <row r="200" spans="1:21" s="381" customFormat="1" ht="36" customHeight="1" x14ac:dyDescent="0.25">
      <c r="A200" s="380"/>
      <c r="B200" s="352"/>
      <c r="C200" s="334"/>
      <c r="D200" s="335" t="s">
        <v>462</v>
      </c>
      <c r="E200" s="391" t="s">
        <v>463</v>
      </c>
      <c r="F200" s="337">
        <v>52500000</v>
      </c>
      <c r="G200" s="344"/>
      <c r="H200" s="344"/>
      <c r="I200" s="344">
        <f t="shared" ref="I200" si="103">+G200+H200</f>
        <v>0</v>
      </c>
      <c r="J200" s="344"/>
      <c r="K200" s="344"/>
      <c r="L200" s="344">
        <f t="shared" ref="L200" si="104">+J200+K200</f>
        <v>0</v>
      </c>
      <c r="M200" s="344">
        <f t="shared" si="102"/>
        <v>0</v>
      </c>
      <c r="N200" s="337">
        <f t="shared" ref="N200" si="105">+F200-M200</f>
        <v>52500000</v>
      </c>
      <c r="P200" s="340"/>
      <c r="S200" s="347"/>
      <c r="T200" s="347"/>
      <c r="U200" s="382"/>
    </row>
    <row r="201" spans="1:21" s="381" customFormat="1" ht="18" customHeight="1" x14ac:dyDescent="0.25">
      <c r="A201" s="380"/>
      <c r="B201" s="383"/>
      <c r="C201" s="384"/>
      <c r="D201" s="365" t="s">
        <v>267</v>
      </c>
      <c r="E201" s="335" t="s">
        <v>268</v>
      </c>
      <c r="F201" s="337">
        <f t="shared" ref="F201:H203" si="106">+F202</f>
        <v>26000000</v>
      </c>
      <c r="G201" s="344">
        <f t="shared" si="106"/>
        <v>0</v>
      </c>
      <c r="H201" s="344">
        <f t="shared" si="106"/>
        <v>0</v>
      </c>
      <c r="I201" s="344">
        <f>+G201+H201</f>
        <v>0</v>
      </c>
      <c r="J201" s="344">
        <f t="shared" ref="J201:K204" si="107">+J202</f>
        <v>0</v>
      </c>
      <c r="K201" s="344">
        <f t="shared" si="107"/>
        <v>0</v>
      </c>
      <c r="L201" s="344">
        <f>+J201+K201</f>
        <v>0</v>
      </c>
      <c r="M201" s="344">
        <f t="shared" si="102"/>
        <v>0</v>
      </c>
      <c r="N201" s="337">
        <f>+F201-M201</f>
        <v>26000000</v>
      </c>
      <c r="P201" s="340"/>
      <c r="R201" s="385"/>
      <c r="S201" s="347"/>
      <c r="T201" s="347"/>
      <c r="U201" s="382"/>
    </row>
    <row r="202" spans="1:21" s="381" customFormat="1" ht="18" customHeight="1" x14ac:dyDescent="0.25">
      <c r="A202" s="380"/>
      <c r="B202" s="352"/>
      <c r="C202" s="334"/>
      <c r="D202" s="335" t="s">
        <v>78</v>
      </c>
      <c r="E202" s="335" t="s">
        <v>75</v>
      </c>
      <c r="F202" s="337">
        <f t="shared" si="106"/>
        <v>26000000</v>
      </c>
      <c r="G202" s="344">
        <f t="shared" si="106"/>
        <v>0</v>
      </c>
      <c r="H202" s="344">
        <f t="shared" si="106"/>
        <v>0</v>
      </c>
      <c r="I202" s="344">
        <f t="shared" ref="I202:I205" si="108">+G202+H202</f>
        <v>0</v>
      </c>
      <c r="J202" s="344">
        <f t="shared" si="107"/>
        <v>0</v>
      </c>
      <c r="K202" s="344">
        <f t="shared" si="107"/>
        <v>0</v>
      </c>
      <c r="L202" s="344">
        <f t="shared" ref="L202:L203" si="109">+J202+K202</f>
        <v>0</v>
      </c>
      <c r="M202" s="344">
        <f t="shared" si="102"/>
        <v>0</v>
      </c>
      <c r="N202" s="337">
        <f>+F202-M202</f>
        <v>26000000</v>
      </c>
      <c r="P202" s="340"/>
      <c r="S202" s="347"/>
      <c r="T202" s="347"/>
      <c r="U202" s="382"/>
    </row>
    <row r="203" spans="1:21" s="339" customFormat="1" ht="18" customHeight="1" x14ac:dyDescent="0.25">
      <c r="A203" s="334"/>
      <c r="B203" s="335"/>
      <c r="C203" s="334"/>
      <c r="D203" s="365" t="s">
        <v>269</v>
      </c>
      <c r="E203" s="335" t="s">
        <v>270</v>
      </c>
      <c r="F203" s="337">
        <f t="shared" si="106"/>
        <v>26000000</v>
      </c>
      <c r="G203" s="344">
        <f>+G204</f>
        <v>0</v>
      </c>
      <c r="H203" s="344">
        <f>+H204</f>
        <v>0</v>
      </c>
      <c r="I203" s="344">
        <f t="shared" si="108"/>
        <v>0</v>
      </c>
      <c r="J203" s="344">
        <f t="shared" si="107"/>
        <v>0</v>
      </c>
      <c r="K203" s="344">
        <f t="shared" si="107"/>
        <v>0</v>
      </c>
      <c r="L203" s="344">
        <f t="shared" si="109"/>
        <v>0</v>
      </c>
      <c r="M203" s="344">
        <f t="shared" si="102"/>
        <v>0</v>
      </c>
      <c r="N203" s="337">
        <f>+F203-M203</f>
        <v>26000000</v>
      </c>
      <c r="P203" s="340"/>
      <c r="S203" s="347"/>
      <c r="T203" s="347"/>
      <c r="U203" s="342"/>
    </row>
    <row r="204" spans="1:21" s="381" customFormat="1" ht="18" customHeight="1" x14ac:dyDescent="0.25">
      <c r="A204" s="380"/>
      <c r="B204" s="352"/>
      <c r="C204" s="334"/>
      <c r="D204" s="335" t="s">
        <v>76</v>
      </c>
      <c r="E204" s="335" t="s">
        <v>77</v>
      </c>
      <c r="F204" s="337">
        <f>SUM(F205)</f>
        <v>26000000</v>
      </c>
      <c r="G204" s="344">
        <f>+G205</f>
        <v>0</v>
      </c>
      <c r="H204" s="344">
        <f>+H205</f>
        <v>0</v>
      </c>
      <c r="I204" s="344">
        <f>+G204+H204</f>
        <v>0</v>
      </c>
      <c r="J204" s="344">
        <f t="shared" si="107"/>
        <v>0</v>
      </c>
      <c r="K204" s="344">
        <f t="shared" si="107"/>
        <v>0</v>
      </c>
      <c r="L204" s="344">
        <f>+J204+K204</f>
        <v>0</v>
      </c>
      <c r="M204" s="344">
        <f t="shared" si="102"/>
        <v>0</v>
      </c>
      <c r="N204" s="337">
        <f>+F204-M204</f>
        <v>26000000</v>
      </c>
      <c r="P204" s="340"/>
      <c r="S204" s="347"/>
      <c r="T204" s="347"/>
      <c r="U204" s="382"/>
    </row>
    <row r="205" spans="1:21" s="388" customFormat="1" ht="18" customHeight="1" x14ac:dyDescent="0.25">
      <c r="A205" s="386"/>
      <c r="B205" s="387"/>
      <c r="C205" s="353"/>
      <c r="D205" s="355" t="s">
        <v>393</v>
      </c>
      <c r="E205" s="355" t="s">
        <v>394</v>
      </c>
      <c r="F205" s="356">
        <v>26000000</v>
      </c>
      <c r="G205" s="357"/>
      <c r="H205" s="357"/>
      <c r="I205" s="357">
        <f t="shared" si="108"/>
        <v>0</v>
      </c>
      <c r="J205" s="357"/>
      <c r="K205" s="357"/>
      <c r="L205" s="357">
        <f t="shared" ref="L205" si="110">+J205+K205</f>
        <v>0</v>
      </c>
      <c r="M205" s="357">
        <f t="shared" si="102"/>
        <v>0</v>
      </c>
      <c r="N205" s="356">
        <f t="shared" ref="N205" si="111">+F205-M205</f>
        <v>26000000</v>
      </c>
      <c r="P205" s="200"/>
      <c r="S205" s="221"/>
      <c r="T205" s="221"/>
      <c r="U205" s="389"/>
    </row>
    <row r="206" spans="1:21" s="319" customFormat="1" ht="18" customHeight="1" x14ac:dyDescent="0.25">
      <c r="A206" s="276">
        <v>10</v>
      </c>
      <c r="B206" s="305"/>
      <c r="C206" s="390" t="s">
        <v>112</v>
      </c>
      <c r="D206" s="363"/>
      <c r="E206" s="364" t="s">
        <v>113</v>
      </c>
      <c r="F206" s="307">
        <f>+F207+F221</f>
        <v>810211500</v>
      </c>
      <c r="G206" s="308">
        <f>G207+G221</f>
        <v>0</v>
      </c>
      <c r="H206" s="308">
        <f>H207+H221</f>
        <v>0</v>
      </c>
      <c r="I206" s="308">
        <f>+G206+H206</f>
        <v>0</v>
      </c>
      <c r="J206" s="308">
        <f>J207+J221</f>
        <v>0</v>
      </c>
      <c r="K206" s="308">
        <f>K207+K221</f>
        <v>1600000</v>
      </c>
      <c r="L206" s="308">
        <f>+J206+K206</f>
        <v>1600000</v>
      </c>
      <c r="M206" s="308">
        <f>+I206+L206</f>
        <v>1600000</v>
      </c>
      <c r="N206" s="307">
        <f>+F206-M206</f>
        <v>808611500</v>
      </c>
      <c r="P206" s="320"/>
      <c r="R206" s="321"/>
      <c r="S206" s="349"/>
      <c r="T206" s="349"/>
      <c r="U206" s="350"/>
    </row>
    <row r="207" spans="1:21" s="329" customFormat="1" ht="18" customHeight="1" x14ac:dyDescent="0.25">
      <c r="A207" s="323"/>
      <c r="B207" s="324"/>
      <c r="C207" s="379"/>
      <c r="D207" s="325" t="s">
        <v>207</v>
      </c>
      <c r="E207" s="326" t="s">
        <v>262</v>
      </c>
      <c r="F207" s="327">
        <f>+F208</f>
        <v>441471500</v>
      </c>
      <c r="G207" s="328">
        <f>+G208</f>
        <v>0</v>
      </c>
      <c r="H207" s="328">
        <f>+H208</f>
        <v>0</v>
      </c>
      <c r="I207" s="328">
        <f>+G207+H207</f>
        <v>0</v>
      </c>
      <c r="J207" s="328">
        <f>+J208</f>
        <v>0</v>
      </c>
      <c r="K207" s="328">
        <f>+K208</f>
        <v>1600000</v>
      </c>
      <c r="L207" s="328">
        <f>+J207+K207</f>
        <v>1600000</v>
      </c>
      <c r="M207" s="328">
        <f t="shared" ref="M207:M220" si="112">+I207+L207</f>
        <v>1600000</v>
      </c>
      <c r="N207" s="327">
        <f>+F207-M207</f>
        <v>439871500</v>
      </c>
      <c r="P207" s="330"/>
      <c r="R207" s="331"/>
      <c r="S207" s="351"/>
      <c r="T207" s="351"/>
      <c r="U207" s="333"/>
    </row>
    <row r="208" spans="1:21" s="381" customFormat="1" ht="18" customHeight="1" x14ac:dyDescent="0.25">
      <c r="A208" s="380"/>
      <c r="B208" s="352"/>
      <c r="C208" s="334"/>
      <c r="D208" s="335" t="s">
        <v>63</v>
      </c>
      <c r="E208" s="335" t="s">
        <v>30</v>
      </c>
      <c r="F208" s="337">
        <f>+F209+F212+F216</f>
        <v>441471500</v>
      </c>
      <c r="G208" s="344">
        <f>+G209+G212+G216</f>
        <v>0</v>
      </c>
      <c r="H208" s="344">
        <f>+H209+H212+H216</f>
        <v>0</v>
      </c>
      <c r="I208" s="344">
        <f t="shared" ref="I208:I218" si="113">+G208+H208</f>
        <v>0</v>
      </c>
      <c r="J208" s="344">
        <f>+J209+J212+J216</f>
        <v>0</v>
      </c>
      <c r="K208" s="344">
        <f>+K209+K212+K216</f>
        <v>1600000</v>
      </c>
      <c r="L208" s="344">
        <f t="shared" ref="L208:L209" si="114">+J208+K208</f>
        <v>1600000</v>
      </c>
      <c r="M208" s="344">
        <f t="shared" si="112"/>
        <v>1600000</v>
      </c>
      <c r="N208" s="337">
        <f>+F208-M208</f>
        <v>439871500</v>
      </c>
      <c r="P208" s="340"/>
      <c r="S208" s="347"/>
      <c r="T208" s="347"/>
      <c r="U208" s="382"/>
    </row>
    <row r="209" spans="1:21" s="339" customFormat="1" ht="18" customHeight="1" x14ac:dyDescent="0.25">
      <c r="A209" s="334"/>
      <c r="B209" s="335"/>
      <c r="C209" s="334"/>
      <c r="D209" s="365" t="s">
        <v>263</v>
      </c>
      <c r="E209" s="335" t="s">
        <v>264</v>
      </c>
      <c r="F209" s="337">
        <f t="shared" ref="F209:H209" si="115">+F210</f>
        <v>4031500</v>
      </c>
      <c r="G209" s="344">
        <f>+G210</f>
        <v>0</v>
      </c>
      <c r="H209" s="344">
        <f t="shared" si="115"/>
        <v>0</v>
      </c>
      <c r="I209" s="344">
        <f t="shared" si="113"/>
        <v>0</v>
      </c>
      <c r="J209" s="344">
        <f>+J210</f>
        <v>0</v>
      </c>
      <c r="K209" s="344">
        <f t="shared" ref="K209" si="116">+K210</f>
        <v>0</v>
      </c>
      <c r="L209" s="344">
        <f t="shared" si="114"/>
        <v>0</v>
      </c>
      <c r="M209" s="344">
        <f t="shared" si="112"/>
        <v>0</v>
      </c>
      <c r="N209" s="337">
        <f>+F209-M209</f>
        <v>4031500</v>
      </c>
      <c r="P209" s="340"/>
      <c r="S209" s="347"/>
      <c r="T209" s="347"/>
      <c r="U209" s="342"/>
    </row>
    <row r="210" spans="1:21" s="381" customFormat="1" ht="18" customHeight="1" x14ac:dyDescent="0.25">
      <c r="A210" s="380"/>
      <c r="B210" s="352"/>
      <c r="C210" s="334"/>
      <c r="D210" s="335" t="s">
        <v>64</v>
      </c>
      <c r="E210" s="335" t="s">
        <v>65</v>
      </c>
      <c r="F210" s="337">
        <f>F211</f>
        <v>4031500</v>
      </c>
      <c r="G210" s="344">
        <f>SUM(G211:G211)</f>
        <v>0</v>
      </c>
      <c r="H210" s="344">
        <f>SUM(H211:H211)</f>
        <v>0</v>
      </c>
      <c r="I210" s="344">
        <f>+G210+H210</f>
        <v>0</v>
      </c>
      <c r="J210" s="344">
        <f>SUM(J211:J211)</f>
        <v>0</v>
      </c>
      <c r="K210" s="344">
        <f>SUM(K211:K211)</f>
        <v>0</v>
      </c>
      <c r="L210" s="344">
        <f>+J210+K210</f>
        <v>0</v>
      </c>
      <c r="M210" s="344">
        <f t="shared" si="112"/>
        <v>0</v>
      </c>
      <c r="N210" s="337">
        <f>+F210-M210</f>
        <v>4031500</v>
      </c>
      <c r="P210" s="340"/>
      <c r="S210" s="347"/>
      <c r="T210" s="347"/>
      <c r="U210" s="382"/>
    </row>
    <row r="211" spans="1:21" s="381" customFormat="1" ht="18" customHeight="1" x14ac:dyDescent="0.25">
      <c r="A211" s="380"/>
      <c r="B211" s="352"/>
      <c r="C211" s="334"/>
      <c r="D211" s="335" t="s">
        <v>339</v>
      </c>
      <c r="E211" s="335" t="s">
        <v>340</v>
      </c>
      <c r="F211" s="337">
        <v>4031500</v>
      </c>
      <c r="G211" s="344"/>
      <c r="H211" s="344"/>
      <c r="I211" s="344">
        <f t="shared" si="113"/>
        <v>0</v>
      </c>
      <c r="J211" s="344"/>
      <c r="K211" s="344"/>
      <c r="L211" s="344">
        <f t="shared" ref="L211" si="117">+J211+K211</f>
        <v>0</v>
      </c>
      <c r="M211" s="344">
        <f t="shared" si="112"/>
        <v>0</v>
      </c>
      <c r="N211" s="337">
        <f t="shared" ref="N211" si="118">+F211-M211</f>
        <v>4031500</v>
      </c>
      <c r="P211" s="340"/>
      <c r="S211" s="347"/>
      <c r="T211" s="347"/>
      <c r="U211" s="382"/>
    </row>
    <row r="212" spans="1:21" s="339" customFormat="1" ht="18" customHeight="1" x14ac:dyDescent="0.25">
      <c r="A212" s="334"/>
      <c r="B212" s="335"/>
      <c r="C212" s="334"/>
      <c r="D212" s="365" t="s">
        <v>271</v>
      </c>
      <c r="E212" s="335" t="s">
        <v>272</v>
      </c>
      <c r="F212" s="337">
        <f t="shared" ref="F212:H212" si="119">+F213</f>
        <v>98700000</v>
      </c>
      <c r="G212" s="344">
        <f>+G213</f>
        <v>0</v>
      </c>
      <c r="H212" s="344">
        <f t="shared" si="119"/>
        <v>0</v>
      </c>
      <c r="I212" s="344">
        <f t="shared" si="113"/>
        <v>0</v>
      </c>
      <c r="J212" s="344">
        <f>+J213</f>
        <v>0</v>
      </c>
      <c r="K212" s="344">
        <f t="shared" ref="K212" si="120">+K213</f>
        <v>1600000</v>
      </c>
      <c r="L212" s="344">
        <f>+J212+K212</f>
        <v>1600000</v>
      </c>
      <c r="M212" s="344">
        <f t="shared" si="112"/>
        <v>1600000</v>
      </c>
      <c r="N212" s="337">
        <f>+F212-M212</f>
        <v>97100000</v>
      </c>
      <c r="P212" s="340"/>
      <c r="S212" s="347"/>
      <c r="T212" s="347"/>
      <c r="U212" s="342"/>
    </row>
    <row r="213" spans="1:21" s="381" customFormat="1" ht="18" customHeight="1" x14ac:dyDescent="0.25">
      <c r="A213" s="380"/>
      <c r="B213" s="352"/>
      <c r="C213" s="334"/>
      <c r="D213" s="335" t="s">
        <v>81</v>
      </c>
      <c r="E213" s="335" t="s">
        <v>31</v>
      </c>
      <c r="F213" s="337">
        <f>SUM(F214:F215)</f>
        <v>98700000</v>
      </c>
      <c r="G213" s="344">
        <f>SUM(G214:G215)</f>
        <v>0</v>
      </c>
      <c r="H213" s="344">
        <f>SUM(H214:H215)</f>
        <v>0</v>
      </c>
      <c r="I213" s="344">
        <f t="shared" si="113"/>
        <v>0</v>
      </c>
      <c r="J213" s="344">
        <f>SUM(J214:J215)</f>
        <v>0</v>
      </c>
      <c r="K213" s="344">
        <f>SUM(K214:K215)</f>
        <v>1600000</v>
      </c>
      <c r="L213" s="344">
        <f>+J213+K213</f>
        <v>1600000</v>
      </c>
      <c r="M213" s="344">
        <f t="shared" si="112"/>
        <v>1600000</v>
      </c>
      <c r="N213" s="337">
        <f>+F213-M213</f>
        <v>97100000</v>
      </c>
      <c r="P213" s="340"/>
      <c r="S213" s="347"/>
      <c r="T213" s="347"/>
      <c r="U213" s="382"/>
    </row>
    <row r="214" spans="1:21" s="381" customFormat="1" ht="18" customHeight="1" x14ac:dyDescent="0.25">
      <c r="A214" s="392"/>
      <c r="B214" s="339"/>
      <c r="C214" s="366"/>
      <c r="D214" s="367" t="s">
        <v>82</v>
      </c>
      <c r="E214" s="367" t="s">
        <v>83</v>
      </c>
      <c r="F214" s="370">
        <v>38400000</v>
      </c>
      <c r="G214" s="371"/>
      <c r="H214" s="371"/>
      <c r="I214" s="371">
        <f t="shared" si="113"/>
        <v>0</v>
      </c>
      <c r="J214" s="371"/>
      <c r="K214" s="371">
        <v>1600000</v>
      </c>
      <c r="L214" s="371">
        <f>+J214+K214</f>
        <v>1600000</v>
      </c>
      <c r="M214" s="371">
        <f>+I214+L214</f>
        <v>1600000</v>
      </c>
      <c r="N214" s="370">
        <f>+F214-M214</f>
        <v>36800000</v>
      </c>
      <c r="P214" s="340"/>
      <c r="S214" s="346"/>
      <c r="T214" s="347"/>
      <c r="U214" s="382"/>
    </row>
    <row r="215" spans="1:21" s="381" customFormat="1" ht="18" customHeight="1" x14ac:dyDescent="0.25">
      <c r="A215" s="392"/>
      <c r="B215" s="339"/>
      <c r="C215" s="366"/>
      <c r="D215" s="367" t="s">
        <v>111</v>
      </c>
      <c r="E215" s="367" t="s">
        <v>44</v>
      </c>
      <c r="F215" s="370">
        <v>60300000</v>
      </c>
      <c r="G215" s="371"/>
      <c r="H215" s="371"/>
      <c r="I215" s="371">
        <f t="shared" si="113"/>
        <v>0</v>
      </c>
      <c r="J215" s="371"/>
      <c r="K215" s="371"/>
      <c r="L215" s="371">
        <f t="shared" ref="L215" si="121">+J215+K215</f>
        <v>0</v>
      </c>
      <c r="M215" s="371">
        <f t="shared" si="112"/>
        <v>0</v>
      </c>
      <c r="N215" s="370">
        <f t="shared" ref="N215" si="122">+F215-M215</f>
        <v>60300000</v>
      </c>
      <c r="P215" s="340"/>
      <c r="S215" s="346"/>
      <c r="T215" s="347"/>
      <c r="U215" s="382"/>
    </row>
    <row r="216" spans="1:21" s="339" customFormat="1" ht="18" customHeight="1" x14ac:dyDescent="0.25">
      <c r="A216" s="334"/>
      <c r="B216" s="335"/>
      <c r="C216" s="334"/>
      <c r="D216" s="365" t="s">
        <v>275</v>
      </c>
      <c r="E216" s="335" t="s">
        <v>276</v>
      </c>
      <c r="F216" s="337">
        <f t="shared" ref="F216:H216" si="123">+F217</f>
        <v>338740000</v>
      </c>
      <c r="G216" s="344">
        <f>+G217</f>
        <v>0</v>
      </c>
      <c r="H216" s="344">
        <f t="shared" si="123"/>
        <v>0</v>
      </c>
      <c r="I216" s="344">
        <f t="shared" si="113"/>
        <v>0</v>
      </c>
      <c r="J216" s="344">
        <f>+J217</f>
        <v>0</v>
      </c>
      <c r="K216" s="344">
        <f t="shared" ref="K216" si="124">+K217</f>
        <v>0</v>
      </c>
      <c r="L216" s="344">
        <f>+J216+K216</f>
        <v>0</v>
      </c>
      <c r="M216" s="344">
        <f t="shared" si="112"/>
        <v>0</v>
      </c>
      <c r="N216" s="337">
        <f>+F216-M216</f>
        <v>338740000</v>
      </c>
      <c r="P216" s="340"/>
      <c r="S216" s="346"/>
      <c r="T216" s="347"/>
      <c r="U216" s="342"/>
    </row>
    <row r="217" spans="1:21" s="381" customFormat="1" ht="18" customHeight="1" x14ac:dyDescent="0.25">
      <c r="A217" s="380"/>
      <c r="B217" s="352"/>
      <c r="C217" s="334"/>
      <c r="D217" s="335" t="s">
        <v>114</v>
      </c>
      <c r="E217" s="335" t="s">
        <v>43</v>
      </c>
      <c r="F217" s="337">
        <f>SUM(F218:F220)</f>
        <v>338740000</v>
      </c>
      <c r="G217" s="344">
        <f>SUM(G218:G220)</f>
        <v>0</v>
      </c>
      <c r="H217" s="344">
        <f>SUM(H218:H220)</f>
        <v>0</v>
      </c>
      <c r="I217" s="344">
        <f t="shared" si="113"/>
        <v>0</v>
      </c>
      <c r="J217" s="344">
        <f>SUM(J218:J220)</f>
        <v>0</v>
      </c>
      <c r="K217" s="344">
        <f>SUM(K218:K220)</f>
        <v>0</v>
      </c>
      <c r="L217" s="344">
        <f>+J217+K217</f>
        <v>0</v>
      </c>
      <c r="M217" s="344">
        <f t="shared" si="112"/>
        <v>0</v>
      </c>
      <c r="N217" s="337">
        <f>+F217-M217</f>
        <v>338740000</v>
      </c>
      <c r="P217" s="340"/>
      <c r="S217" s="346"/>
      <c r="T217" s="347"/>
      <c r="U217" s="382"/>
    </row>
    <row r="218" spans="1:21" s="381" customFormat="1" ht="21" customHeight="1" x14ac:dyDescent="0.25">
      <c r="A218" s="392"/>
      <c r="B218" s="339"/>
      <c r="C218" s="366"/>
      <c r="D218" s="367" t="s">
        <v>349</v>
      </c>
      <c r="E218" s="369" t="s">
        <v>350</v>
      </c>
      <c r="F218" s="370">
        <v>21240000</v>
      </c>
      <c r="G218" s="371"/>
      <c r="H218" s="371"/>
      <c r="I218" s="371">
        <f t="shared" si="113"/>
        <v>0</v>
      </c>
      <c r="J218" s="371"/>
      <c r="K218" s="371"/>
      <c r="L218" s="371">
        <f t="shared" ref="L218" si="125">+J218+K218</f>
        <v>0</v>
      </c>
      <c r="M218" s="371">
        <f t="shared" si="112"/>
        <v>0</v>
      </c>
      <c r="N218" s="370">
        <f>+F218-M218</f>
        <v>21240000</v>
      </c>
      <c r="P218" s="340"/>
      <c r="S218" s="346"/>
      <c r="T218" s="347"/>
      <c r="U218" s="382"/>
    </row>
    <row r="219" spans="1:21" s="381" customFormat="1" ht="30.75" customHeight="1" x14ac:dyDescent="0.25">
      <c r="A219" s="392"/>
      <c r="B219" s="339"/>
      <c r="C219" s="366"/>
      <c r="D219" s="367" t="s">
        <v>395</v>
      </c>
      <c r="E219" s="369" t="s">
        <v>396</v>
      </c>
      <c r="F219" s="370">
        <v>2500000</v>
      </c>
      <c r="G219" s="371"/>
      <c r="H219" s="371"/>
      <c r="I219" s="371"/>
      <c r="J219" s="371"/>
      <c r="K219" s="371"/>
      <c r="L219" s="371">
        <f>+J219+K219</f>
        <v>0</v>
      </c>
      <c r="M219" s="371">
        <f t="shared" si="112"/>
        <v>0</v>
      </c>
      <c r="N219" s="370">
        <f>+F219-M219</f>
        <v>2500000</v>
      </c>
      <c r="P219" s="340"/>
      <c r="S219" s="347"/>
      <c r="T219" s="347"/>
      <c r="U219" s="382"/>
    </row>
    <row r="220" spans="1:21" s="381" customFormat="1" ht="18" customHeight="1" x14ac:dyDescent="0.25">
      <c r="A220" s="392"/>
      <c r="B220" s="339"/>
      <c r="C220" s="366"/>
      <c r="D220" s="367" t="s">
        <v>354</v>
      </c>
      <c r="E220" s="369" t="s">
        <v>355</v>
      </c>
      <c r="F220" s="370">
        <v>315000000</v>
      </c>
      <c r="G220" s="371"/>
      <c r="H220" s="371"/>
      <c r="I220" s="371">
        <f>+G220+H220</f>
        <v>0</v>
      </c>
      <c r="J220" s="371"/>
      <c r="K220" s="371"/>
      <c r="L220" s="371"/>
      <c r="M220" s="371">
        <f t="shared" si="112"/>
        <v>0</v>
      </c>
      <c r="N220" s="370">
        <f t="shared" ref="N220" si="126">+F220-M220</f>
        <v>315000000</v>
      </c>
      <c r="P220" s="340"/>
      <c r="S220" s="347"/>
      <c r="T220" s="346"/>
      <c r="U220" s="382"/>
    </row>
    <row r="221" spans="1:21" s="381" customFormat="1" ht="18" customHeight="1" x14ac:dyDescent="0.25">
      <c r="A221" s="380"/>
      <c r="B221" s="383"/>
      <c r="C221" s="384"/>
      <c r="D221" s="365" t="s">
        <v>267</v>
      </c>
      <c r="E221" s="335" t="s">
        <v>268</v>
      </c>
      <c r="F221" s="337">
        <f>+F222+F234</f>
        <v>368740000</v>
      </c>
      <c r="G221" s="344">
        <f>+G222+G234</f>
        <v>0</v>
      </c>
      <c r="H221" s="344">
        <f>+H222+H234</f>
        <v>0</v>
      </c>
      <c r="I221" s="344">
        <f>+G221+H221</f>
        <v>0</v>
      </c>
      <c r="J221" s="344">
        <f>+J222</f>
        <v>0</v>
      </c>
      <c r="K221" s="344">
        <f>+K222</f>
        <v>0</v>
      </c>
      <c r="L221" s="344">
        <f>+J221+K221</f>
        <v>0</v>
      </c>
      <c r="M221" s="344">
        <f>+I221+L221</f>
        <v>0</v>
      </c>
      <c r="N221" s="337">
        <f>+F221-M221</f>
        <v>368740000</v>
      </c>
      <c r="P221" s="340"/>
      <c r="R221" s="385"/>
      <c r="S221" s="347"/>
      <c r="T221" s="347"/>
      <c r="U221" s="382"/>
    </row>
    <row r="222" spans="1:21" s="381" customFormat="1" ht="18" customHeight="1" x14ac:dyDescent="0.25">
      <c r="A222" s="380"/>
      <c r="B222" s="352"/>
      <c r="C222" s="334"/>
      <c r="D222" s="335" t="s">
        <v>78</v>
      </c>
      <c r="E222" s="335" t="s">
        <v>75</v>
      </c>
      <c r="F222" s="337">
        <f>+F223+F226+F231</f>
        <v>268740000</v>
      </c>
      <c r="G222" s="344">
        <f>+G223+G226</f>
        <v>0</v>
      </c>
      <c r="H222" s="344">
        <f>+H223+H226</f>
        <v>0</v>
      </c>
      <c r="I222" s="344">
        <f t="shared" ref="I222:I235" si="127">+G222+H222</f>
        <v>0</v>
      </c>
      <c r="J222" s="344">
        <f>+J223+J226</f>
        <v>0</v>
      </c>
      <c r="K222" s="344">
        <f t="shared" ref="K222:K223" si="128">+K223</f>
        <v>0</v>
      </c>
      <c r="L222" s="344">
        <f t="shared" ref="L222:L223" si="129">+J222+K222</f>
        <v>0</v>
      </c>
      <c r="M222" s="344">
        <f t="shared" ref="M222:M226" si="130">+I222+L222</f>
        <v>0</v>
      </c>
      <c r="N222" s="337">
        <f>+F222-M222</f>
        <v>268740000</v>
      </c>
      <c r="P222" s="340"/>
      <c r="S222" s="347"/>
      <c r="T222" s="347"/>
      <c r="U222" s="382"/>
    </row>
    <row r="223" spans="1:21" s="339" customFormat="1" ht="18" customHeight="1" x14ac:dyDescent="0.25">
      <c r="A223" s="334"/>
      <c r="B223" s="335"/>
      <c r="C223" s="334"/>
      <c r="D223" s="365" t="s">
        <v>269</v>
      </c>
      <c r="E223" s="335" t="s">
        <v>270</v>
      </c>
      <c r="F223" s="337">
        <f t="shared" ref="F223:H223" si="131">+F224</f>
        <v>32340000</v>
      </c>
      <c r="G223" s="344">
        <f>+G224</f>
        <v>0</v>
      </c>
      <c r="H223" s="344">
        <f t="shared" si="131"/>
        <v>0</v>
      </c>
      <c r="I223" s="344">
        <f t="shared" si="127"/>
        <v>0</v>
      </c>
      <c r="J223" s="344">
        <f>+J224</f>
        <v>0</v>
      </c>
      <c r="K223" s="344">
        <f t="shared" si="128"/>
        <v>0</v>
      </c>
      <c r="L223" s="344">
        <f t="shared" si="129"/>
        <v>0</v>
      </c>
      <c r="M223" s="344">
        <f t="shared" si="130"/>
        <v>0</v>
      </c>
      <c r="N223" s="337">
        <f>+F223-M223</f>
        <v>32340000</v>
      </c>
      <c r="P223" s="340"/>
      <c r="S223" s="347"/>
      <c r="T223" s="347"/>
      <c r="U223" s="342"/>
    </row>
    <row r="224" spans="1:21" s="381" customFormat="1" ht="18" customHeight="1" x14ac:dyDescent="0.25">
      <c r="A224" s="380"/>
      <c r="B224" s="352"/>
      <c r="C224" s="334"/>
      <c r="D224" s="335" t="s">
        <v>92</v>
      </c>
      <c r="E224" s="335" t="s">
        <v>94</v>
      </c>
      <c r="F224" s="337">
        <f>SUM(F225)</f>
        <v>32340000</v>
      </c>
      <c r="G224" s="344">
        <f>+G225</f>
        <v>0</v>
      </c>
      <c r="H224" s="344">
        <f>+H225</f>
        <v>0</v>
      </c>
      <c r="I224" s="344">
        <f>+G224+H224</f>
        <v>0</v>
      </c>
      <c r="J224" s="344">
        <f>+J225</f>
        <v>0</v>
      </c>
      <c r="K224" s="344">
        <f>+K225</f>
        <v>0</v>
      </c>
      <c r="L224" s="344">
        <f>+J224+K224</f>
        <v>0</v>
      </c>
      <c r="M224" s="344">
        <f t="shared" si="130"/>
        <v>0</v>
      </c>
      <c r="N224" s="337">
        <f>+F224-M224</f>
        <v>32340000</v>
      </c>
      <c r="P224" s="340"/>
      <c r="S224" s="347"/>
      <c r="T224" s="347"/>
      <c r="U224" s="382"/>
    </row>
    <row r="225" spans="1:21" s="381" customFormat="1" ht="18" customHeight="1" x14ac:dyDescent="0.25">
      <c r="A225" s="380"/>
      <c r="B225" s="352"/>
      <c r="C225" s="334"/>
      <c r="D225" s="335" t="s">
        <v>397</v>
      </c>
      <c r="E225" s="335" t="s">
        <v>398</v>
      </c>
      <c r="F225" s="337">
        <v>32340000</v>
      </c>
      <c r="G225" s="344"/>
      <c r="H225" s="344"/>
      <c r="I225" s="344">
        <f t="shared" si="127"/>
        <v>0</v>
      </c>
      <c r="J225" s="344"/>
      <c r="K225" s="344"/>
      <c r="L225" s="344">
        <f t="shared" ref="L225:L235" si="132">+J225+K225</f>
        <v>0</v>
      </c>
      <c r="M225" s="344">
        <f t="shared" si="130"/>
        <v>0</v>
      </c>
      <c r="N225" s="337">
        <f t="shared" ref="N225:N237" si="133">+F225-M225</f>
        <v>32340000</v>
      </c>
      <c r="P225" s="340"/>
      <c r="S225" s="347"/>
      <c r="T225" s="347"/>
      <c r="U225" s="382"/>
    </row>
    <row r="226" spans="1:21" s="339" customFormat="1" ht="18" customHeight="1" x14ac:dyDescent="0.25">
      <c r="A226" s="334"/>
      <c r="B226" s="335"/>
      <c r="C226" s="334"/>
      <c r="D226" s="365" t="s">
        <v>399</v>
      </c>
      <c r="E226" s="335" t="s">
        <v>400</v>
      </c>
      <c r="F226" s="337">
        <f t="shared" ref="F226:H226" si="134">+F227</f>
        <v>234600000</v>
      </c>
      <c r="G226" s="344">
        <f>+G227</f>
        <v>0</v>
      </c>
      <c r="H226" s="344">
        <f t="shared" si="134"/>
        <v>0</v>
      </c>
      <c r="I226" s="344">
        <f t="shared" si="127"/>
        <v>0</v>
      </c>
      <c r="J226" s="344">
        <f>+J227</f>
        <v>0</v>
      </c>
      <c r="K226" s="344">
        <f t="shared" ref="K226" si="135">+K227</f>
        <v>0</v>
      </c>
      <c r="L226" s="344">
        <f t="shared" si="132"/>
        <v>0</v>
      </c>
      <c r="M226" s="344">
        <f t="shared" si="130"/>
        <v>0</v>
      </c>
      <c r="N226" s="337">
        <f t="shared" si="133"/>
        <v>234600000</v>
      </c>
      <c r="P226" s="340"/>
      <c r="S226" s="347"/>
      <c r="T226" s="347"/>
      <c r="U226" s="342"/>
    </row>
    <row r="227" spans="1:21" s="381" customFormat="1" ht="18" customHeight="1" x14ac:dyDescent="0.25">
      <c r="A227" s="380"/>
      <c r="B227" s="352"/>
      <c r="C227" s="334"/>
      <c r="D227" s="335" t="s">
        <v>401</v>
      </c>
      <c r="E227" s="335" t="s">
        <v>402</v>
      </c>
      <c r="F227" s="337">
        <f>SUM(F228:F230)</f>
        <v>234600000</v>
      </c>
      <c r="G227" s="344">
        <f>SUM(G229:G229)</f>
        <v>0</v>
      </c>
      <c r="H227" s="344">
        <f>SUM(H229:H229)</f>
        <v>0</v>
      </c>
      <c r="I227" s="344">
        <f t="shared" si="127"/>
        <v>0</v>
      </c>
      <c r="J227" s="344">
        <f>SUM(J229:J229)</f>
        <v>0</v>
      </c>
      <c r="K227" s="344">
        <f>SUM(K229:K229)</f>
        <v>0</v>
      </c>
      <c r="L227" s="344">
        <f t="shared" si="132"/>
        <v>0</v>
      </c>
      <c r="M227" s="344">
        <f>+I227+L227</f>
        <v>0</v>
      </c>
      <c r="N227" s="337">
        <f t="shared" si="133"/>
        <v>234600000</v>
      </c>
      <c r="P227" s="340"/>
      <c r="S227" s="347"/>
      <c r="T227" s="347"/>
      <c r="U227" s="382"/>
    </row>
    <row r="228" spans="1:21" s="381" customFormat="1" ht="18" customHeight="1" x14ac:dyDescent="0.25">
      <c r="A228" s="380"/>
      <c r="B228" s="352"/>
      <c r="C228" s="334"/>
      <c r="D228" s="335" t="s">
        <v>464</v>
      </c>
      <c r="E228" s="335" t="s">
        <v>465</v>
      </c>
      <c r="F228" s="337">
        <v>3000000</v>
      </c>
      <c r="G228" s="344"/>
      <c r="H228" s="344"/>
      <c r="I228" s="344">
        <f t="shared" si="127"/>
        <v>0</v>
      </c>
      <c r="J228" s="344"/>
      <c r="K228" s="344"/>
      <c r="L228" s="344">
        <f t="shared" si="132"/>
        <v>0</v>
      </c>
      <c r="M228" s="344">
        <f>+I228+L228</f>
        <v>0</v>
      </c>
      <c r="N228" s="337">
        <f t="shared" si="133"/>
        <v>3000000</v>
      </c>
      <c r="P228" s="340"/>
      <c r="S228" s="347"/>
      <c r="T228" s="347"/>
      <c r="U228" s="382"/>
    </row>
    <row r="229" spans="1:21" s="381" customFormat="1" ht="18" customHeight="1" x14ac:dyDescent="0.25">
      <c r="A229" s="380"/>
      <c r="B229" s="352"/>
      <c r="C229" s="334"/>
      <c r="D229" s="335" t="s">
        <v>403</v>
      </c>
      <c r="E229" s="335" t="s">
        <v>404</v>
      </c>
      <c r="F229" s="337">
        <v>36600000</v>
      </c>
      <c r="G229" s="344"/>
      <c r="H229" s="344"/>
      <c r="I229" s="344">
        <f t="shared" si="127"/>
        <v>0</v>
      </c>
      <c r="J229" s="344"/>
      <c r="K229" s="344"/>
      <c r="L229" s="344">
        <f t="shared" si="132"/>
        <v>0</v>
      </c>
      <c r="M229" s="344">
        <f>+I229+L229</f>
        <v>0</v>
      </c>
      <c r="N229" s="337">
        <f t="shared" si="133"/>
        <v>36600000</v>
      </c>
      <c r="P229" s="340"/>
      <c r="S229" s="347"/>
      <c r="T229" s="347"/>
      <c r="U229" s="382"/>
    </row>
    <row r="230" spans="1:21" s="381" customFormat="1" ht="18" customHeight="1" x14ac:dyDescent="0.25">
      <c r="A230" s="380"/>
      <c r="B230" s="352"/>
      <c r="C230" s="334"/>
      <c r="D230" s="335" t="s">
        <v>459</v>
      </c>
      <c r="E230" s="335" t="s">
        <v>460</v>
      </c>
      <c r="F230" s="337">
        <v>195000000</v>
      </c>
      <c r="G230" s="344"/>
      <c r="H230" s="344"/>
      <c r="I230" s="344">
        <f t="shared" si="127"/>
        <v>0</v>
      </c>
      <c r="J230" s="344"/>
      <c r="K230" s="344"/>
      <c r="L230" s="344">
        <f t="shared" si="132"/>
        <v>0</v>
      </c>
      <c r="M230" s="344">
        <f>+I230+L230</f>
        <v>0</v>
      </c>
      <c r="N230" s="337">
        <f t="shared" si="133"/>
        <v>195000000</v>
      </c>
      <c r="P230" s="340"/>
      <c r="S230" s="347"/>
      <c r="T230" s="347"/>
      <c r="U230" s="382"/>
    </row>
    <row r="231" spans="1:21" s="339" customFormat="1" ht="18" customHeight="1" x14ac:dyDescent="0.25">
      <c r="A231" s="334"/>
      <c r="B231" s="335"/>
      <c r="C231" s="334"/>
      <c r="D231" s="365" t="s">
        <v>273</v>
      </c>
      <c r="E231" s="335" t="s">
        <v>274</v>
      </c>
      <c r="F231" s="337">
        <f>+F232</f>
        <v>1800000</v>
      </c>
      <c r="G231" s="344">
        <f>+G232</f>
        <v>0</v>
      </c>
      <c r="H231" s="344">
        <f t="shared" ref="H231" si="136">+H232</f>
        <v>0</v>
      </c>
      <c r="I231" s="344">
        <f t="shared" si="127"/>
        <v>0</v>
      </c>
      <c r="J231" s="344">
        <f>+J232</f>
        <v>0</v>
      </c>
      <c r="K231" s="344">
        <f t="shared" ref="K231" si="137">+K232</f>
        <v>0</v>
      </c>
      <c r="L231" s="344">
        <f t="shared" si="132"/>
        <v>0</v>
      </c>
      <c r="M231" s="344">
        <f t="shared" ref="M231" si="138">+I231+L231</f>
        <v>0</v>
      </c>
      <c r="N231" s="337">
        <f t="shared" si="133"/>
        <v>1800000</v>
      </c>
      <c r="P231" s="340"/>
      <c r="S231" s="347"/>
      <c r="T231" s="347"/>
      <c r="U231" s="342"/>
    </row>
    <row r="232" spans="1:21" s="381" customFormat="1" ht="18" customHeight="1" x14ac:dyDescent="0.25">
      <c r="A232" s="380"/>
      <c r="B232" s="352"/>
      <c r="C232" s="334"/>
      <c r="D232" s="335" t="s">
        <v>382</v>
      </c>
      <c r="E232" s="335" t="s">
        <v>383</v>
      </c>
      <c r="F232" s="337">
        <f>+F233</f>
        <v>1800000</v>
      </c>
      <c r="G232" s="344">
        <f>SUM(G234:G234)</f>
        <v>0</v>
      </c>
      <c r="H232" s="344">
        <f>SUM(H234:H234)</f>
        <v>0</v>
      </c>
      <c r="I232" s="344">
        <f t="shared" si="127"/>
        <v>0</v>
      </c>
      <c r="J232" s="344">
        <f>SUM(J234:J234)</f>
        <v>0</v>
      </c>
      <c r="K232" s="344">
        <f>SUM(K234:K234)</f>
        <v>0</v>
      </c>
      <c r="L232" s="344">
        <f t="shared" si="132"/>
        <v>0</v>
      </c>
      <c r="M232" s="344">
        <f>+I232+L232</f>
        <v>0</v>
      </c>
      <c r="N232" s="337">
        <f t="shared" si="133"/>
        <v>1800000</v>
      </c>
      <c r="P232" s="340"/>
      <c r="S232" s="347"/>
      <c r="T232" s="347"/>
      <c r="U232" s="382"/>
    </row>
    <row r="233" spans="1:21" s="381" customFormat="1" ht="18" customHeight="1" x14ac:dyDescent="0.25">
      <c r="A233" s="380"/>
      <c r="B233" s="352"/>
      <c r="C233" s="334"/>
      <c r="D233" s="335" t="s">
        <v>386</v>
      </c>
      <c r="E233" s="335" t="s">
        <v>387</v>
      </c>
      <c r="F233" s="337">
        <v>1800000</v>
      </c>
      <c r="G233" s="344"/>
      <c r="H233" s="344"/>
      <c r="I233" s="344">
        <f t="shared" si="127"/>
        <v>0</v>
      </c>
      <c r="J233" s="344"/>
      <c r="K233" s="344"/>
      <c r="L233" s="344">
        <f t="shared" si="132"/>
        <v>0</v>
      </c>
      <c r="M233" s="344">
        <f>+I233+L233</f>
        <v>0</v>
      </c>
      <c r="N233" s="337">
        <f t="shared" si="133"/>
        <v>1800000</v>
      </c>
      <c r="P233" s="340"/>
      <c r="S233" s="347"/>
      <c r="T233" s="347"/>
      <c r="U233" s="382"/>
    </row>
    <row r="234" spans="1:21" s="381" customFormat="1" ht="18" customHeight="1" x14ac:dyDescent="0.25">
      <c r="A234" s="380"/>
      <c r="B234" s="352"/>
      <c r="C234" s="334"/>
      <c r="D234" s="335" t="s">
        <v>466</v>
      </c>
      <c r="E234" s="335" t="s">
        <v>467</v>
      </c>
      <c r="F234" s="337">
        <f>+F235</f>
        <v>100000000</v>
      </c>
      <c r="G234" s="344">
        <f>+G235</f>
        <v>0</v>
      </c>
      <c r="H234" s="344">
        <f>+H235+H238</f>
        <v>0</v>
      </c>
      <c r="I234" s="344">
        <f t="shared" si="127"/>
        <v>0</v>
      </c>
      <c r="J234" s="344">
        <f>+J235</f>
        <v>0</v>
      </c>
      <c r="K234" s="344">
        <f t="shared" ref="K234:K235" si="139">+K235</f>
        <v>0</v>
      </c>
      <c r="L234" s="344">
        <f t="shared" si="132"/>
        <v>0</v>
      </c>
      <c r="M234" s="344">
        <f>+I234+L234</f>
        <v>0</v>
      </c>
      <c r="N234" s="337">
        <f t="shared" si="133"/>
        <v>100000000</v>
      </c>
      <c r="P234" s="340"/>
      <c r="S234" s="347"/>
      <c r="T234" s="347"/>
      <c r="U234" s="382"/>
    </row>
    <row r="235" spans="1:21" s="339" customFormat="1" ht="18" customHeight="1" x14ac:dyDescent="0.25">
      <c r="A235" s="334"/>
      <c r="B235" s="335"/>
      <c r="C235" s="334"/>
      <c r="D235" s="365" t="s">
        <v>468</v>
      </c>
      <c r="E235" s="335" t="s">
        <v>469</v>
      </c>
      <c r="F235" s="337">
        <f t="shared" ref="F235:H235" si="140">+F236</f>
        <v>100000000</v>
      </c>
      <c r="G235" s="344">
        <f>+G236</f>
        <v>0</v>
      </c>
      <c r="H235" s="344">
        <f t="shared" si="140"/>
        <v>0</v>
      </c>
      <c r="I235" s="344">
        <f t="shared" si="127"/>
        <v>0</v>
      </c>
      <c r="J235" s="344">
        <f>+J236</f>
        <v>0</v>
      </c>
      <c r="K235" s="344">
        <f t="shared" si="139"/>
        <v>0</v>
      </c>
      <c r="L235" s="344">
        <f t="shared" si="132"/>
        <v>0</v>
      </c>
      <c r="M235" s="344">
        <f t="shared" ref="M235:M236" si="141">+I235+L235</f>
        <v>0</v>
      </c>
      <c r="N235" s="337">
        <f t="shared" si="133"/>
        <v>100000000</v>
      </c>
      <c r="P235" s="340"/>
      <c r="S235" s="347"/>
      <c r="T235" s="347"/>
      <c r="U235" s="342"/>
    </row>
    <row r="236" spans="1:21" s="381" customFormat="1" ht="18" customHeight="1" x14ac:dyDescent="0.25">
      <c r="A236" s="380"/>
      <c r="B236" s="352"/>
      <c r="C236" s="334"/>
      <c r="D236" s="335" t="s">
        <v>470</v>
      </c>
      <c r="E236" s="335" t="s">
        <v>471</v>
      </c>
      <c r="F236" s="337">
        <f>SUM(F237)</f>
        <v>100000000</v>
      </c>
      <c r="G236" s="344">
        <f>+G237</f>
        <v>0</v>
      </c>
      <c r="H236" s="344">
        <f>+H237</f>
        <v>0</v>
      </c>
      <c r="I236" s="344">
        <f>+G236+H236</f>
        <v>0</v>
      </c>
      <c r="J236" s="344">
        <f>+J237</f>
        <v>0</v>
      </c>
      <c r="K236" s="344">
        <f>+K237</f>
        <v>0</v>
      </c>
      <c r="L236" s="344">
        <f>+J236+K236</f>
        <v>0</v>
      </c>
      <c r="M236" s="344">
        <f t="shared" si="141"/>
        <v>0</v>
      </c>
      <c r="N236" s="337">
        <f t="shared" si="133"/>
        <v>100000000</v>
      </c>
      <c r="P236" s="340"/>
      <c r="S236" s="347"/>
      <c r="T236" s="347"/>
      <c r="U236" s="382"/>
    </row>
    <row r="237" spans="1:21" s="381" customFormat="1" ht="18" customHeight="1" x14ac:dyDescent="0.25">
      <c r="A237" s="380"/>
      <c r="B237" s="352"/>
      <c r="C237" s="334"/>
      <c r="D237" s="335" t="s">
        <v>472</v>
      </c>
      <c r="E237" s="335" t="s">
        <v>473</v>
      </c>
      <c r="F237" s="337">
        <v>100000000</v>
      </c>
      <c r="G237" s="344"/>
      <c r="H237" s="344"/>
      <c r="I237" s="344">
        <f>+G237+H237</f>
        <v>0</v>
      </c>
      <c r="J237" s="344"/>
      <c r="K237" s="344"/>
      <c r="L237" s="344">
        <f t="shared" ref="L237" si="142">+J237+K237</f>
        <v>0</v>
      </c>
      <c r="M237" s="344">
        <f>+I237+L237</f>
        <v>0</v>
      </c>
      <c r="N237" s="337">
        <f t="shared" si="133"/>
        <v>100000000</v>
      </c>
      <c r="P237" s="340"/>
      <c r="S237" s="347"/>
      <c r="T237" s="347"/>
      <c r="U237" s="382"/>
    </row>
    <row r="238" spans="1:21" s="153" customFormat="1" ht="18" customHeight="1" x14ac:dyDescent="0.25">
      <c r="A238" s="353"/>
      <c r="B238" s="355"/>
      <c r="C238" s="355"/>
      <c r="D238" s="355"/>
      <c r="E238" s="355"/>
      <c r="F238" s="356"/>
      <c r="G238" s="357"/>
      <c r="H238" s="357"/>
      <c r="I238" s="357"/>
      <c r="J238" s="357"/>
      <c r="K238" s="357"/>
      <c r="L238" s="357"/>
      <c r="M238" s="357"/>
      <c r="N238" s="356"/>
      <c r="P238" s="200"/>
      <c r="S238" s="221"/>
      <c r="T238" s="221"/>
      <c r="U238" s="254"/>
    </row>
    <row r="239" spans="1:21" s="319" customFormat="1" ht="18" customHeight="1" x14ac:dyDescent="0.25">
      <c r="A239" s="276"/>
      <c r="B239" s="305" t="s">
        <v>357</v>
      </c>
      <c r="C239" s="305"/>
      <c r="D239" s="305"/>
      <c r="E239" s="305" t="s">
        <v>358</v>
      </c>
      <c r="F239" s="359">
        <f>+F241</f>
        <v>260000000</v>
      </c>
      <c r="G239" s="360">
        <f>+G240</f>
        <v>0</v>
      </c>
      <c r="H239" s="360">
        <f>+H240</f>
        <v>0</v>
      </c>
      <c r="I239" s="360">
        <f>+G239+H239</f>
        <v>0</v>
      </c>
      <c r="J239" s="360">
        <f>+J240</f>
        <v>0</v>
      </c>
      <c r="K239" s="360">
        <f>+K240</f>
        <v>0</v>
      </c>
      <c r="L239" s="360">
        <f>+J239+K239</f>
        <v>0</v>
      </c>
      <c r="M239" s="360">
        <f t="shared" ref="M239" si="143">+I239+L239</f>
        <v>0</v>
      </c>
      <c r="N239" s="359">
        <f t="shared" ref="N239:N245" si="144">+F239-M239</f>
        <v>260000000</v>
      </c>
      <c r="P239" s="361"/>
      <c r="R239" s="321"/>
      <c r="S239" s="362"/>
      <c r="T239" s="362"/>
      <c r="U239" s="350"/>
    </row>
    <row r="240" spans="1:21" s="319" customFormat="1" ht="18" customHeight="1" x14ac:dyDescent="0.25">
      <c r="A240" s="276">
        <v>11</v>
      </c>
      <c r="B240" s="305"/>
      <c r="C240" s="305" t="s">
        <v>119</v>
      </c>
      <c r="D240" s="363"/>
      <c r="E240" s="364" t="s">
        <v>120</v>
      </c>
      <c r="F240" s="307">
        <f>+F241</f>
        <v>260000000</v>
      </c>
      <c r="G240" s="308">
        <f>+G241</f>
        <v>0</v>
      </c>
      <c r="H240" s="308">
        <f>+H241</f>
        <v>0</v>
      </c>
      <c r="I240" s="308">
        <f>+G240+H240</f>
        <v>0</v>
      </c>
      <c r="J240" s="308">
        <f>+J241</f>
        <v>0</v>
      </c>
      <c r="K240" s="308">
        <f>+K241</f>
        <v>0</v>
      </c>
      <c r="L240" s="308">
        <f>+J240+K240</f>
        <v>0</v>
      </c>
      <c r="M240" s="308">
        <f>+I240+L240</f>
        <v>0</v>
      </c>
      <c r="N240" s="307">
        <f t="shared" si="144"/>
        <v>260000000</v>
      </c>
      <c r="P240" s="320"/>
      <c r="R240" s="321"/>
      <c r="S240" s="349"/>
      <c r="T240" s="349"/>
      <c r="U240" s="350"/>
    </row>
    <row r="241" spans="1:21" s="329" customFormat="1" ht="18" customHeight="1" x14ac:dyDescent="0.25">
      <c r="A241" s="323"/>
      <c r="B241" s="324"/>
      <c r="C241" s="324"/>
      <c r="D241" s="325" t="s">
        <v>267</v>
      </c>
      <c r="E241" s="326" t="s">
        <v>268</v>
      </c>
      <c r="F241" s="327">
        <f t="shared" ref="F241:H243" si="145">+F242</f>
        <v>260000000</v>
      </c>
      <c r="G241" s="328">
        <f>+G242</f>
        <v>0</v>
      </c>
      <c r="H241" s="328">
        <f t="shared" si="145"/>
        <v>0</v>
      </c>
      <c r="I241" s="328">
        <f t="shared" ref="I241:I245" si="146">+G241+H241</f>
        <v>0</v>
      </c>
      <c r="J241" s="328">
        <f>+J242</f>
        <v>0</v>
      </c>
      <c r="K241" s="328">
        <f t="shared" ref="K241:K243" si="147">+K242</f>
        <v>0</v>
      </c>
      <c r="L241" s="328">
        <f t="shared" ref="L241:L244" si="148">+J241+K241</f>
        <v>0</v>
      </c>
      <c r="M241" s="328">
        <f t="shared" ref="M241:M244" si="149">+I241+L241</f>
        <v>0</v>
      </c>
      <c r="N241" s="327">
        <f t="shared" si="144"/>
        <v>260000000</v>
      </c>
      <c r="P241" s="330"/>
      <c r="R241" s="331"/>
      <c r="S241" s="351"/>
      <c r="T241" s="351"/>
      <c r="U241" s="333"/>
    </row>
    <row r="242" spans="1:21" s="339" customFormat="1" ht="18" customHeight="1" x14ac:dyDescent="0.25">
      <c r="A242" s="334"/>
      <c r="B242" s="352"/>
      <c r="C242" s="334"/>
      <c r="D242" s="335" t="s">
        <v>78</v>
      </c>
      <c r="E242" s="335" t="s">
        <v>75</v>
      </c>
      <c r="F242" s="337">
        <f t="shared" si="145"/>
        <v>260000000</v>
      </c>
      <c r="G242" s="344">
        <f>+G243</f>
        <v>0</v>
      </c>
      <c r="H242" s="344">
        <f t="shared" si="145"/>
        <v>0</v>
      </c>
      <c r="I242" s="344">
        <f t="shared" si="146"/>
        <v>0</v>
      </c>
      <c r="J242" s="344">
        <f>+J243</f>
        <v>0</v>
      </c>
      <c r="K242" s="344">
        <f t="shared" si="147"/>
        <v>0</v>
      </c>
      <c r="L242" s="344">
        <f t="shared" si="148"/>
        <v>0</v>
      </c>
      <c r="M242" s="344">
        <f t="shared" si="149"/>
        <v>0</v>
      </c>
      <c r="N242" s="337">
        <f t="shared" si="144"/>
        <v>260000000</v>
      </c>
      <c r="P242" s="340"/>
      <c r="S242" s="347"/>
      <c r="T242" s="347"/>
      <c r="U242" s="342"/>
    </row>
    <row r="243" spans="1:21" s="339" customFormat="1" ht="18" customHeight="1" x14ac:dyDescent="0.25">
      <c r="A243" s="334"/>
      <c r="B243" s="335"/>
      <c r="C243" s="334"/>
      <c r="D243" s="365" t="s">
        <v>277</v>
      </c>
      <c r="E243" s="335" t="s">
        <v>278</v>
      </c>
      <c r="F243" s="337">
        <f t="shared" si="145"/>
        <v>260000000</v>
      </c>
      <c r="G243" s="344">
        <f>+G244</f>
        <v>0</v>
      </c>
      <c r="H243" s="344">
        <f t="shared" si="145"/>
        <v>0</v>
      </c>
      <c r="I243" s="344">
        <f t="shared" si="146"/>
        <v>0</v>
      </c>
      <c r="J243" s="344">
        <f>+J244</f>
        <v>0</v>
      </c>
      <c r="K243" s="344">
        <f t="shared" si="147"/>
        <v>0</v>
      </c>
      <c r="L243" s="344">
        <f t="shared" si="148"/>
        <v>0</v>
      </c>
      <c r="M243" s="344">
        <f t="shared" si="149"/>
        <v>0</v>
      </c>
      <c r="N243" s="337">
        <f t="shared" si="144"/>
        <v>260000000</v>
      </c>
      <c r="P243" s="340"/>
      <c r="S243" s="347"/>
      <c r="T243" s="347"/>
      <c r="U243" s="342"/>
    </row>
    <row r="244" spans="1:21" s="339" customFormat="1" ht="18" customHeight="1" x14ac:dyDescent="0.25">
      <c r="A244" s="334"/>
      <c r="B244" s="352"/>
      <c r="C244" s="334"/>
      <c r="D244" s="335" t="s">
        <v>121</v>
      </c>
      <c r="E244" s="335" t="s">
        <v>123</v>
      </c>
      <c r="F244" s="337">
        <f>F245</f>
        <v>260000000</v>
      </c>
      <c r="G244" s="344">
        <f>+G245</f>
        <v>0</v>
      </c>
      <c r="H244" s="344">
        <f>+H245</f>
        <v>0</v>
      </c>
      <c r="I244" s="344">
        <f t="shared" si="146"/>
        <v>0</v>
      </c>
      <c r="J244" s="344">
        <f>+J245</f>
        <v>0</v>
      </c>
      <c r="K244" s="344">
        <f>+K245</f>
        <v>0</v>
      </c>
      <c r="L244" s="344">
        <f t="shared" si="148"/>
        <v>0</v>
      </c>
      <c r="M244" s="344">
        <f t="shared" si="149"/>
        <v>0</v>
      </c>
      <c r="N244" s="337">
        <f t="shared" si="144"/>
        <v>260000000</v>
      </c>
      <c r="P244" s="340"/>
      <c r="S244" s="347"/>
      <c r="T244" s="347"/>
      <c r="U244" s="342"/>
    </row>
    <row r="245" spans="1:21" s="339" customFormat="1" ht="18" customHeight="1" x14ac:dyDescent="0.25">
      <c r="A245" s="334"/>
      <c r="B245" s="352"/>
      <c r="C245" s="334"/>
      <c r="D245" s="335" t="s">
        <v>122</v>
      </c>
      <c r="E245" s="335" t="s">
        <v>124</v>
      </c>
      <c r="F245" s="337">
        <v>260000000</v>
      </c>
      <c r="G245" s="344"/>
      <c r="H245" s="344"/>
      <c r="I245" s="344">
        <f t="shared" si="146"/>
        <v>0</v>
      </c>
      <c r="J245" s="344"/>
      <c r="K245" s="344"/>
      <c r="L245" s="344"/>
      <c r="M245" s="344">
        <f>+I245+L245</f>
        <v>0</v>
      </c>
      <c r="N245" s="337">
        <f t="shared" si="144"/>
        <v>260000000</v>
      </c>
      <c r="P245" s="340"/>
      <c r="S245" s="347"/>
      <c r="T245" s="346"/>
      <c r="U245" s="342"/>
    </row>
    <row r="246" spans="1:21" s="153" customFormat="1" ht="18" customHeight="1" x14ac:dyDescent="0.25">
      <c r="A246" s="353"/>
      <c r="B246" s="355"/>
      <c r="C246" s="355"/>
      <c r="D246" s="355"/>
      <c r="E246" s="355"/>
      <c r="F246" s="356"/>
      <c r="G246" s="357"/>
      <c r="H246" s="357"/>
      <c r="I246" s="357"/>
      <c r="J246" s="357"/>
      <c r="K246" s="357"/>
      <c r="L246" s="357"/>
      <c r="M246" s="357"/>
      <c r="N246" s="356"/>
      <c r="P246" s="200"/>
      <c r="S246" s="221"/>
      <c r="T246" s="221"/>
      <c r="U246" s="254"/>
    </row>
    <row r="247" spans="1:21" s="319" customFormat="1" ht="16.5" customHeight="1" x14ac:dyDescent="0.25">
      <c r="A247" s="276"/>
      <c r="B247" s="305" t="s">
        <v>359</v>
      </c>
      <c r="C247" s="305"/>
      <c r="D247" s="305"/>
      <c r="E247" s="305" t="s">
        <v>360</v>
      </c>
      <c r="F247" s="359">
        <f>+F248+F256+F269+F278</f>
        <v>39780847375</v>
      </c>
      <c r="G247" s="360">
        <f>+G248+G256+G269+G278</f>
        <v>0</v>
      </c>
      <c r="H247" s="360">
        <f>+H248+H256+H269+H278</f>
        <v>3058644020</v>
      </c>
      <c r="I247" s="360">
        <f>+G247+H247</f>
        <v>3058644020</v>
      </c>
      <c r="J247" s="360">
        <f>+J248+J256+J269+J278</f>
        <v>0</v>
      </c>
      <c r="K247" s="360">
        <f>+K248+K256+K269+K278</f>
        <v>94954700</v>
      </c>
      <c r="L247" s="360">
        <f>+J247+K247</f>
        <v>94954700</v>
      </c>
      <c r="M247" s="308">
        <f t="shared" ref="M247" si="150">+I247+L247</f>
        <v>3153598720</v>
      </c>
      <c r="N247" s="359">
        <f t="shared" ref="N247:N255" si="151">+F247-M247</f>
        <v>36627248655</v>
      </c>
      <c r="P247" s="361"/>
      <c r="R247" s="321"/>
      <c r="S247" s="362"/>
      <c r="T247" s="362"/>
      <c r="U247" s="350"/>
    </row>
    <row r="248" spans="1:21" s="319" customFormat="1" ht="18" customHeight="1" x14ac:dyDescent="0.25">
      <c r="A248" s="276">
        <v>12</v>
      </c>
      <c r="B248" s="305"/>
      <c r="C248" s="305" t="s">
        <v>125</v>
      </c>
      <c r="D248" s="363"/>
      <c r="E248" s="364" t="s">
        <v>34</v>
      </c>
      <c r="F248" s="307">
        <f>+F249</f>
        <v>219414700</v>
      </c>
      <c r="G248" s="308">
        <f>+G249</f>
        <v>0</v>
      </c>
      <c r="H248" s="308">
        <f>+H249</f>
        <v>0</v>
      </c>
      <c r="I248" s="308">
        <f>+G248+H248</f>
        <v>0</v>
      </c>
      <c r="J248" s="308">
        <f>+J249</f>
        <v>0</v>
      </c>
      <c r="K248" s="308">
        <f>+K249</f>
        <v>0</v>
      </c>
      <c r="L248" s="308">
        <f>+J248+K248</f>
        <v>0</v>
      </c>
      <c r="M248" s="308">
        <f>+I248+L248</f>
        <v>0</v>
      </c>
      <c r="N248" s="307">
        <f t="shared" si="151"/>
        <v>219414700</v>
      </c>
      <c r="P248" s="320"/>
      <c r="R248" s="321"/>
      <c r="S248" s="349"/>
      <c r="T248" s="349"/>
      <c r="U248" s="350"/>
    </row>
    <row r="249" spans="1:21" s="329" customFormat="1" ht="18" customHeight="1" x14ac:dyDescent="0.25">
      <c r="A249" s="323"/>
      <c r="B249" s="324"/>
      <c r="C249" s="379"/>
      <c r="D249" s="325" t="s">
        <v>207</v>
      </c>
      <c r="E249" s="326" t="s">
        <v>262</v>
      </c>
      <c r="F249" s="327">
        <f t="shared" ref="F249:H251" si="152">+F250</f>
        <v>219414700</v>
      </c>
      <c r="G249" s="328">
        <f>+G250</f>
        <v>0</v>
      </c>
      <c r="H249" s="328">
        <f t="shared" si="152"/>
        <v>0</v>
      </c>
      <c r="I249" s="328">
        <f t="shared" ref="I249:I253" si="153">+G249+H249</f>
        <v>0</v>
      </c>
      <c r="J249" s="328">
        <f t="shared" ref="J249:K251" si="154">+J250</f>
        <v>0</v>
      </c>
      <c r="K249" s="328">
        <f t="shared" si="154"/>
        <v>0</v>
      </c>
      <c r="L249" s="328">
        <f t="shared" ref="L249:L251" si="155">+J249+K249</f>
        <v>0</v>
      </c>
      <c r="M249" s="328">
        <f t="shared" ref="M249:M252" si="156">+I249+L249</f>
        <v>0</v>
      </c>
      <c r="N249" s="327">
        <f t="shared" si="151"/>
        <v>219414700</v>
      </c>
      <c r="P249" s="330"/>
      <c r="R249" s="331"/>
      <c r="S249" s="351"/>
      <c r="T249" s="351"/>
      <c r="U249" s="333"/>
    </row>
    <row r="250" spans="1:21" s="339" customFormat="1" ht="18" customHeight="1" x14ac:dyDescent="0.25">
      <c r="A250" s="334"/>
      <c r="B250" s="352"/>
      <c r="C250" s="334"/>
      <c r="D250" s="335" t="s">
        <v>63</v>
      </c>
      <c r="E250" s="335" t="s">
        <v>30</v>
      </c>
      <c r="F250" s="337">
        <f t="shared" si="152"/>
        <v>219414700</v>
      </c>
      <c r="G250" s="344">
        <f>+G251</f>
        <v>0</v>
      </c>
      <c r="H250" s="344">
        <f t="shared" si="152"/>
        <v>0</v>
      </c>
      <c r="I250" s="344">
        <f t="shared" si="153"/>
        <v>0</v>
      </c>
      <c r="J250" s="344">
        <f t="shared" si="154"/>
        <v>0</v>
      </c>
      <c r="K250" s="344">
        <f t="shared" si="154"/>
        <v>0</v>
      </c>
      <c r="L250" s="344">
        <f t="shared" si="155"/>
        <v>0</v>
      </c>
      <c r="M250" s="344">
        <f t="shared" si="156"/>
        <v>0</v>
      </c>
      <c r="N250" s="337">
        <f t="shared" si="151"/>
        <v>219414700</v>
      </c>
      <c r="P250" s="340"/>
      <c r="S250" s="347"/>
      <c r="T250" s="347"/>
      <c r="U250" s="342"/>
    </row>
    <row r="251" spans="1:21" s="339" customFormat="1" ht="18" customHeight="1" x14ac:dyDescent="0.25">
      <c r="A251" s="334"/>
      <c r="B251" s="335"/>
      <c r="C251" s="334"/>
      <c r="D251" s="365" t="s">
        <v>263</v>
      </c>
      <c r="E251" s="335" t="s">
        <v>264</v>
      </c>
      <c r="F251" s="337">
        <f t="shared" si="152"/>
        <v>219414700</v>
      </c>
      <c r="G251" s="344">
        <f>+G252</f>
        <v>0</v>
      </c>
      <c r="H251" s="344">
        <f t="shared" si="152"/>
        <v>0</v>
      </c>
      <c r="I251" s="344">
        <f t="shared" si="153"/>
        <v>0</v>
      </c>
      <c r="J251" s="344">
        <f t="shared" si="154"/>
        <v>0</v>
      </c>
      <c r="K251" s="344">
        <f t="shared" si="154"/>
        <v>0</v>
      </c>
      <c r="L251" s="344">
        <f t="shared" si="155"/>
        <v>0</v>
      </c>
      <c r="M251" s="344">
        <f t="shared" si="156"/>
        <v>0</v>
      </c>
      <c r="N251" s="337">
        <f t="shared" si="151"/>
        <v>219414700</v>
      </c>
      <c r="P251" s="340"/>
      <c r="S251" s="347"/>
      <c r="T251" s="347"/>
      <c r="U251" s="342"/>
    </row>
    <row r="252" spans="1:21" s="339" customFormat="1" ht="18" customHeight="1" x14ac:dyDescent="0.25">
      <c r="A252" s="334"/>
      <c r="B252" s="352"/>
      <c r="C252" s="334"/>
      <c r="D252" s="335" t="s">
        <v>64</v>
      </c>
      <c r="E252" s="335" t="s">
        <v>65</v>
      </c>
      <c r="F252" s="337">
        <f>SUM(F253:F255)</f>
        <v>219414700</v>
      </c>
      <c r="G252" s="344">
        <f>SUM(G253:G255)</f>
        <v>0</v>
      </c>
      <c r="H252" s="344">
        <f>SUM(H253:H255)</f>
        <v>0</v>
      </c>
      <c r="I252" s="344">
        <f t="shared" si="153"/>
        <v>0</v>
      </c>
      <c r="J252" s="344">
        <f>SUM(J253:J255)</f>
        <v>0</v>
      </c>
      <c r="K252" s="344">
        <f>SUM(K253:K255)</f>
        <v>0</v>
      </c>
      <c r="L252" s="344">
        <f>+J252+K252</f>
        <v>0</v>
      </c>
      <c r="M252" s="344">
        <f t="shared" si="156"/>
        <v>0</v>
      </c>
      <c r="N252" s="337">
        <f t="shared" si="151"/>
        <v>219414700</v>
      </c>
      <c r="P252" s="340"/>
      <c r="S252" s="347"/>
      <c r="T252" s="347"/>
      <c r="U252" s="342"/>
    </row>
    <row r="253" spans="1:21" s="339" customFormat="1" ht="18" customHeight="1" x14ac:dyDescent="0.25">
      <c r="A253" s="334"/>
      <c r="B253" s="352"/>
      <c r="C253" s="334"/>
      <c r="D253" s="335" t="s">
        <v>337</v>
      </c>
      <c r="E253" s="335" t="s">
        <v>338</v>
      </c>
      <c r="F253" s="337">
        <v>875000</v>
      </c>
      <c r="G253" s="344"/>
      <c r="H253" s="344"/>
      <c r="I253" s="344">
        <f t="shared" si="153"/>
        <v>0</v>
      </c>
      <c r="J253" s="344"/>
      <c r="K253" s="344"/>
      <c r="L253" s="344">
        <f>+J253+K253</f>
        <v>0</v>
      </c>
      <c r="M253" s="344">
        <f>+I253+L253</f>
        <v>0</v>
      </c>
      <c r="N253" s="337">
        <f t="shared" si="151"/>
        <v>875000</v>
      </c>
      <c r="P253" s="340"/>
      <c r="S253" s="347"/>
      <c r="T253" s="347"/>
      <c r="U253" s="342"/>
    </row>
    <row r="254" spans="1:21" s="339" customFormat="1" ht="18" customHeight="1" x14ac:dyDescent="0.25">
      <c r="A254" s="334"/>
      <c r="B254" s="352"/>
      <c r="C254" s="334"/>
      <c r="D254" s="335" t="s">
        <v>68</v>
      </c>
      <c r="E254" s="335" t="s">
        <v>69</v>
      </c>
      <c r="F254" s="337">
        <v>182539700</v>
      </c>
      <c r="G254" s="344"/>
      <c r="H254" s="344"/>
      <c r="I254" s="344">
        <f>+G254+H254</f>
        <v>0</v>
      </c>
      <c r="J254" s="344"/>
      <c r="K254" s="344"/>
      <c r="L254" s="344">
        <f>+J254+K254</f>
        <v>0</v>
      </c>
      <c r="M254" s="344">
        <f>+I254+L254</f>
        <v>0</v>
      </c>
      <c r="N254" s="337">
        <f t="shared" si="151"/>
        <v>182539700</v>
      </c>
      <c r="P254" s="340"/>
      <c r="S254" s="346"/>
      <c r="T254" s="347"/>
      <c r="U254" s="342"/>
    </row>
    <row r="255" spans="1:21" s="153" customFormat="1" ht="18" customHeight="1" x14ac:dyDescent="0.25">
      <c r="A255" s="353"/>
      <c r="B255" s="387"/>
      <c r="C255" s="353"/>
      <c r="D255" s="355" t="s">
        <v>126</v>
      </c>
      <c r="E255" s="355" t="s">
        <v>127</v>
      </c>
      <c r="F255" s="356">
        <v>36000000</v>
      </c>
      <c r="G255" s="357">
        <v>0</v>
      </c>
      <c r="H255" s="357"/>
      <c r="I255" s="357">
        <f>+G255+H255</f>
        <v>0</v>
      </c>
      <c r="J255" s="357"/>
      <c r="K255" s="357"/>
      <c r="L255" s="357">
        <f>+J255+K255</f>
        <v>0</v>
      </c>
      <c r="M255" s="357">
        <f>+I255+L255</f>
        <v>0</v>
      </c>
      <c r="N255" s="356">
        <f t="shared" si="151"/>
        <v>36000000</v>
      </c>
      <c r="P255" s="200"/>
      <c r="S255" s="358"/>
      <c r="T255" s="221"/>
      <c r="U255" s="254"/>
    </row>
    <row r="256" spans="1:21" s="319" customFormat="1" ht="18" customHeight="1" x14ac:dyDescent="0.25">
      <c r="A256" s="276">
        <v>13</v>
      </c>
      <c r="B256" s="305"/>
      <c r="C256" s="305" t="s">
        <v>128</v>
      </c>
      <c r="D256" s="363"/>
      <c r="E256" s="364" t="s">
        <v>46</v>
      </c>
      <c r="F256" s="307">
        <f>+F257</f>
        <v>38400620000</v>
      </c>
      <c r="G256" s="308">
        <f>+G257</f>
        <v>0</v>
      </c>
      <c r="H256" s="308">
        <f>+H257</f>
        <v>3058644020</v>
      </c>
      <c r="I256" s="308">
        <f>+G256+H256</f>
        <v>3058644020</v>
      </c>
      <c r="J256" s="308">
        <f>+J257</f>
        <v>0</v>
      </c>
      <c r="K256" s="308">
        <f>+K257</f>
        <v>22194700</v>
      </c>
      <c r="L256" s="308">
        <f>+J256+K256</f>
        <v>22194700</v>
      </c>
      <c r="M256" s="308">
        <f>+I256+L256</f>
        <v>3080838720</v>
      </c>
      <c r="N256" s="307">
        <f>+F256-M256</f>
        <v>35319781280</v>
      </c>
      <c r="P256" s="320"/>
      <c r="R256" s="321"/>
      <c r="S256" s="349"/>
      <c r="T256" s="349"/>
      <c r="U256" s="350"/>
    </row>
    <row r="257" spans="1:21" s="329" customFormat="1" ht="18" customHeight="1" x14ac:dyDescent="0.25">
      <c r="A257" s="323"/>
      <c r="B257" s="324"/>
      <c r="C257" s="379"/>
      <c r="D257" s="325" t="s">
        <v>207</v>
      </c>
      <c r="E257" s="326" t="s">
        <v>262</v>
      </c>
      <c r="F257" s="327">
        <f>+F258</f>
        <v>38400620000</v>
      </c>
      <c r="G257" s="328">
        <f>+G258</f>
        <v>0</v>
      </c>
      <c r="H257" s="328">
        <f t="shared" ref="F257:H259" si="157">+H258</f>
        <v>3058644020</v>
      </c>
      <c r="I257" s="328">
        <f t="shared" ref="I257:I262" si="158">+G257+H257</f>
        <v>3058644020</v>
      </c>
      <c r="J257" s="328">
        <f t="shared" ref="J257:K259" si="159">+J258</f>
        <v>0</v>
      </c>
      <c r="K257" s="328">
        <f t="shared" si="159"/>
        <v>22194700</v>
      </c>
      <c r="L257" s="328">
        <f t="shared" ref="L257:L260" si="160">+J257+K257</f>
        <v>22194700</v>
      </c>
      <c r="M257" s="328">
        <f t="shared" ref="M257:M260" si="161">+I257+L257</f>
        <v>3080838720</v>
      </c>
      <c r="N257" s="327">
        <f>+F257-M257</f>
        <v>35319781280</v>
      </c>
      <c r="P257" s="330"/>
      <c r="R257" s="331"/>
      <c r="S257" s="351"/>
      <c r="T257" s="351"/>
      <c r="U257" s="333"/>
    </row>
    <row r="258" spans="1:21" s="339" customFormat="1" ht="18" customHeight="1" x14ac:dyDescent="0.25">
      <c r="A258" s="334"/>
      <c r="B258" s="352"/>
      <c r="C258" s="334"/>
      <c r="D258" s="335" t="s">
        <v>63</v>
      </c>
      <c r="E258" s="335" t="s">
        <v>30</v>
      </c>
      <c r="F258" s="337">
        <f>+F259+F262</f>
        <v>38400620000</v>
      </c>
      <c r="G258" s="344">
        <f>+G259+G262</f>
        <v>0</v>
      </c>
      <c r="H258" s="344">
        <f>+H259+H262</f>
        <v>3058644020</v>
      </c>
      <c r="I258" s="344">
        <f t="shared" si="158"/>
        <v>3058644020</v>
      </c>
      <c r="J258" s="344">
        <f>+J259+J262</f>
        <v>0</v>
      </c>
      <c r="K258" s="344">
        <f>+K259+K262</f>
        <v>22194700</v>
      </c>
      <c r="L258" s="344">
        <f t="shared" si="160"/>
        <v>22194700</v>
      </c>
      <c r="M258" s="344">
        <f t="shared" si="161"/>
        <v>3080838720</v>
      </c>
      <c r="N258" s="337">
        <f>+F258-M258</f>
        <v>35319781280</v>
      </c>
      <c r="P258" s="340"/>
      <c r="S258" s="347"/>
      <c r="T258" s="347"/>
      <c r="U258" s="342"/>
    </row>
    <row r="259" spans="1:21" s="339" customFormat="1" ht="18" customHeight="1" x14ac:dyDescent="0.25">
      <c r="A259" s="334"/>
      <c r="B259" s="335"/>
      <c r="C259" s="334"/>
      <c r="D259" s="365" t="s">
        <v>263</v>
      </c>
      <c r="E259" s="335" t="s">
        <v>264</v>
      </c>
      <c r="F259" s="337">
        <f t="shared" si="157"/>
        <v>35000000</v>
      </c>
      <c r="G259" s="344">
        <f>+G260</f>
        <v>0</v>
      </c>
      <c r="H259" s="344">
        <f t="shared" si="157"/>
        <v>0</v>
      </c>
      <c r="I259" s="344">
        <f t="shared" si="158"/>
        <v>0</v>
      </c>
      <c r="J259" s="344">
        <f t="shared" si="159"/>
        <v>0</v>
      </c>
      <c r="K259" s="344">
        <f t="shared" si="159"/>
        <v>0</v>
      </c>
      <c r="L259" s="344">
        <f t="shared" si="160"/>
        <v>0</v>
      </c>
      <c r="M259" s="344">
        <f t="shared" si="161"/>
        <v>0</v>
      </c>
      <c r="N259" s="337">
        <f>+F259-M259</f>
        <v>35000000</v>
      </c>
      <c r="P259" s="340"/>
      <c r="S259" s="347"/>
      <c r="T259" s="347"/>
      <c r="U259" s="342"/>
    </row>
    <row r="260" spans="1:21" s="339" customFormat="1" ht="18" customHeight="1" x14ac:dyDescent="0.25">
      <c r="A260" s="334"/>
      <c r="B260" s="352"/>
      <c r="C260" s="334"/>
      <c r="D260" s="335" t="s">
        <v>64</v>
      </c>
      <c r="E260" s="335" t="s">
        <v>65</v>
      </c>
      <c r="F260" s="337">
        <f>+F261</f>
        <v>35000000</v>
      </c>
      <c r="G260" s="344">
        <f>+G261</f>
        <v>0</v>
      </c>
      <c r="H260" s="344">
        <f>+H261+H265</f>
        <v>0</v>
      </c>
      <c r="I260" s="344">
        <f t="shared" si="158"/>
        <v>0</v>
      </c>
      <c r="J260" s="344">
        <f>J261</f>
        <v>0</v>
      </c>
      <c r="K260" s="344">
        <f>+K261</f>
        <v>0</v>
      </c>
      <c r="L260" s="344">
        <f t="shared" si="160"/>
        <v>0</v>
      </c>
      <c r="M260" s="344">
        <f t="shared" si="161"/>
        <v>0</v>
      </c>
      <c r="N260" s="337">
        <f>+F260-M260</f>
        <v>35000000</v>
      </c>
      <c r="P260" s="340"/>
      <c r="S260" s="347"/>
      <c r="T260" s="347"/>
      <c r="U260" s="342"/>
    </row>
    <row r="261" spans="1:21" s="339" customFormat="1" ht="18" customHeight="1" x14ac:dyDescent="0.25">
      <c r="A261" s="334"/>
      <c r="B261" s="352"/>
      <c r="C261" s="334"/>
      <c r="D261" s="335" t="s">
        <v>129</v>
      </c>
      <c r="E261" s="335" t="s">
        <v>130</v>
      </c>
      <c r="F261" s="337">
        <v>35000000</v>
      </c>
      <c r="G261" s="344"/>
      <c r="H261" s="344"/>
      <c r="I261" s="344">
        <f t="shared" si="158"/>
        <v>0</v>
      </c>
      <c r="J261" s="344"/>
      <c r="K261" s="344"/>
      <c r="L261" s="344">
        <f>+J261+K261</f>
        <v>0</v>
      </c>
      <c r="M261" s="344">
        <f>+I261+L261</f>
        <v>0</v>
      </c>
      <c r="N261" s="337">
        <f t="shared" ref="N261" si="162">+F261-M261</f>
        <v>35000000</v>
      </c>
      <c r="P261" s="340"/>
      <c r="S261" s="346"/>
      <c r="T261" s="347"/>
      <c r="U261" s="342"/>
    </row>
    <row r="262" spans="1:21" s="339" customFormat="1" ht="18" customHeight="1" x14ac:dyDescent="0.25">
      <c r="A262" s="334"/>
      <c r="B262" s="335"/>
      <c r="C262" s="334"/>
      <c r="D262" s="365" t="s">
        <v>271</v>
      </c>
      <c r="E262" s="335" t="s">
        <v>272</v>
      </c>
      <c r="F262" s="337">
        <f t="shared" ref="F262:H262" si="163">+F263</f>
        <v>38365620000</v>
      </c>
      <c r="G262" s="344">
        <f>+G263</f>
        <v>0</v>
      </c>
      <c r="H262" s="344">
        <f t="shared" si="163"/>
        <v>3058644020</v>
      </c>
      <c r="I262" s="344">
        <f t="shared" si="158"/>
        <v>3058644020</v>
      </c>
      <c r="J262" s="344">
        <f>+J263</f>
        <v>0</v>
      </c>
      <c r="K262" s="344">
        <f t="shared" ref="K262" si="164">+K263</f>
        <v>22194700</v>
      </c>
      <c r="L262" s="344">
        <f t="shared" ref="L262" si="165">+J262+K262</f>
        <v>22194700</v>
      </c>
      <c r="M262" s="344">
        <f t="shared" ref="M262:M263" si="166">+I262+L262</f>
        <v>3080838720</v>
      </c>
      <c r="N262" s="337">
        <f>+F262-M262</f>
        <v>35284781280</v>
      </c>
      <c r="P262" s="340"/>
      <c r="S262" s="346"/>
      <c r="T262" s="347"/>
      <c r="U262" s="342"/>
    </row>
    <row r="263" spans="1:21" s="339" customFormat="1" ht="18" customHeight="1" x14ac:dyDescent="0.25">
      <c r="A263" s="334"/>
      <c r="B263" s="352"/>
      <c r="C263" s="334"/>
      <c r="D263" s="335" t="s">
        <v>81</v>
      </c>
      <c r="E263" s="335" t="s">
        <v>31</v>
      </c>
      <c r="F263" s="337">
        <f>SUM(F264:F268)</f>
        <v>38365620000</v>
      </c>
      <c r="G263" s="344">
        <f>SUM(G264:G268)</f>
        <v>0</v>
      </c>
      <c r="H263" s="344">
        <f>SUM(H264:H268)</f>
        <v>3058644020</v>
      </c>
      <c r="I263" s="344">
        <f>+G263+H263</f>
        <v>3058644020</v>
      </c>
      <c r="J263" s="344">
        <f>SUM(J264:J268)</f>
        <v>0</v>
      </c>
      <c r="K263" s="344">
        <f>SUM(K264:K268)</f>
        <v>22194700</v>
      </c>
      <c r="L263" s="344">
        <f>+J263+K263</f>
        <v>22194700</v>
      </c>
      <c r="M263" s="344">
        <f t="shared" si="166"/>
        <v>3080838720</v>
      </c>
      <c r="N263" s="337">
        <f>+F263-M263</f>
        <v>35284781280</v>
      </c>
      <c r="P263" s="340"/>
      <c r="S263" s="346"/>
      <c r="T263" s="347"/>
      <c r="U263" s="342"/>
    </row>
    <row r="264" spans="1:21" s="339" customFormat="1" ht="18" customHeight="1" x14ac:dyDescent="0.25">
      <c r="A264" s="334"/>
      <c r="B264" s="352"/>
      <c r="C264" s="334"/>
      <c r="D264" s="335" t="s">
        <v>131</v>
      </c>
      <c r="E264" s="335" t="s">
        <v>132</v>
      </c>
      <c r="F264" s="337">
        <v>16800000</v>
      </c>
      <c r="G264" s="344"/>
      <c r="H264" s="344"/>
      <c r="I264" s="344">
        <f t="shared" ref="I264:I268" si="167">+G264+H264</f>
        <v>0</v>
      </c>
      <c r="J264" s="344"/>
      <c r="K264" s="344"/>
      <c r="L264" s="344">
        <f>+J264+K264</f>
        <v>0</v>
      </c>
      <c r="M264" s="344">
        <f>+I264+L264</f>
        <v>0</v>
      </c>
      <c r="N264" s="337">
        <f t="shared" ref="N264:N268" si="168">+F264-M264</f>
        <v>16800000</v>
      </c>
      <c r="P264" s="340"/>
      <c r="S264" s="346"/>
      <c r="T264" s="347"/>
      <c r="U264" s="342"/>
    </row>
    <row r="265" spans="1:21" s="339" customFormat="1" ht="18" customHeight="1" x14ac:dyDescent="0.25">
      <c r="A265" s="334"/>
      <c r="B265" s="352"/>
      <c r="C265" s="334"/>
      <c r="D265" s="335" t="s">
        <v>133</v>
      </c>
      <c r="E265" s="335" t="s">
        <v>134</v>
      </c>
      <c r="F265" s="337">
        <v>42000000</v>
      </c>
      <c r="G265" s="344">
        <v>0</v>
      </c>
      <c r="H265" s="344"/>
      <c r="I265" s="344">
        <f t="shared" si="167"/>
        <v>0</v>
      </c>
      <c r="J265" s="344"/>
      <c r="K265" s="344">
        <v>2344700</v>
      </c>
      <c r="L265" s="344">
        <f>+J265+K265</f>
        <v>2344700</v>
      </c>
      <c r="M265" s="344">
        <f>+I265+L265</f>
        <v>2344700</v>
      </c>
      <c r="N265" s="337">
        <f t="shared" si="168"/>
        <v>39655300</v>
      </c>
      <c r="P265" s="340"/>
      <c r="S265" s="346"/>
      <c r="T265" s="347"/>
      <c r="U265" s="342"/>
    </row>
    <row r="266" spans="1:21" s="339" customFormat="1" ht="18" customHeight="1" x14ac:dyDescent="0.25">
      <c r="A266" s="334"/>
      <c r="B266" s="352"/>
      <c r="C266" s="334"/>
      <c r="D266" s="335" t="s">
        <v>135</v>
      </c>
      <c r="E266" s="335" t="s">
        <v>136</v>
      </c>
      <c r="F266" s="337">
        <v>37992800000</v>
      </c>
      <c r="G266" s="344"/>
      <c r="H266" s="344">
        <f>33466948+3025177072</f>
        <v>3058644020</v>
      </c>
      <c r="I266" s="344">
        <f t="shared" si="167"/>
        <v>3058644020</v>
      </c>
      <c r="J266" s="344"/>
      <c r="K266" s="344"/>
      <c r="L266" s="344">
        <f>+J266+K266</f>
        <v>0</v>
      </c>
      <c r="M266" s="344">
        <f>+I266+L266</f>
        <v>3058644020</v>
      </c>
      <c r="N266" s="337">
        <f t="shared" si="168"/>
        <v>34934155980</v>
      </c>
      <c r="P266" s="340"/>
      <c r="S266" s="346"/>
      <c r="T266" s="346"/>
      <c r="U266" s="342"/>
    </row>
    <row r="267" spans="1:21" s="339" customFormat="1" ht="18" customHeight="1" x14ac:dyDescent="0.25">
      <c r="A267" s="334"/>
      <c r="B267" s="352"/>
      <c r="C267" s="334"/>
      <c r="D267" s="335" t="s">
        <v>137</v>
      </c>
      <c r="E267" s="335" t="s">
        <v>138</v>
      </c>
      <c r="F267" s="337">
        <v>12820000</v>
      </c>
      <c r="G267" s="344"/>
      <c r="H267" s="344"/>
      <c r="I267" s="344">
        <f t="shared" si="167"/>
        <v>0</v>
      </c>
      <c r="J267" s="344"/>
      <c r="K267" s="344"/>
      <c r="L267" s="344">
        <f t="shared" ref="L267:L272" si="169">+J267+K267</f>
        <v>0</v>
      </c>
      <c r="M267" s="344">
        <f t="shared" ref="M267:M268" si="170">+I267+L267</f>
        <v>0</v>
      </c>
      <c r="N267" s="337">
        <f t="shared" si="168"/>
        <v>12820000</v>
      </c>
      <c r="P267" s="340"/>
      <c r="S267" s="346"/>
      <c r="T267" s="346"/>
      <c r="U267" s="342"/>
    </row>
    <row r="268" spans="1:21" s="339" customFormat="1" ht="18" customHeight="1" x14ac:dyDescent="0.25">
      <c r="A268" s="334"/>
      <c r="B268" s="352"/>
      <c r="C268" s="334"/>
      <c r="D268" s="335" t="s">
        <v>139</v>
      </c>
      <c r="E268" s="335" t="s">
        <v>140</v>
      </c>
      <c r="F268" s="337">
        <v>301200000</v>
      </c>
      <c r="G268" s="344"/>
      <c r="H268" s="344"/>
      <c r="I268" s="344">
        <f t="shared" si="167"/>
        <v>0</v>
      </c>
      <c r="J268" s="344"/>
      <c r="K268" s="344">
        <v>19850000</v>
      </c>
      <c r="L268" s="344">
        <f t="shared" si="169"/>
        <v>19850000</v>
      </c>
      <c r="M268" s="344">
        <f t="shared" si="170"/>
        <v>19850000</v>
      </c>
      <c r="N268" s="337">
        <f t="shared" si="168"/>
        <v>281350000</v>
      </c>
      <c r="P268" s="340"/>
      <c r="S268" s="346"/>
      <c r="T268" s="346"/>
      <c r="U268" s="342"/>
    </row>
    <row r="269" spans="1:21" s="319" customFormat="1" ht="18" customHeight="1" x14ac:dyDescent="0.25">
      <c r="A269" s="276">
        <v>14</v>
      </c>
      <c r="B269" s="305"/>
      <c r="C269" s="305" t="s">
        <v>141</v>
      </c>
      <c r="D269" s="363"/>
      <c r="E269" s="364" t="s">
        <v>142</v>
      </c>
      <c r="F269" s="307">
        <f>+F270</f>
        <v>100000000</v>
      </c>
      <c r="G269" s="308">
        <f>+G270</f>
        <v>0</v>
      </c>
      <c r="H269" s="308">
        <f>+H270</f>
        <v>0</v>
      </c>
      <c r="I269" s="308">
        <f>+G269+H269</f>
        <v>0</v>
      </c>
      <c r="J269" s="308">
        <f>+J270</f>
        <v>0</v>
      </c>
      <c r="K269" s="308">
        <f>+K270</f>
        <v>0</v>
      </c>
      <c r="L269" s="308">
        <f t="shared" si="169"/>
        <v>0</v>
      </c>
      <c r="M269" s="308">
        <f>+I269+L269</f>
        <v>0</v>
      </c>
      <c r="N269" s="307">
        <f>+F269-M269</f>
        <v>100000000</v>
      </c>
      <c r="P269" s="320"/>
      <c r="R269" s="321"/>
      <c r="S269" s="349"/>
      <c r="T269" s="349"/>
      <c r="U269" s="350"/>
    </row>
    <row r="270" spans="1:21" s="329" customFormat="1" ht="16.5" customHeight="1" x14ac:dyDescent="0.25">
      <c r="A270" s="323"/>
      <c r="B270" s="324"/>
      <c r="C270" s="324"/>
      <c r="D270" s="325" t="s">
        <v>207</v>
      </c>
      <c r="E270" s="326" t="s">
        <v>262</v>
      </c>
      <c r="F270" s="327">
        <f>+F271</f>
        <v>100000000</v>
      </c>
      <c r="G270" s="328">
        <f>+G271</f>
        <v>0</v>
      </c>
      <c r="H270" s="328">
        <f t="shared" ref="F270:H272" si="171">+H271</f>
        <v>0</v>
      </c>
      <c r="I270" s="328">
        <f t="shared" ref="I270:I276" si="172">+G270+H270</f>
        <v>0</v>
      </c>
      <c r="J270" s="328">
        <f t="shared" ref="J270:J272" si="173">+J271</f>
        <v>0</v>
      </c>
      <c r="K270" s="328">
        <f>+K271</f>
        <v>0</v>
      </c>
      <c r="L270" s="328">
        <f t="shared" si="169"/>
        <v>0</v>
      </c>
      <c r="M270" s="328">
        <f t="shared" ref="M270:M273" si="174">+I270+L270</f>
        <v>0</v>
      </c>
      <c r="N270" s="327">
        <f>+F270-M270</f>
        <v>100000000</v>
      </c>
      <c r="P270" s="330"/>
      <c r="R270" s="331"/>
      <c r="S270" s="351"/>
      <c r="T270" s="351"/>
      <c r="U270" s="333"/>
    </row>
    <row r="271" spans="1:21" s="339" customFormat="1" ht="16.5" customHeight="1" x14ac:dyDescent="0.25">
      <c r="A271" s="334"/>
      <c r="B271" s="352"/>
      <c r="C271" s="334"/>
      <c r="D271" s="335" t="s">
        <v>63</v>
      </c>
      <c r="E271" s="335" t="s">
        <v>30</v>
      </c>
      <c r="F271" s="337">
        <f>F272</f>
        <v>100000000</v>
      </c>
      <c r="G271" s="344">
        <f>+G272</f>
        <v>0</v>
      </c>
      <c r="H271" s="344">
        <f t="shared" si="171"/>
        <v>0</v>
      </c>
      <c r="I271" s="344">
        <f t="shared" si="172"/>
        <v>0</v>
      </c>
      <c r="J271" s="344">
        <f t="shared" si="173"/>
        <v>0</v>
      </c>
      <c r="K271" s="344">
        <f>+K272</f>
        <v>0</v>
      </c>
      <c r="L271" s="344">
        <f t="shared" si="169"/>
        <v>0</v>
      </c>
      <c r="M271" s="344">
        <f t="shared" si="174"/>
        <v>0</v>
      </c>
      <c r="N271" s="337">
        <f>+F271-M271</f>
        <v>100000000</v>
      </c>
      <c r="P271" s="340"/>
      <c r="S271" s="347"/>
      <c r="T271" s="347"/>
      <c r="U271" s="342"/>
    </row>
    <row r="272" spans="1:21" s="339" customFormat="1" ht="16.5" customHeight="1" x14ac:dyDescent="0.25">
      <c r="A272" s="334"/>
      <c r="B272" s="335"/>
      <c r="C272" s="334"/>
      <c r="D272" s="365" t="s">
        <v>263</v>
      </c>
      <c r="E272" s="335" t="s">
        <v>264</v>
      </c>
      <c r="F272" s="337">
        <f t="shared" si="171"/>
        <v>100000000</v>
      </c>
      <c r="G272" s="344">
        <f>+G273</f>
        <v>0</v>
      </c>
      <c r="H272" s="344">
        <f t="shared" si="171"/>
        <v>0</v>
      </c>
      <c r="I272" s="344">
        <f t="shared" si="172"/>
        <v>0</v>
      </c>
      <c r="J272" s="344">
        <f t="shared" si="173"/>
        <v>0</v>
      </c>
      <c r="K272" s="344">
        <f>+K273</f>
        <v>0</v>
      </c>
      <c r="L272" s="344">
        <f t="shared" si="169"/>
        <v>0</v>
      </c>
      <c r="M272" s="344">
        <f t="shared" si="174"/>
        <v>0</v>
      </c>
      <c r="N272" s="337">
        <f>+F272-M272</f>
        <v>100000000</v>
      </c>
      <c r="P272" s="340"/>
      <c r="S272" s="347"/>
      <c r="T272" s="347"/>
      <c r="U272" s="342"/>
    </row>
    <row r="273" spans="1:21" s="339" customFormat="1" ht="16.5" customHeight="1" x14ac:dyDescent="0.25">
      <c r="A273" s="334"/>
      <c r="B273" s="352"/>
      <c r="C273" s="334"/>
      <c r="D273" s="335" t="s">
        <v>64</v>
      </c>
      <c r="E273" s="335" t="s">
        <v>65</v>
      </c>
      <c r="F273" s="337">
        <f>SUM(F274:F277)</f>
        <v>100000000</v>
      </c>
      <c r="G273" s="344">
        <f>SUM(G274:G277)</f>
        <v>0</v>
      </c>
      <c r="H273" s="344">
        <f>SUM(H274:H277)</f>
        <v>0</v>
      </c>
      <c r="I273" s="344">
        <f>+G273+H273</f>
        <v>0</v>
      </c>
      <c r="J273" s="344">
        <f>SUM(J274:J277)</f>
        <v>0</v>
      </c>
      <c r="K273" s="344">
        <f>SUM(K274:K277)</f>
        <v>0</v>
      </c>
      <c r="L273" s="344">
        <f>+J273+K273</f>
        <v>0</v>
      </c>
      <c r="M273" s="344">
        <f t="shared" si="174"/>
        <v>0</v>
      </c>
      <c r="N273" s="337">
        <f>+F273-M273</f>
        <v>100000000</v>
      </c>
      <c r="P273" s="340"/>
      <c r="S273" s="347"/>
      <c r="T273" s="347"/>
      <c r="U273" s="342"/>
    </row>
    <row r="274" spans="1:21" s="339" customFormat="1" ht="16.5" customHeight="1" x14ac:dyDescent="0.25">
      <c r="A274" s="334"/>
      <c r="B274" s="352"/>
      <c r="C274" s="334"/>
      <c r="D274" s="335" t="s">
        <v>66</v>
      </c>
      <c r="E274" s="335" t="s">
        <v>67</v>
      </c>
      <c r="F274" s="337">
        <v>57982150</v>
      </c>
      <c r="G274" s="344"/>
      <c r="H274" s="344"/>
      <c r="I274" s="344">
        <f t="shared" si="172"/>
        <v>0</v>
      </c>
      <c r="J274" s="344"/>
      <c r="K274" s="344"/>
      <c r="L274" s="344">
        <f>+J274+K274</f>
        <v>0</v>
      </c>
      <c r="M274" s="344">
        <f>+I274+L274</f>
        <v>0</v>
      </c>
      <c r="N274" s="337">
        <f t="shared" ref="N274:N277" si="175">+F274-M274</f>
        <v>57982150</v>
      </c>
      <c r="P274" s="340"/>
      <c r="S274" s="347"/>
      <c r="T274" s="347"/>
      <c r="U274" s="342"/>
    </row>
    <row r="275" spans="1:21" s="339" customFormat="1" ht="18" customHeight="1" x14ac:dyDescent="0.25">
      <c r="A275" s="334"/>
      <c r="B275" s="352"/>
      <c r="C275" s="334"/>
      <c r="D275" s="335" t="s">
        <v>337</v>
      </c>
      <c r="E275" s="335" t="s">
        <v>338</v>
      </c>
      <c r="F275" s="337">
        <v>29743300</v>
      </c>
      <c r="G275" s="344"/>
      <c r="H275" s="344"/>
      <c r="I275" s="344">
        <f t="shared" si="172"/>
        <v>0</v>
      </c>
      <c r="J275" s="344"/>
      <c r="K275" s="344"/>
      <c r="L275" s="344"/>
      <c r="M275" s="344">
        <f t="shared" ref="M275:M276" si="176">+I275+L275</f>
        <v>0</v>
      </c>
      <c r="N275" s="337">
        <f t="shared" si="175"/>
        <v>29743300</v>
      </c>
      <c r="P275" s="340"/>
      <c r="S275" s="347"/>
      <c r="T275" s="347"/>
      <c r="U275" s="342"/>
    </row>
    <row r="276" spans="1:21" s="339" customFormat="1" ht="18" customHeight="1" x14ac:dyDescent="0.25">
      <c r="A276" s="334"/>
      <c r="B276" s="352"/>
      <c r="C276" s="334"/>
      <c r="D276" s="335" t="s">
        <v>339</v>
      </c>
      <c r="E276" s="335" t="s">
        <v>340</v>
      </c>
      <c r="F276" s="337">
        <v>8842500</v>
      </c>
      <c r="G276" s="344"/>
      <c r="H276" s="344"/>
      <c r="I276" s="344">
        <f t="shared" si="172"/>
        <v>0</v>
      </c>
      <c r="J276" s="344"/>
      <c r="K276" s="344"/>
      <c r="L276" s="344"/>
      <c r="M276" s="344">
        <f t="shared" si="176"/>
        <v>0</v>
      </c>
      <c r="N276" s="337">
        <f t="shared" si="175"/>
        <v>8842500</v>
      </c>
      <c r="P276" s="340"/>
      <c r="S276" s="347"/>
      <c r="T276" s="347"/>
      <c r="U276" s="342"/>
    </row>
    <row r="277" spans="1:21" s="153" customFormat="1" ht="18" customHeight="1" x14ac:dyDescent="0.25">
      <c r="A277" s="353"/>
      <c r="B277" s="387"/>
      <c r="C277" s="353"/>
      <c r="D277" s="355" t="s">
        <v>361</v>
      </c>
      <c r="E277" s="355" t="s">
        <v>362</v>
      </c>
      <c r="F277" s="356">
        <v>3432050</v>
      </c>
      <c r="G277" s="357"/>
      <c r="H277" s="357"/>
      <c r="I277" s="357">
        <f>+G277+H277</f>
        <v>0</v>
      </c>
      <c r="J277" s="357"/>
      <c r="K277" s="357"/>
      <c r="L277" s="357">
        <f>+J277+K277</f>
        <v>0</v>
      </c>
      <c r="M277" s="357">
        <f>+I277+L277</f>
        <v>0</v>
      </c>
      <c r="N277" s="356">
        <f t="shared" si="175"/>
        <v>3432050</v>
      </c>
      <c r="P277" s="200"/>
      <c r="S277" s="221"/>
      <c r="T277" s="221"/>
      <c r="U277" s="254"/>
    </row>
    <row r="278" spans="1:21" s="319" customFormat="1" ht="18" customHeight="1" x14ac:dyDescent="0.25">
      <c r="A278" s="275">
        <v>15</v>
      </c>
      <c r="B278" s="305"/>
      <c r="C278" s="305" t="s">
        <v>363</v>
      </c>
      <c r="D278" s="363"/>
      <c r="E278" s="364" t="s">
        <v>364</v>
      </c>
      <c r="F278" s="307">
        <f t="shared" ref="F278:H279" si="177">+F279</f>
        <v>1060812675</v>
      </c>
      <c r="G278" s="308">
        <f t="shared" si="177"/>
        <v>0</v>
      </c>
      <c r="H278" s="308">
        <f t="shared" si="177"/>
        <v>0</v>
      </c>
      <c r="I278" s="308">
        <f>+G278+H278</f>
        <v>0</v>
      </c>
      <c r="J278" s="308">
        <f>+J279</f>
        <v>0</v>
      </c>
      <c r="K278" s="308">
        <f>+K279</f>
        <v>72760000</v>
      </c>
      <c r="L278" s="308">
        <f>+J278+K278</f>
        <v>72760000</v>
      </c>
      <c r="M278" s="308">
        <f>+I278+L278</f>
        <v>72760000</v>
      </c>
      <c r="N278" s="307">
        <f>+F278-M278</f>
        <v>988052675</v>
      </c>
      <c r="P278" s="320"/>
      <c r="R278" s="321"/>
      <c r="S278" s="349"/>
      <c r="T278" s="349"/>
      <c r="U278" s="350"/>
    </row>
    <row r="279" spans="1:21" s="329" customFormat="1" ht="18" customHeight="1" x14ac:dyDescent="0.25">
      <c r="A279" s="323"/>
      <c r="B279" s="324"/>
      <c r="C279" s="324"/>
      <c r="D279" s="325" t="s">
        <v>207</v>
      </c>
      <c r="E279" s="326" t="s">
        <v>262</v>
      </c>
      <c r="F279" s="327">
        <f t="shared" si="177"/>
        <v>1060812675</v>
      </c>
      <c r="G279" s="328">
        <f t="shared" si="177"/>
        <v>0</v>
      </c>
      <c r="H279" s="328">
        <f t="shared" si="177"/>
        <v>0</v>
      </c>
      <c r="I279" s="328">
        <f t="shared" ref="I279:I283" si="178">+G279+H279</f>
        <v>0</v>
      </c>
      <c r="J279" s="328">
        <f>+J280</f>
        <v>0</v>
      </c>
      <c r="K279" s="328">
        <f>+K280</f>
        <v>72760000</v>
      </c>
      <c r="L279" s="328">
        <f t="shared" ref="L279:L281" si="179">+J279+K279</f>
        <v>72760000</v>
      </c>
      <c r="M279" s="328">
        <f t="shared" ref="M279:M282" si="180">+I279+L279</f>
        <v>72760000</v>
      </c>
      <c r="N279" s="327">
        <f>+F279-M279</f>
        <v>988052675</v>
      </c>
      <c r="P279" s="330"/>
      <c r="R279" s="331"/>
      <c r="S279" s="351"/>
      <c r="T279" s="351"/>
      <c r="U279" s="333"/>
    </row>
    <row r="280" spans="1:21" s="339" customFormat="1" ht="18" customHeight="1" x14ac:dyDescent="0.25">
      <c r="A280" s="334"/>
      <c r="B280" s="352"/>
      <c r="C280" s="334"/>
      <c r="D280" s="335" t="s">
        <v>63</v>
      </c>
      <c r="E280" s="335" t="s">
        <v>30</v>
      </c>
      <c r="F280" s="337">
        <f>+F281+F291</f>
        <v>1060812675</v>
      </c>
      <c r="G280" s="344">
        <f>+G281+G291</f>
        <v>0</v>
      </c>
      <c r="H280" s="344">
        <f>+H281+H291</f>
        <v>0</v>
      </c>
      <c r="I280" s="344">
        <f t="shared" si="178"/>
        <v>0</v>
      </c>
      <c r="J280" s="344">
        <f>+J281+J291</f>
        <v>0</v>
      </c>
      <c r="K280" s="344">
        <f>+K281+K291</f>
        <v>72760000</v>
      </c>
      <c r="L280" s="344">
        <f t="shared" si="179"/>
        <v>72760000</v>
      </c>
      <c r="M280" s="344">
        <f t="shared" si="180"/>
        <v>72760000</v>
      </c>
      <c r="N280" s="337">
        <f>+F280-M280</f>
        <v>988052675</v>
      </c>
      <c r="P280" s="340"/>
      <c r="S280" s="347"/>
      <c r="T280" s="347"/>
      <c r="U280" s="342"/>
    </row>
    <row r="281" spans="1:21" s="339" customFormat="1" ht="18" customHeight="1" x14ac:dyDescent="0.25">
      <c r="A281" s="334"/>
      <c r="B281" s="335"/>
      <c r="C281" s="334"/>
      <c r="D281" s="365" t="s">
        <v>263</v>
      </c>
      <c r="E281" s="335" t="s">
        <v>264</v>
      </c>
      <c r="F281" s="337">
        <f>+F282</f>
        <v>105412675</v>
      </c>
      <c r="G281" s="344">
        <f t="shared" ref="G281:J281" si="181">+G282</f>
        <v>0</v>
      </c>
      <c r="H281" s="344">
        <f>+H282</f>
        <v>0</v>
      </c>
      <c r="I281" s="344">
        <f t="shared" si="178"/>
        <v>0</v>
      </c>
      <c r="J281" s="344">
        <f t="shared" si="181"/>
        <v>0</v>
      </c>
      <c r="K281" s="344">
        <f>+K282</f>
        <v>0</v>
      </c>
      <c r="L281" s="344">
        <f t="shared" si="179"/>
        <v>0</v>
      </c>
      <c r="M281" s="344">
        <f t="shared" si="180"/>
        <v>0</v>
      </c>
      <c r="N281" s="337">
        <f>+F281-M281</f>
        <v>105412675</v>
      </c>
      <c r="P281" s="340"/>
      <c r="S281" s="347"/>
      <c r="T281" s="347"/>
      <c r="U281" s="342"/>
    </row>
    <row r="282" spans="1:21" s="339" customFormat="1" ht="18" customHeight="1" x14ac:dyDescent="0.25">
      <c r="A282" s="334"/>
      <c r="B282" s="352"/>
      <c r="C282" s="334"/>
      <c r="D282" s="335" t="s">
        <v>64</v>
      </c>
      <c r="E282" s="335" t="s">
        <v>65</v>
      </c>
      <c r="F282" s="337">
        <f>SUM(F283:F290)</f>
        <v>105412675</v>
      </c>
      <c r="G282" s="344">
        <f>SUM(G283:G290)</f>
        <v>0</v>
      </c>
      <c r="H282" s="344">
        <f>SUM(H283:H290)</f>
        <v>0</v>
      </c>
      <c r="I282" s="344">
        <f>+G282+H282</f>
        <v>0</v>
      </c>
      <c r="J282" s="344">
        <f>SUM(J283:J290)</f>
        <v>0</v>
      </c>
      <c r="K282" s="344">
        <f>SUM(K283:K290)</f>
        <v>0</v>
      </c>
      <c r="L282" s="344">
        <f>+J282+K282</f>
        <v>0</v>
      </c>
      <c r="M282" s="344">
        <f t="shared" si="180"/>
        <v>0</v>
      </c>
      <c r="N282" s="337">
        <f>+F282-M282</f>
        <v>105412675</v>
      </c>
      <c r="P282" s="340"/>
      <c r="S282" s="347"/>
      <c r="T282" s="347"/>
      <c r="U282" s="342"/>
    </row>
    <row r="283" spans="1:21" s="339" customFormat="1" ht="18" customHeight="1" x14ac:dyDescent="0.25">
      <c r="A283" s="366"/>
      <c r="C283" s="366"/>
      <c r="D283" s="367" t="s">
        <v>365</v>
      </c>
      <c r="E283" s="367" t="s">
        <v>366</v>
      </c>
      <c r="F283" s="370">
        <v>9228650</v>
      </c>
      <c r="G283" s="371"/>
      <c r="H283" s="371"/>
      <c r="I283" s="371">
        <f t="shared" si="178"/>
        <v>0</v>
      </c>
      <c r="J283" s="371"/>
      <c r="K283" s="371"/>
      <c r="L283" s="371">
        <f>+J283+K283</f>
        <v>0</v>
      </c>
      <c r="M283" s="371">
        <f>+I283+L283</f>
        <v>0</v>
      </c>
      <c r="N283" s="370">
        <f t="shared" ref="N283:N290" si="182">+F283-M283</f>
        <v>9228650</v>
      </c>
      <c r="P283" s="340"/>
      <c r="S283" s="347"/>
      <c r="T283" s="347"/>
      <c r="U283" s="342"/>
    </row>
    <row r="284" spans="1:21" s="339" customFormat="1" ht="18" customHeight="1" x14ac:dyDescent="0.25">
      <c r="A284" s="366"/>
      <c r="C284" s="366"/>
      <c r="D284" s="367" t="s">
        <v>66</v>
      </c>
      <c r="E284" s="367" t="s">
        <v>67</v>
      </c>
      <c r="F284" s="370">
        <v>4831925</v>
      </c>
      <c r="G284" s="371"/>
      <c r="H284" s="371"/>
      <c r="I284" s="371"/>
      <c r="J284" s="371"/>
      <c r="K284" s="371"/>
      <c r="L284" s="371">
        <f t="shared" ref="L284:L296" si="183">+J284+K284</f>
        <v>0</v>
      </c>
      <c r="M284" s="371">
        <f t="shared" ref="M284:M292" si="184">+I284+L284</f>
        <v>0</v>
      </c>
      <c r="N284" s="370">
        <f t="shared" si="182"/>
        <v>4831925</v>
      </c>
      <c r="P284" s="340"/>
      <c r="S284" s="347"/>
      <c r="T284" s="347"/>
      <c r="U284" s="342"/>
    </row>
    <row r="285" spans="1:21" s="339" customFormat="1" ht="18" customHeight="1" x14ac:dyDescent="0.25">
      <c r="A285" s="366"/>
      <c r="C285" s="366"/>
      <c r="D285" s="367" t="s">
        <v>337</v>
      </c>
      <c r="E285" s="367" t="s">
        <v>338</v>
      </c>
      <c r="F285" s="370">
        <v>18985000</v>
      </c>
      <c r="G285" s="371"/>
      <c r="H285" s="371"/>
      <c r="I285" s="371"/>
      <c r="J285" s="371"/>
      <c r="K285" s="371"/>
      <c r="L285" s="371">
        <f t="shared" si="183"/>
        <v>0</v>
      </c>
      <c r="M285" s="371">
        <f t="shared" si="184"/>
        <v>0</v>
      </c>
      <c r="N285" s="370">
        <f t="shared" si="182"/>
        <v>18985000</v>
      </c>
      <c r="P285" s="340"/>
      <c r="S285" s="347"/>
      <c r="T285" s="347"/>
      <c r="U285" s="342"/>
    </row>
    <row r="286" spans="1:21" s="339" customFormat="1" ht="18" customHeight="1" x14ac:dyDescent="0.25">
      <c r="A286" s="366"/>
      <c r="C286" s="366"/>
      <c r="D286" s="367" t="s">
        <v>339</v>
      </c>
      <c r="E286" s="367" t="s">
        <v>340</v>
      </c>
      <c r="F286" s="370">
        <v>2175000</v>
      </c>
      <c r="G286" s="371"/>
      <c r="H286" s="371"/>
      <c r="I286" s="371"/>
      <c r="J286" s="371"/>
      <c r="K286" s="371"/>
      <c r="L286" s="371">
        <f t="shared" si="183"/>
        <v>0</v>
      </c>
      <c r="M286" s="371">
        <f t="shared" si="184"/>
        <v>0</v>
      </c>
      <c r="N286" s="370">
        <f t="shared" si="182"/>
        <v>2175000</v>
      </c>
      <c r="P286" s="340"/>
      <c r="S286" s="347"/>
      <c r="T286" s="347"/>
      <c r="U286" s="342"/>
    </row>
    <row r="287" spans="1:21" s="339" customFormat="1" ht="18" customHeight="1" x14ac:dyDescent="0.25">
      <c r="A287" s="366"/>
      <c r="C287" s="366"/>
      <c r="D287" s="367" t="s">
        <v>367</v>
      </c>
      <c r="E287" s="367" t="s">
        <v>368</v>
      </c>
      <c r="F287" s="370">
        <v>55592100</v>
      </c>
      <c r="G287" s="371"/>
      <c r="H287" s="371"/>
      <c r="I287" s="371">
        <f>+G287+H287</f>
        <v>0</v>
      </c>
      <c r="J287" s="371"/>
      <c r="K287" s="371"/>
      <c r="L287" s="371">
        <f t="shared" si="183"/>
        <v>0</v>
      </c>
      <c r="M287" s="371">
        <f t="shared" si="184"/>
        <v>0</v>
      </c>
      <c r="N287" s="370">
        <f t="shared" si="182"/>
        <v>55592100</v>
      </c>
      <c r="P287" s="340"/>
      <c r="S287" s="347"/>
      <c r="T287" s="347"/>
      <c r="U287" s="342"/>
    </row>
    <row r="288" spans="1:21" s="339" customFormat="1" ht="22.5" customHeight="1" x14ac:dyDescent="0.25">
      <c r="A288" s="366"/>
      <c r="C288" s="366"/>
      <c r="D288" s="367" t="s">
        <v>369</v>
      </c>
      <c r="E288" s="367" t="s">
        <v>370</v>
      </c>
      <c r="F288" s="370">
        <v>7200000</v>
      </c>
      <c r="G288" s="371"/>
      <c r="H288" s="371"/>
      <c r="I288" s="371"/>
      <c r="J288" s="371"/>
      <c r="K288" s="371"/>
      <c r="L288" s="371">
        <f t="shared" si="183"/>
        <v>0</v>
      </c>
      <c r="M288" s="371">
        <f t="shared" si="184"/>
        <v>0</v>
      </c>
      <c r="N288" s="370">
        <f t="shared" si="182"/>
        <v>7200000</v>
      </c>
      <c r="P288" s="340"/>
      <c r="S288" s="347"/>
      <c r="T288" s="347"/>
      <c r="U288" s="342"/>
    </row>
    <row r="289" spans="1:21" s="339" customFormat="1" ht="18" customHeight="1" x14ac:dyDescent="0.25">
      <c r="A289" s="366"/>
      <c r="C289" s="366"/>
      <c r="D289" s="367" t="s">
        <v>70</v>
      </c>
      <c r="E289" s="367" t="s">
        <v>33</v>
      </c>
      <c r="F289" s="370">
        <v>5000000</v>
      </c>
      <c r="G289" s="371"/>
      <c r="H289" s="371"/>
      <c r="I289" s="371"/>
      <c r="J289" s="371"/>
      <c r="K289" s="371"/>
      <c r="L289" s="371">
        <f t="shared" si="183"/>
        <v>0</v>
      </c>
      <c r="M289" s="371">
        <f t="shared" si="184"/>
        <v>0</v>
      </c>
      <c r="N289" s="370">
        <f t="shared" si="182"/>
        <v>5000000</v>
      </c>
      <c r="P289" s="340"/>
      <c r="S289" s="347"/>
      <c r="T289" s="347"/>
      <c r="U289" s="342"/>
    </row>
    <row r="290" spans="1:21" s="339" customFormat="1" ht="18" customHeight="1" x14ac:dyDescent="0.25">
      <c r="A290" s="366"/>
      <c r="C290" s="366"/>
      <c r="D290" s="367" t="s">
        <v>374</v>
      </c>
      <c r="E290" s="367" t="s">
        <v>375</v>
      </c>
      <c r="F290" s="370">
        <v>2400000</v>
      </c>
      <c r="G290" s="371"/>
      <c r="H290" s="371"/>
      <c r="I290" s="371"/>
      <c r="J290" s="371"/>
      <c r="K290" s="371"/>
      <c r="L290" s="371">
        <f t="shared" si="183"/>
        <v>0</v>
      </c>
      <c r="M290" s="371">
        <f t="shared" si="184"/>
        <v>0</v>
      </c>
      <c r="N290" s="370">
        <f t="shared" si="182"/>
        <v>2400000</v>
      </c>
      <c r="P290" s="340"/>
      <c r="S290" s="347"/>
      <c r="T290" s="347"/>
      <c r="U290" s="342"/>
    </row>
    <row r="291" spans="1:21" s="339" customFormat="1" ht="18" customHeight="1" x14ac:dyDescent="0.25">
      <c r="A291" s="334"/>
      <c r="B291" s="335"/>
      <c r="C291" s="334"/>
      <c r="D291" s="365" t="s">
        <v>271</v>
      </c>
      <c r="E291" s="335" t="s">
        <v>272</v>
      </c>
      <c r="F291" s="337">
        <f t="shared" ref="F291:J291" si="185">+F292</f>
        <v>955400000</v>
      </c>
      <c r="G291" s="344">
        <f t="shared" si="185"/>
        <v>0</v>
      </c>
      <c r="H291" s="344">
        <f>+H292</f>
        <v>0</v>
      </c>
      <c r="I291" s="344">
        <f>+G291+H291</f>
        <v>0</v>
      </c>
      <c r="J291" s="344">
        <f t="shared" si="185"/>
        <v>0</v>
      </c>
      <c r="K291" s="344">
        <f>+K292</f>
        <v>72760000</v>
      </c>
      <c r="L291" s="344">
        <f t="shared" si="183"/>
        <v>72760000</v>
      </c>
      <c r="M291" s="344">
        <f t="shared" si="184"/>
        <v>72760000</v>
      </c>
      <c r="N291" s="337">
        <f>+F291-M291</f>
        <v>882640000</v>
      </c>
      <c r="P291" s="340"/>
      <c r="S291" s="347"/>
      <c r="T291" s="347"/>
      <c r="U291" s="342"/>
    </row>
    <row r="292" spans="1:21" s="339" customFormat="1" ht="18" customHeight="1" x14ac:dyDescent="0.25">
      <c r="A292" s="334"/>
      <c r="B292" s="352"/>
      <c r="C292" s="334"/>
      <c r="D292" s="335" t="s">
        <v>81</v>
      </c>
      <c r="E292" s="335" t="s">
        <v>31</v>
      </c>
      <c r="F292" s="337">
        <f>SUM(F293:F296)</f>
        <v>955400000</v>
      </c>
      <c r="G292" s="344">
        <f>SUM(G293:G296)</f>
        <v>0</v>
      </c>
      <c r="H292" s="344">
        <f>SUM(H293:H296)</f>
        <v>0</v>
      </c>
      <c r="I292" s="344">
        <f>+G292+H292</f>
        <v>0</v>
      </c>
      <c r="J292" s="344">
        <f>SUM(J293:J296)</f>
        <v>0</v>
      </c>
      <c r="K292" s="344">
        <f>SUM(K293:K296)</f>
        <v>72760000</v>
      </c>
      <c r="L292" s="344">
        <f t="shared" si="183"/>
        <v>72760000</v>
      </c>
      <c r="M292" s="344">
        <f t="shared" si="184"/>
        <v>72760000</v>
      </c>
      <c r="N292" s="337">
        <f>+F292-M292</f>
        <v>882640000</v>
      </c>
      <c r="P292" s="340"/>
      <c r="S292" s="347"/>
      <c r="T292" s="347"/>
      <c r="U292" s="342"/>
    </row>
    <row r="293" spans="1:21" s="339" customFormat="1" ht="18" customHeight="1" x14ac:dyDescent="0.25">
      <c r="A293" s="334"/>
      <c r="B293" s="352"/>
      <c r="C293" s="334"/>
      <c r="D293" s="335" t="s">
        <v>100</v>
      </c>
      <c r="E293" s="335" t="s">
        <v>101</v>
      </c>
      <c r="F293" s="337">
        <v>336000000</v>
      </c>
      <c r="G293" s="344"/>
      <c r="H293" s="344"/>
      <c r="I293" s="344">
        <f t="shared" ref="I293:I294" si="186">+G293+H293</f>
        <v>0</v>
      </c>
      <c r="J293" s="344"/>
      <c r="K293" s="344"/>
      <c r="L293" s="344">
        <f t="shared" si="183"/>
        <v>0</v>
      </c>
      <c r="M293" s="344">
        <f>+I293+L293</f>
        <v>0</v>
      </c>
      <c r="N293" s="337">
        <f t="shared" ref="N293:N296" si="187">+F293-M293</f>
        <v>336000000</v>
      </c>
      <c r="P293" s="340"/>
      <c r="S293" s="347"/>
      <c r="T293" s="347"/>
      <c r="U293" s="342"/>
    </row>
    <row r="294" spans="1:21" s="339" customFormat="1" ht="18" customHeight="1" x14ac:dyDescent="0.25">
      <c r="A294" s="334"/>
      <c r="B294" s="352"/>
      <c r="C294" s="334"/>
      <c r="D294" s="335" t="s">
        <v>474</v>
      </c>
      <c r="E294" s="335" t="s">
        <v>475</v>
      </c>
      <c r="F294" s="337">
        <v>350000000</v>
      </c>
      <c r="G294" s="344"/>
      <c r="H294" s="344"/>
      <c r="I294" s="344">
        <f t="shared" si="186"/>
        <v>0</v>
      </c>
      <c r="J294" s="344"/>
      <c r="K294" s="344"/>
      <c r="L294" s="344">
        <f t="shared" si="183"/>
        <v>0</v>
      </c>
      <c r="M294" s="344">
        <f>+I294+L294</f>
        <v>0</v>
      </c>
      <c r="N294" s="337">
        <f t="shared" si="187"/>
        <v>350000000</v>
      </c>
      <c r="P294" s="340"/>
      <c r="S294" s="347"/>
      <c r="T294" s="347"/>
      <c r="U294" s="342"/>
    </row>
    <row r="295" spans="1:21" s="339" customFormat="1" ht="18" customHeight="1" x14ac:dyDescent="0.25">
      <c r="A295" s="334"/>
      <c r="B295" s="352"/>
      <c r="C295" s="334"/>
      <c r="D295" s="335" t="s">
        <v>376</v>
      </c>
      <c r="E295" s="335" t="s">
        <v>377</v>
      </c>
      <c r="F295" s="337">
        <v>268800000</v>
      </c>
      <c r="G295" s="344">
        <v>0</v>
      </c>
      <c r="H295" s="344"/>
      <c r="I295" s="344">
        <f>+G295+H295</f>
        <v>0</v>
      </c>
      <c r="J295" s="344"/>
      <c r="K295" s="344">
        <v>72760000</v>
      </c>
      <c r="L295" s="344">
        <f t="shared" si="183"/>
        <v>72760000</v>
      </c>
      <c r="M295" s="344">
        <f>+I295+L295</f>
        <v>72760000</v>
      </c>
      <c r="N295" s="337">
        <f t="shared" si="187"/>
        <v>196040000</v>
      </c>
      <c r="P295" s="340"/>
      <c r="S295" s="346"/>
      <c r="T295" s="347"/>
      <c r="U295" s="342"/>
    </row>
    <row r="296" spans="1:21" s="339" customFormat="1" ht="18" customHeight="1" x14ac:dyDescent="0.25">
      <c r="A296" s="334"/>
      <c r="B296" s="352"/>
      <c r="C296" s="334"/>
      <c r="D296" s="335" t="s">
        <v>378</v>
      </c>
      <c r="E296" s="335" t="s">
        <v>379</v>
      </c>
      <c r="F296" s="337">
        <v>600000</v>
      </c>
      <c r="G296" s="344"/>
      <c r="H296" s="344"/>
      <c r="I296" s="344"/>
      <c r="J296" s="344"/>
      <c r="K296" s="344"/>
      <c r="L296" s="344">
        <f t="shared" si="183"/>
        <v>0</v>
      </c>
      <c r="M296" s="344">
        <f>+I296+L296</f>
        <v>0</v>
      </c>
      <c r="N296" s="337">
        <f t="shared" si="187"/>
        <v>600000</v>
      </c>
      <c r="P296" s="340"/>
      <c r="S296" s="346"/>
      <c r="T296" s="347"/>
      <c r="U296" s="342"/>
    </row>
    <row r="297" spans="1:21" s="388" customFormat="1" ht="18" customHeight="1" x14ac:dyDescent="0.25">
      <c r="A297" s="393"/>
      <c r="B297" s="393"/>
      <c r="C297" s="393"/>
      <c r="D297" s="393"/>
      <c r="E297" s="393"/>
      <c r="F297" s="394"/>
      <c r="G297" s="395"/>
      <c r="H297" s="395"/>
      <c r="I297" s="395"/>
      <c r="J297" s="395"/>
      <c r="K297" s="395"/>
      <c r="L297" s="395"/>
      <c r="M297" s="395"/>
      <c r="N297" s="394"/>
      <c r="P297" s="200"/>
      <c r="S297" s="221"/>
      <c r="T297" s="221"/>
      <c r="U297" s="389"/>
    </row>
    <row r="298" spans="1:21" s="319" customFormat="1" ht="21" customHeight="1" x14ac:dyDescent="0.25">
      <c r="A298" s="276"/>
      <c r="B298" s="305" t="s">
        <v>342</v>
      </c>
      <c r="C298" s="305"/>
      <c r="D298" s="305"/>
      <c r="E298" s="396" t="s">
        <v>341</v>
      </c>
      <c r="F298" s="359">
        <f>+F299+F312+F331+F337+F343</f>
        <v>2394721000</v>
      </c>
      <c r="G298" s="360">
        <f>+G299+G312+G331+G337+G343</f>
        <v>0</v>
      </c>
      <c r="H298" s="360">
        <f>+H299+H312+H331+H337+H343</f>
        <v>0</v>
      </c>
      <c r="I298" s="360">
        <f t="shared" ref="I298:I303" si="188">+G298+H298</f>
        <v>0</v>
      </c>
      <c r="J298" s="360">
        <f>+J299+J312+J331+J337+J343</f>
        <v>0</v>
      </c>
      <c r="K298" s="360">
        <f>+K299+K312+K331+K337+K343</f>
        <v>3000000</v>
      </c>
      <c r="L298" s="360">
        <f>+J298+K298</f>
        <v>3000000</v>
      </c>
      <c r="M298" s="360">
        <f t="shared" ref="M298" si="189">+I298+L298</f>
        <v>3000000</v>
      </c>
      <c r="N298" s="359">
        <f t="shared" ref="N298" si="190">+F298-M298</f>
        <v>2391721000</v>
      </c>
      <c r="P298" s="361"/>
      <c r="S298" s="362"/>
      <c r="T298" s="362"/>
      <c r="U298" s="350"/>
    </row>
    <row r="299" spans="1:21" s="319" customFormat="1" ht="35.25" customHeight="1" x14ac:dyDescent="0.25">
      <c r="A299" s="275">
        <v>16</v>
      </c>
      <c r="B299" s="314"/>
      <c r="C299" s="314" t="s">
        <v>476</v>
      </c>
      <c r="D299" s="315"/>
      <c r="E299" s="348" t="s">
        <v>477</v>
      </c>
      <c r="F299" s="317">
        <f t="shared" ref="F299:H300" si="191">+F300</f>
        <v>690000000</v>
      </c>
      <c r="G299" s="318">
        <f t="shared" si="191"/>
        <v>0</v>
      </c>
      <c r="H299" s="318">
        <f t="shared" si="191"/>
        <v>0</v>
      </c>
      <c r="I299" s="318">
        <f t="shared" si="188"/>
        <v>0</v>
      </c>
      <c r="J299" s="318">
        <f>+J300</f>
        <v>0</v>
      </c>
      <c r="K299" s="318">
        <f>+K300</f>
        <v>1400000</v>
      </c>
      <c r="L299" s="318">
        <f>+J299+K299</f>
        <v>1400000</v>
      </c>
      <c r="M299" s="318">
        <f>+I299+L299</f>
        <v>1400000</v>
      </c>
      <c r="N299" s="317">
        <f>+F299-M299</f>
        <v>688600000</v>
      </c>
      <c r="P299" s="320"/>
      <c r="R299" s="321"/>
      <c r="S299" s="349"/>
      <c r="T299" s="349"/>
      <c r="U299" s="350"/>
    </row>
    <row r="300" spans="1:21" s="329" customFormat="1" ht="18" customHeight="1" x14ac:dyDescent="0.25">
      <c r="A300" s="323"/>
      <c r="B300" s="324"/>
      <c r="C300" s="324"/>
      <c r="D300" s="325" t="s">
        <v>207</v>
      </c>
      <c r="E300" s="326" t="s">
        <v>262</v>
      </c>
      <c r="F300" s="327">
        <f t="shared" si="191"/>
        <v>690000000</v>
      </c>
      <c r="G300" s="328">
        <f t="shared" si="191"/>
        <v>0</v>
      </c>
      <c r="H300" s="328">
        <f t="shared" si="191"/>
        <v>0</v>
      </c>
      <c r="I300" s="328">
        <f t="shared" si="188"/>
        <v>0</v>
      </c>
      <c r="J300" s="328">
        <f>+J301</f>
        <v>0</v>
      </c>
      <c r="K300" s="328">
        <f>+K301</f>
        <v>1400000</v>
      </c>
      <c r="L300" s="328">
        <f t="shared" ref="L300:L304" si="192">+J300+K300</f>
        <v>1400000</v>
      </c>
      <c r="M300" s="328">
        <f t="shared" ref="M300:M311" si="193">+I300+L300</f>
        <v>1400000</v>
      </c>
      <c r="N300" s="327">
        <f t="shared" ref="N300:N311" si="194">+F300-M300</f>
        <v>688600000</v>
      </c>
      <c r="P300" s="330"/>
      <c r="R300" s="331"/>
      <c r="S300" s="351"/>
      <c r="T300" s="351"/>
      <c r="U300" s="333"/>
    </row>
    <row r="301" spans="1:21" s="381" customFormat="1" ht="18" customHeight="1" x14ac:dyDescent="0.25">
      <c r="A301" s="384"/>
      <c r="B301" s="397"/>
      <c r="C301" s="384"/>
      <c r="D301" s="335" t="s">
        <v>63</v>
      </c>
      <c r="E301" s="335" t="s">
        <v>30</v>
      </c>
      <c r="F301" s="337">
        <f>+F302+F305+F309</f>
        <v>690000000</v>
      </c>
      <c r="G301" s="344">
        <f>+G302+G305+G309</f>
        <v>0</v>
      </c>
      <c r="H301" s="344">
        <f>+H302+H305+H309</f>
        <v>0</v>
      </c>
      <c r="I301" s="344">
        <f t="shared" si="188"/>
        <v>0</v>
      </c>
      <c r="J301" s="344">
        <f>+J302+J305+J309</f>
        <v>0</v>
      </c>
      <c r="K301" s="344">
        <f>+K302+K305+K309</f>
        <v>1400000</v>
      </c>
      <c r="L301" s="344">
        <f t="shared" si="192"/>
        <v>1400000</v>
      </c>
      <c r="M301" s="344">
        <f t="shared" si="193"/>
        <v>1400000</v>
      </c>
      <c r="N301" s="337">
        <f t="shared" si="194"/>
        <v>688600000</v>
      </c>
      <c r="P301" s="340"/>
      <c r="S301" s="347"/>
      <c r="T301" s="347"/>
      <c r="U301" s="382"/>
    </row>
    <row r="302" spans="1:21" s="339" customFormat="1" ht="18" customHeight="1" x14ac:dyDescent="0.25">
      <c r="A302" s="334"/>
      <c r="B302" s="335"/>
      <c r="C302" s="335"/>
      <c r="D302" s="365" t="s">
        <v>263</v>
      </c>
      <c r="E302" s="335" t="s">
        <v>264</v>
      </c>
      <c r="F302" s="337">
        <f>+F303</f>
        <v>435000000</v>
      </c>
      <c r="G302" s="344">
        <f>+G303</f>
        <v>0</v>
      </c>
      <c r="H302" s="344">
        <f>+H303</f>
        <v>0</v>
      </c>
      <c r="I302" s="344">
        <f t="shared" si="188"/>
        <v>0</v>
      </c>
      <c r="J302" s="344">
        <f>+J303</f>
        <v>0</v>
      </c>
      <c r="K302" s="344">
        <f>+K303</f>
        <v>0</v>
      </c>
      <c r="L302" s="344">
        <f t="shared" si="192"/>
        <v>0</v>
      </c>
      <c r="M302" s="344">
        <f t="shared" si="193"/>
        <v>0</v>
      </c>
      <c r="N302" s="337">
        <f t="shared" si="194"/>
        <v>435000000</v>
      </c>
      <c r="P302" s="340"/>
      <c r="S302" s="347"/>
      <c r="T302" s="347"/>
      <c r="U302" s="342"/>
    </row>
    <row r="303" spans="1:21" s="381" customFormat="1" ht="18" customHeight="1" x14ac:dyDescent="0.25">
      <c r="A303" s="384"/>
      <c r="B303" s="397"/>
      <c r="C303" s="384"/>
      <c r="D303" s="335" t="s">
        <v>64</v>
      </c>
      <c r="E303" s="335" t="s">
        <v>65</v>
      </c>
      <c r="F303" s="337">
        <f>F304</f>
        <v>435000000</v>
      </c>
      <c r="G303" s="344">
        <f>+G304</f>
        <v>0</v>
      </c>
      <c r="H303" s="344">
        <f>+H304</f>
        <v>0</v>
      </c>
      <c r="I303" s="344">
        <f t="shared" si="188"/>
        <v>0</v>
      </c>
      <c r="J303" s="344">
        <f>+J304</f>
        <v>0</v>
      </c>
      <c r="K303" s="344">
        <f>+K304</f>
        <v>0</v>
      </c>
      <c r="L303" s="344">
        <f t="shared" si="192"/>
        <v>0</v>
      </c>
      <c r="M303" s="344">
        <f t="shared" si="193"/>
        <v>0</v>
      </c>
      <c r="N303" s="337">
        <f t="shared" si="194"/>
        <v>435000000</v>
      </c>
      <c r="P303" s="340"/>
      <c r="S303" s="347"/>
      <c r="T303" s="347"/>
      <c r="U303" s="382"/>
    </row>
    <row r="304" spans="1:21" s="339" customFormat="1" ht="18" customHeight="1" x14ac:dyDescent="0.25">
      <c r="A304" s="384"/>
      <c r="B304" s="397"/>
      <c r="C304" s="334"/>
      <c r="D304" s="335" t="s">
        <v>129</v>
      </c>
      <c r="E304" s="335" t="s">
        <v>130</v>
      </c>
      <c r="F304" s="337">
        <v>435000000</v>
      </c>
      <c r="G304" s="398"/>
      <c r="H304" s="398"/>
      <c r="I304" s="398"/>
      <c r="J304" s="344"/>
      <c r="K304" s="344"/>
      <c r="L304" s="344">
        <f t="shared" si="192"/>
        <v>0</v>
      </c>
      <c r="M304" s="344">
        <f t="shared" si="193"/>
        <v>0</v>
      </c>
      <c r="N304" s="337">
        <f t="shared" si="194"/>
        <v>435000000</v>
      </c>
      <c r="P304" s="340"/>
      <c r="S304" s="346"/>
      <c r="T304" s="347"/>
      <c r="U304" s="342"/>
    </row>
    <row r="305" spans="1:21" s="339" customFormat="1" ht="20.25" x14ac:dyDescent="0.25">
      <c r="A305" s="334"/>
      <c r="B305" s="335"/>
      <c r="C305" s="335"/>
      <c r="D305" s="365" t="s">
        <v>271</v>
      </c>
      <c r="E305" s="335" t="s">
        <v>272</v>
      </c>
      <c r="F305" s="337">
        <f>+F306</f>
        <v>79500000</v>
      </c>
      <c r="G305" s="344">
        <f>+G306</f>
        <v>0</v>
      </c>
      <c r="H305" s="344">
        <f>+H306</f>
        <v>0</v>
      </c>
      <c r="I305" s="344">
        <f t="shared" ref="I305:I316" si="195">+G305+H305</f>
        <v>0</v>
      </c>
      <c r="J305" s="344">
        <f>+J306</f>
        <v>0</v>
      </c>
      <c r="K305" s="344">
        <f>+K306</f>
        <v>1400000</v>
      </c>
      <c r="L305" s="344">
        <f>+J305+K305</f>
        <v>1400000</v>
      </c>
      <c r="M305" s="344">
        <f t="shared" si="193"/>
        <v>1400000</v>
      </c>
      <c r="N305" s="337">
        <f t="shared" si="194"/>
        <v>78100000</v>
      </c>
      <c r="P305" s="340"/>
      <c r="S305" s="346"/>
      <c r="T305" s="347"/>
      <c r="U305" s="342"/>
    </row>
    <row r="306" spans="1:21" s="381" customFormat="1" ht="18" customHeight="1" x14ac:dyDescent="0.25">
      <c r="A306" s="334"/>
      <c r="B306" s="352"/>
      <c r="C306" s="334"/>
      <c r="D306" s="335" t="s">
        <v>81</v>
      </c>
      <c r="E306" s="335" t="s">
        <v>31</v>
      </c>
      <c r="F306" s="337">
        <f>F308+F307</f>
        <v>79500000</v>
      </c>
      <c r="G306" s="344">
        <f>SUM(G307:G308)</f>
        <v>0</v>
      </c>
      <c r="H306" s="344">
        <f>SUM(H307:H308)</f>
        <v>0</v>
      </c>
      <c r="I306" s="344">
        <f t="shared" si="195"/>
        <v>0</v>
      </c>
      <c r="J306" s="344">
        <f>SUM(J307:J308)</f>
        <v>0</v>
      </c>
      <c r="K306" s="344">
        <f>SUM(K307:K308)</f>
        <v>1400000</v>
      </c>
      <c r="L306" s="344">
        <f>+J306+K306</f>
        <v>1400000</v>
      </c>
      <c r="M306" s="344">
        <f t="shared" si="193"/>
        <v>1400000</v>
      </c>
      <c r="N306" s="337">
        <f t="shared" si="194"/>
        <v>78100000</v>
      </c>
      <c r="P306" s="340"/>
      <c r="R306" s="385"/>
      <c r="S306" s="346"/>
      <c r="T306" s="347"/>
      <c r="U306" s="382"/>
    </row>
    <row r="307" spans="1:21" s="381" customFormat="1" ht="18" customHeight="1" x14ac:dyDescent="0.25">
      <c r="A307" s="334"/>
      <c r="B307" s="352"/>
      <c r="C307" s="334"/>
      <c r="D307" s="335" t="s">
        <v>82</v>
      </c>
      <c r="E307" s="335" t="s">
        <v>83</v>
      </c>
      <c r="F307" s="337">
        <v>18000000</v>
      </c>
      <c r="G307" s="344"/>
      <c r="H307" s="344"/>
      <c r="I307" s="344">
        <f t="shared" si="195"/>
        <v>0</v>
      </c>
      <c r="J307" s="344"/>
      <c r="K307" s="344">
        <v>1400000</v>
      </c>
      <c r="L307" s="344">
        <f>J307+K307</f>
        <v>1400000</v>
      </c>
      <c r="M307" s="344">
        <f t="shared" si="193"/>
        <v>1400000</v>
      </c>
      <c r="N307" s="337">
        <f t="shared" si="194"/>
        <v>16600000</v>
      </c>
      <c r="P307" s="340"/>
      <c r="S307" s="346"/>
      <c r="T307" s="347"/>
      <c r="U307" s="382"/>
    </row>
    <row r="308" spans="1:21" s="381" customFormat="1" ht="18" customHeight="1" x14ac:dyDescent="0.25">
      <c r="A308" s="334"/>
      <c r="B308" s="352"/>
      <c r="C308" s="334"/>
      <c r="D308" s="335" t="s">
        <v>343</v>
      </c>
      <c r="E308" s="335" t="s">
        <v>344</v>
      </c>
      <c r="F308" s="337">
        <v>61500000</v>
      </c>
      <c r="G308" s="344"/>
      <c r="H308" s="344"/>
      <c r="I308" s="344">
        <f t="shared" si="195"/>
        <v>0</v>
      </c>
      <c r="J308" s="344"/>
      <c r="K308" s="344"/>
      <c r="L308" s="344">
        <f>J308+K308</f>
        <v>0</v>
      </c>
      <c r="M308" s="344">
        <f t="shared" si="193"/>
        <v>0</v>
      </c>
      <c r="N308" s="337">
        <f t="shared" si="194"/>
        <v>61500000</v>
      </c>
      <c r="P308" s="340"/>
      <c r="S308" s="346"/>
      <c r="T308" s="347"/>
      <c r="U308" s="382"/>
    </row>
    <row r="309" spans="1:21" s="339" customFormat="1" ht="20.25" x14ac:dyDescent="0.25">
      <c r="A309" s="334"/>
      <c r="B309" s="335"/>
      <c r="C309" s="334"/>
      <c r="D309" s="365" t="s">
        <v>275</v>
      </c>
      <c r="E309" s="335" t="s">
        <v>276</v>
      </c>
      <c r="F309" s="337">
        <f>+F310</f>
        <v>175500000</v>
      </c>
      <c r="G309" s="344">
        <f>+G310</f>
        <v>0</v>
      </c>
      <c r="H309" s="344">
        <f>+H310</f>
        <v>0</v>
      </c>
      <c r="I309" s="344">
        <f t="shared" si="195"/>
        <v>0</v>
      </c>
      <c r="J309" s="344">
        <f>+J310</f>
        <v>0</v>
      </c>
      <c r="K309" s="344">
        <f>+K310</f>
        <v>0</v>
      </c>
      <c r="L309" s="344">
        <f>+J309+K309</f>
        <v>0</v>
      </c>
      <c r="M309" s="344">
        <f t="shared" si="193"/>
        <v>0</v>
      </c>
      <c r="N309" s="337">
        <f t="shared" si="194"/>
        <v>175500000</v>
      </c>
      <c r="P309" s="340"/>
      <c r="S309" s="346"/>
      <c r="T309" s="347"/>
      <c r="U309" s="342"/>
    </row>
    <row r="310" spans="1:21" s="381" customFormat="1" ht="18" customHeight="1" x14ac:dyDescent="0.25">
      <c r="A310" s="334"/>
      <c r="B310" s="352"/>
      <c r="C310" s="334"/>
      <c r="D310" s="335" t="s">
        <v>114</v>
      </c>
      <c r="E310" s="335" t="s">
        <v>43</v>
      </c>
      <c r="F310" s="337">
        <f>+F311</f>
        <v>175500000</v>
      </c>
      <c r="G310" s="344">
        <f>SUM(G311)</f>
        <v>0</v>
      </c>
      <c r="H310" s="344">
        <f>SUM(H311)</f>
        <v>0</v>
      </c>
      <c r="I310" s="344">
        <f t="shared" si="195"/>
        <v>0</v>
      </c>
      <c r="J310" s="344">
        <f>SUM(J311)</f>
        <v>0</v>
      </c>
      <c r="K310" s="344">
        <f>SUM(K311)</f>
        <v>0</v>
      </c>
      <c r="L310" s="344">
        <f>+J310+K310</f>
        <v>0</v>
      </c>
      <c r="M310" s="344">
        <f t="shared" si="193"/>
        <v>0</v>
      </c>
      <c r="N310" s="337">
        <f t="shared" si="194"/>
        <v>175500000</v>
      </c>
      <c r="P310" s="340"/>
      <c r="R310" s="385"/>
      <c r="S310" s="346"/>
      <c r="T310" s="347"/>
      <c r="U310" s="382"/>
    </row>
    <row r="311" spans="1:21" s="388" customFormat="1" ht="33.75" customHeight="1" x14ac:dyDescent="0.25">
      <c r="A311" s="372"/>
      <c r="B311" s="153"/>
      <c r="C311" s="372"/>
      <c r="D311" s="373" t="s">
        <v>345</v>
      </c>
      <c r="E311" s="375" t="s">
        <v>346</v>
      </c>
      <c r="F311" s="376">
        <v>175500000</v>
      </c>
      <c r="G311" s="377"/>
      <c r="H311" s="377"/>
      <c r="I311" s="371">
        <f t="shared" si="195"/>
        <v>0</v>
      </c>
      <c r="J311" s="377"/>
      <c r="K311" s="377"/>
      <c r="L311" s="377">
        <f>J311+K311</f>
        <v>0</v>
      </c>
      <c r="M311" s="377">
        <f t="shared" si="193"/>
        <v>0</v>
      </c>
      <c r="N311" s="376">
        <f t="shared" si="194"/>
        <v>175500000</v>
      </c>
      <c r="P311" s="200"/>
      <c r="S311" s="358"/>
      <c r="T311" s="221"/>
      <c r="U311" s="389"/>
    </row>
    <row r="312" spans="1:21" s="319" customFormat="1" ht="22.5" customHeight="1" x14ac:dyDescent="0.25">
      <c r="A312" s="275">
        <v>17</v>
      </c>
      <c r="B312" s="314"/>
      <c r="C312" s="314" t="s">
        <v>143</v>
      </c>
      <c r="D312" s="315"/>
      <c r="E312" s="348" t="s">
        <v>144</v>
      </c>
      <c r="F312" s="317">
        <f t="shared" ref="F312:H313" si="196">+F313</f>
        <v>1024733000</v>
      </c>
      <c r="G312" s="318">
        <f t="shared" si="196"/>
        <v>0</v>
      </c>
      <c r="H312" s="318">
        <f t="shared" si="196"/>
        <v>0</v>
      </c>
      <c r="I312" s="318">
        <f t="shared" si="195"/>
        <v>0</v>
      </c>
      <c r="J312" s="318">
        <f>+J313</f>
        <v>0</v>
      </c>
      <c r="K312" s="318">
        <f>+K313</f>
        <v>1600000</v>
      </c>
      <c r="L312" s="318">
        <f>+J312+K312</f>
        <v>1600000</v>
      </c>
      <c r="M312" s="318">
        <f>+I312+L312</f>
        <v>1600000</v>
      </c>
      <c r="N312" s="317">
        <f>+F312-M312</f>
        <v>1023133000</v>
      </c>
      <c r="P312" s="320"/>
      <c r="R312" s="321"/>
      <c r="S312" s="349"/>
      <c r="T312" s="349"/>
      <c r="U312" s="350"/>
    </row>
    <row r="313" spans="1:21" s="329" customFormat="1" ht="18" customHeight="1" x14ac:dyDescent="0.25">
      <c r="A313" s="323"/>
      <c r="B313" s="324"/>
      <c r="C313" s="324"/>
      <c r="D313" s="325" t="s">
        <v>207</v>
      </c>
      <c r="E313" s="326" t="s">
        <v>262</v>
      </c>
      <c r="F313" s="327">
        <f t="shared" si="196"/>
        <v>1024733000</v>
      </c>
      <c r="G313" s="328">
        <f t="shared" si="196"/>
        <v>0</v>
      </c>
      <c r="H313" s="328">
        <f t="shared" si="196"/>
        <v>0</v>
      </c>
      <c r="I313" s="328">
        <f t="shared" si="195"/>
        <v>0</v>
      </c>
      <c r="J313" s="328">
        <f>+J314</f>
        <v>0</v>
      </c>
      <c r="K313" s="328">
        <f>+K314</f>
        <v>1600000</v>
      </c>
      <c r="L313" s="328">
        <f>+J313+K313</f>
        <v>1600000</v>
      </c>
      <c r="M313" s="328">
        <f t="shared" ref="M313:M330" si="197">+I313+L313</f>
        <v>1600000</v>
      </c>
      <c r="N313" s="327">
        <f t="shared" ref="N313:N330" si="198">+F313-M313</f>
        <v>1023133000</v>
      </c>
      <c r="P313" s="330"/>
      <c r="R313" s="331"/>
      <c r="S313" s="351"/>
      <c r="T313" s="351"/>
      <c r="U313" s="333"/>
    </row>
    <row r="314" spans="1:21" s="381" customFormat="1" ht="18" customHeight="1" x14ac:dyDescent="0.25">
      <c r="A314" s="384"/>
      <c r="B314" s="397"/>
      <c r="C314" s="384"/>
      <c r="D314" s="335" t="s">
        <v>63</v>
      </c>
      <c r="E314" s="335" t="s">
        <v>30</v>
      </c>
      <c r="F314" s="337">
        <f>+F315+F319+F322</f>
        <v>1024733000</v>
      </c>
      <c r="G314" s="344">
        <f>+G315+G319+G322</f>
        <v>0</v>
      </c>
      <c r="H314" s="344">
        <f>+H315+H319+H322</f>
        <v>0</v>
      </c>
      <c r="I314" s="344">
        <f t="shared" si="195"/>
        <v>0</v>
      </c>
      <c r="J314" s="344">
        <f>+J315+J319+J322</f>
        <v>0</v>
      </c>
      <c r="K314" s="344">
        <f>+K315+K319+K322</f>
        <v>1600000</v>
      </c>
      <c r="L314" s="344">
        <f>+J314+K314</f>
        <v>1600000</v>
      </c>
      <c r="M314" s="344">
        <f t="shared" si="197"/>
        <v>1600000</v>
      </c>
      <c r="N314" s="337">
        <f t="shared" si="198"/>
        <v>1023133000</v>
      </c>
      <c r="P314" s="340"/>
      <c r="S314" s="347"/>
      <c r="T314" s="347"/>
      <c r="U314" s="382"/>
    </row>
    <row r="315" spans="1:21" s="339" customFormat="1" ht="18" customHeight="1" x14ac:dyDescent="0.25">
      <c r="A315" s="334"/>
      <c r="B315" s="335"/>
      <c r="C315" s="335"/>
      <c r="D315" s="365" t="s">
        <v>263</v>
      </c>
      <c r="E315" s="335" t="s">
        <v>264</v>
      </c>
      <c r="F315" s="337">
        <f>+F316</f>
        <v>160643000</v>
      </c>
      <c r="G315" s="344">
        <f>+G316</f>
        <v>0</v>
      </c>
      <c r="H315" s="344">
        <f>+H316</f>
        <v>0</v>
      </c>
      <c r="I315" s="344">
        <f t="shared" si="195"/>
        <v>0</v>
      </c>
      <c r="J315" s="344">
        <f>+J316</f>
        <v>0</v>
      </c>
      <c r="K315" s="344">
        <f>+K316</f>
        <v>0</v>
      </c>
      <c r="L315" s="344">
        <f>+J315+K315</f>
        <v>0</v>
      </c>
      <c r="M315" s="344">
        <f t="shared" si="197"/>
        <v>0</v>
      </c>
      <c r="N315" s="337">
        <f t="shared" si="198"/>
        <v>160643000</v>
      </c>
      <c r="P315" s="340"/>
      <c r="S315" s="347"/>
      <c r="T315" s="347"/>
      <c r="U315" s="342"/>
    </row>
    <row r="316" spans="1:21" s="381" customFormat="1" ht="18" customHeight="1" x14ac:dyDescent="0.25">
      <c r="A316" s="384"/>
      <c r="B316" s="397"/>
      <c r="C316" s="384"/>
      <c r="D316" s="335" t="s">
        <v>64</v>
      </c>
      <c r="E316" s="335" t="s">
        <v>65</v>
      </c>
      <c r="F316" s="337">
        <f>F317+F318</f>
        <v>160643000</v>
      </c>
      <c r="G316" s="344">
        <f>+G317</f>
        <v>0</v>
      </c>
      <c r="H316" s="344">
        <f>+H317</f>
        <v>0</v>
      </c>
      <c r="I316" s="344">
        <f t="shared" si="195"/>
        <v>0</v>
      </c>
      <c r="J316" s="344">
        <f>+J317</f>
        <v>0</v>
      </c>
      <c r="K316" s="344">
        <f>+K317</f>
        <v>0</v>
      </c>
      <c r="L316" s="344">
        <f>+J316+K316</f>
        <v>0</v>
      </c>
      <c r="M316" s="344">
        <f t="shared" si="197"/>
        <v>0</v>
      </c>
      <c r="N316" s="337">
        <f t="shared" si="198"/>
        <v>160643000</v>
      </c>
      <c r="P316" s="340"/>
      <c r="S316" s="347"/>
      <c r="T316" s="347"/>
      <c r="U316" s="382"/>
    </row>
    <row r="317" spans="1:21" s="339" customFormat="1" ht="18" customHeight="1" x14ac:dyDescent="0.25">
      <c r="A317" s="384"/>
      <c r="B317" s="397"/>
      <c r="C317" s="334"/>
      <c r="D317" s="335" t="s">
        <v>339</v>
      </c>
      <c r="E317" s="335" t="s">
        <v>340</v>
      </c>
      <c r="F317" s="337">
        <v>99000000</v>
      </c>
      <c r="G317" s="398"/>
      <c r="H317" s="398"/>
      <c r="I317" s="398"/>
      <c r="J317" s="344"/>
      <c r="K317" s="344"/>
      <c r="L317" s="344">
        <f t="shared" ref="L317:L330" si="199">+J317+K317</f>
        <v>0</v>
      </c>
      <c r="M317" s="344">
        <f t="shared" si="197"/>
        <v>0</v>
      </c>
      <c r="N317" s="337">
        <f t="shared" si="198"/>
        <v>99000000</v>
      </c>
      <c r="P317" s="343"/>
      <c r="S317" s="346"/>
      <c r="T317" s="347"/>
      <c r="U317" s="342"/>
    </row>
    <row r="318" spans="1:21" s="339" customFormat="1" ht="18" customHeight="1" x14ac:dyDescent="0.25">
      <c r="A318" s="384"/>
      <c r="B318" s="397"/>
      <c r="C318" s="334"/>
      <c r="D318" s="335" t="s">
        <v>361</v>
      </c>
      <c r="E318" s="335" t="s">
        <v>362</v>
      </c>
      <c r="F318" s="337">
        <v>61643000</v>
      </c>
      <c r="G318" s="398"/>
      <c r="H318" s="398"/>
      <c r="I318" s="398"/>
      <c r="J318" s="344"/>
      <c r="K318" s="344"/>
      <c r="L318" s="344">
        <f t="shared" si="199"/>
        <v>0</v>
      </c>
      <c r="M318" s="344">
        <f t="shared" si="197"/>
        <v>0</v>
      </c>
      <c r="N318" s="337">
        <f t="shared" si="198"/>
        <v>61643000</v>
      </c>
      <c r="P318" s="343"/>
      <c r="S318" s="346"/>
      <c r="T318" s="347"/>
      <c r="U318" s="342"/>
    </row>
    <row r="319" spans="1:21" s="339" customFormat="1" ht="18" customHeight="1" x14ac:dyDescent="0.25">
      <c r="A319" s="334"/>
      <c r="B319" s="335"/>
      <c r="C319" s="335"/>
      <c r="D319" s="365" t="s">
        <v>271</v>
      </c>
      <c r="E319" s="335" t="s">
        <v>272</v>
      </c>
      <c r="F319" s="337">
        <f>+F320</f>
        <v>36480000</v>
      </c>
      <c r="G319" s="344">
        <f>+G320</f>
        <v>0</v>
      </c>
      <c r="H319" s="344">
        <f>+H320</f>
        <v>0</v>
      </c>
      <c r="I319" s="344">
        <f>+G319+H319</f>
        <v>0</v>
      </c>
      <c r="J319" s="344">
        <f>+J320</f>
        <v>0</v>
      </c>
      <c r="K319" s="344">
        <f>+K320</f>
        <v>1600000</v>
      </c>
      <c r="L319" s="344">
        <f t="shared" si="199"/>
        <v>1600000</v>
      </c>
      <c r="M319" s="344">
        <f t="shared" si="197"/>
        <v>1600000</v>
      </c>
      <c r="N319" s="337">
        <f t="shared" si="198"/>
        <v>34880000</v>
      </c>
      <c r="P319" s="343"/>
      <c r="S319" s="346"/>
      <c r="T319" s="347"/>
      <c r="U319" s="342"/>
    </row>
    <row r="320" spans="1:21" s="381" customFormat="1" ht="18" customHeight="1" x14ac:dyDescent="0.25">
      <c r="A320" s="384"/>
      <c r="B320" s="397"/>
      <c r="C320" s="384"/>
      <c r="D320" s="335" t="s">
        <v>81</v>
      </c>
      <c r="E320" s="335" t="s">
        <v>31</v>
      </c>
      <c r="F320" s="337">
        <f>F321</f>
        <v>36480000</v>
      </c>
      <c r="G320" s="344">
        <f>+G321</f>
        <v>0</v>
      </c>
      <c r="H320" s="344">
        <f>+H321</f>
        <v>0</v>
      </c>
      <c r="I320" s="344">
        <f>+G320+H320</f>
        <v>0</v>
      </c>
      <c r="J320" s="344">
        <f>+J321</f>
        <v>0</v>
      </c>
      <c r="K320" s="344">
        <f>+K321</f>
        <v>1600000</v>
      </c>
      <c r="L320" s="344">
        <f t="shared" si="199"/>
        <v>1600000</v>
      </c>
      <c r="M320" s="344">
        <f t="shared" si="197"/>
        <v>1600000</v>
      </c>
      <c r="N320" s="337">
        <f t="shared" si="198"/>
        <v>34880000</v>
      </c>
      <c r="P320" s="343"/>
      <c r="S320" s="346"/>
      <c r="T320" s="347"/>
      <c r="U320" s="382"/>
    </row>
    <row r="321" spans="1:21" s="339" customFormat="1" ht="18" customHeight="1" x14ac:dyDescent="0.25">
      <c r="A321" s="384"/>
      <c r="B321" s="397"/>
      <c r="C321" s="334"/>
      <c r="D321" s="335" t="s">
        <v>82</v>
      </c>
      <c r="E321" s="335" t="s">
        <v>83</v>
      </c>
      <c r="F321" s="337">
        <v>36480000</v>
      </c>
      <c r="G321" s="398"/>
      <c r="H321" s="344"/>
      <c r="I321" s="398"/>
      <c r="J321" s="344"/>
      <c r="K321" s="344">
        <v>1600000</v>
      </c>
      <c r="L321" s="344">
        <f t="shared" si="199"/>
        <v>1600000</v>
      </c>
      <c r="M321" s="344">
        <f t="shared" si="197"/>
        <v>1600000</v>
      </c>
      <c r="N321" s="337">
        <f t="shared" si="198"/>
        <v>34880000</v>
      </c>
      <c r="P321" s="343"/>
      <c r="S321" s="346"/>
      <c r="T321" s="347"/>
      <c r="U321" s="342"/>
    </row>
    <row r="322" spans="1:21" s="339" customFormat="1" ht="18" customHeight="1" x14ac:dyDescent="0.25">
      <c r="A322" s="334"/>
      <c r="B322" s="335"/>
      <c r="C322" s="335"/>
      <c r="D322" s="365" t="s">
        <v>275</v>
      </c>
      <c r="E322" s="335" t="s">
        <v>276</v>
      </c>
      <c r="F322" s="337">
        <f>+F323</f>
        <v>827610000</v>
      </c>
      <c r="G322" s="344">
        <f>+G323</f>
        <v>0</v>
      </c>
      <c r="H322" s="344">
        <f>+H323</f>
        <v>0</v>
      </c>
      <c r="I322" s="344">
        <f>+G322+H322</f>
        <v>0</v>
      </c>
      <c r="J322" s="344">
        <f>+J323</f>
        <v>0</v>
      </c>
      <c r="K322" s="344">
        <f>+K323</f>
        <v>0</v>
      </c>
      <c r="L322" s="344">
        <f>+J322+K322</f>
        <v>0</v>
      </c>
      <c r="M322" s="344">
        <f t="shared" si="197"/>
        <v>0</v>
      </c>
      <c r="N322" s="337">
        <f t="shared" si="198"/>
        <v>827610000</v>
      </c>
      <c r="P322" s="343"/>
      <c r="S322" s="346"/>
      <c r="T322" s="347"/>
      <c r="U322" s="342"/>
    </row>
    <row r="323" spans="1:21" s="381" customFormat="1" ht="18" customHeight="1" x14ac:dyDescent="0.25">
      <c r="A323" s="384"/>
      <c r="B323" s="397"/>
      <c r="C323" s="384"/>
      <c r="D323" s="335" t="s">
        <v>114</v>
      </c>
      <c r="E323" s="335" t="s">
        <v>43</v>
      </c>
      <c r="F323" s="337">
        <f>SUM(F324:F330)</f>
        <v>827610000</v>
      </c>
      <c r="G323" s="344">
        <f>SUM(G325:G330)</f>
        <v>0</v>
      </c>
      <c r="H323" s="344">
        <f>SUM(H325:H330)</f>
        <v>0</v>
      </c>
      <c r="I323" s="344">
        <f>+G323+H323</f>
        <v>0</v>
      </c>
      <c r="J323" s="344">
        <f>SUM(J325:J330)</f>
        <v>0</v>
      </c>
      <c r="K323" s="344">
        <f>SUM(K325:K330)</f>
        <v>0</v>
      </c>
      <c r="L323" s="344">
        <f>+J323+K323</f>
        <v>0</v>
      </c>
      <c r="M323" s="344">
        <f t="shared" si="197"/>
        <v>0</v>
      </c>
      <c r="N323" s="337">
        <f t="shared" si="198"/>
        <v>827610000</v>
      </c>
      <c r="P323" s="343"/>
      <c r="S323" s="346"/>
      <c r="T323" s="347"/>
      <c r="U323" s="382"/>
    </row>
    <row r="324" spans="1:21" s="339" customFormat="1" ht="35.25" customHeight="1" x14ac:dyDescent="0.25">
      <c r="A324" s="399"/>
      <c r="B324" s="381"/>
      <c r="C324" s="366"/>
      <c r="D324" s="367" t="s">
        <v>478</v>
      </c>
      <c r="E324" s="369" t="s">
        <v>479</v>
      </c>
      <c r="F324" s="370">
        <v>31700000</v>
      </c>
      <c r="G324" s="400"/>
      <c r="H324" s="400"/>
      <c r="I324" s="400"/>
      <c r="J324" s="371"/>
      <c r="K324" s="371"/>
      <c r="L324" s="371">
        <f t="shared" ref="L324" si="200">+J324+K324</f>
        <v>0</v>
      </c>
      <c r="M324" s="371">
        <f t="shared" si="197"/>
        <v>0</v>
      </c>
      <c r="N324" s="370">
        <f t="shared" si="198"/>
        <v>31700000</v>
      </c>
      <c r="P324" s="343"/>
      <c r="S324" s="346"/>
      <c r="T324" s="347"/>
      <c r="U324" s="342"/>
    </row>
    <row r="325" spans="1:21" s="339" customFormat="1" ht="35.25" customHeight="1" x14ac:dyDescent="0.25">
      <c r="A325" s="399"/>
      <c r="B325" s="381"/>
      <c r="C325" s="366"/>
      <c r="D325" s="367" t="s">
        <v>347</v>
      </c>
      <c r="E325" s="369" t="s">
        <v>348</v>
      </c>
      <c r="F325" s="370">
        <v>8500000</v>
      </c>
      <c r="G325" s="400"/>
      <c r="H325" s="400"/>
      <c r="I325" s="400"/>
      <c r="J325" s="371"/>
      <c r="K325" s="371"/>
      <c r="L325" s="371">
        <f t="shared" si="199"/>
        <v>0</v>
      </c>
      <c r="M325" s="371">
        <f t="shared" si="197"/>
        <v>0</v>
      </c>
      <c r="N325" s="370">
        <f t="shared" si="198"/>
        <v>8500000</v>
      </c>
      <c r="P325" s="343"/>
      <c r="S325" s="346"/>
      <c r="T325" s="347"/>
      <c r="U325" s="342"/>
    </row>
    <row r="326" spans="1:21" s="339" customFormat="1" ht="35.25" customHeight="1" x14ac:dyDescent="0.25">
      <c r="A326" s="399"/>
      <c r="B326" s="381"/>
      <c r="C326" s="367"/>
      <c r="D326" s="367" t="s">
        <v>349</v>
      </c>
      <c r="E326" s="369" t="s">
        <v>350</v>
      </c>
      <c r="F326" s="370">
        <v>99960000</v>
      </c>
      <c r="G326" s="400"/>
      <c r="H326" s="400"/>
      <c r="I326" s="400"/>
      <c r="J326" s="371"/>
      <c r="K326" s="371"/>
      <c r="L326" s="371">
        <f t="shared" si="199"/>
        <v>0</v>
      </c>
      <c r="M326" s="371">
        <f t="shared" si="197"/>
        <v>0</v>
      </c>
      <c r="N326" s="370">
        <f>+F326-M326</f>
        <v>99960000</v>
      </c>
      <c r="P326" s="343"/>
      <c r="S326" s="346"/>
      <c r="T326" s="347"/>
      <c r="U326" s="342"/>
    </row>
    <row r="327" spans="1:21" s="339" customFormat="1" ht="35.25" customHeight="1" x14ac:dyDescent="0.25">
      <c r="A327" s="399"/>
      <c r="B327" s="381"/>
      <c r="C327" s="367"/>
      <c r="D327" s="367" t="s">
        <v>145</v>
      </c>
      <c r="E327" s="369" t="s">
        <v>351</v>
      </c>
      <c r="F327" s="370">
        <v>73200000</v>
      </c>
      <c r="G327" s="400"/>
      <c r="H327" s="400"/>
      <c r="I327" s="400"/>
      <c r="J327" s="371"/>
      <c r="K327" s="371"/>
      <c r="L327" s="371">
        <f t="shared" si="199"/>
        <v>0</v>
      </c>
      <c r="M327" s="371">
        <f t="shared" si="197"/>
        <v>0</v>
      </c>
      <c r="N327" s="370">
        <f>+F327-M327</f>
        <v>73200000</v>
      </c>
      <c r="P327" s="343"/>
      <c r="S327" s="346"/>
      <c r="T327" s="347"/>
      <c r="U327" s="342"/>
    </row>
    <row r="328" spans="1:21" s="339" customFormat="1" ht="26.25" customHeight="1" x14ac:dyDescent="0.25">
      <c r="A328" s="399"/>
      <c r="B328" s="381"/>
      <c r="C328" s="367"/>
      <c r="D328" s="367" t="s">
        <v>115</v>
      </c>
      <c r="E328" s="369" t="s">
        <v>116</v>
      </c>
      <c r="F328" s="370">
        <v>109500000</v>
      </c>
      <c r="G328" s="400"/>
      <c r="H328" s="400"/>
      <c r="I328" s="400"/>
      <c r="J328" s="371"/>
      <c r="K328" s="371"/>
      <c r="L328" s="371">
        <f t="shared" si="199"/>
        <v>0</v>
      </c>
      <c r="M328" s="371">
        <f t="shared" si="197"/>
        <v>0</v>
      </c>
      <c r="N328" s="370">
        <f>+F328-M328</f>
        <v>109500000</v>
      </c>
      <c r="P328" s="340"/>
      <c r="S328" s="346"/>
      <c r="T328" s="347"/>
      <c r="U328" s="342"/>
    </row>
    <row r="329" spans="1:21" s="339" customFormat="1" ht="33.75" customHeight="1" x14ac:dyDescent="0.25">
      <c r="A329" s="399"/>
      <c r="B329" s="381"/>
      <c r="C329" s="367"/>
      <c r="D329" s="367" t="s">
        <v>352</v>
      </c>
      <c r="E329" s="369" t="s">
        <v>353</v>
      </c>
      <c r="F329" s="370">
        <v>108500000</v>
      </c>
      <c r="G329" s="400"/>
      <c r="H329" s="400"/>
      <c r="I329" s="400"/>
      <c r="J329" s="371"/>
      <c r="K329" s="371"/>
      <c r="L329" s="371">
        <f t="shared" si="199"/>
        <v>0</v>
      </c>
      <c r="M329" s="371">
        <f t="shared" si="197"/>
        <v>0</v>
      </c>
      <c r="N329" s="370">
        <f t="shared" si="198"/>
        <v>108500000</v>
      </c>
      <c r="P329" s="340"/>
      <c r="S329" s="346"/>
      <c r="T329" s="347"/>
      <c r="U329" s="342"/>
    </row>
    <row r="330" spans="1:21" s="153" customFormat="1" ht="18" customHeight="1" x14ac:dyDescent="0.25">
      <c r="A330" s="393"/>
      <c r="B330" s="401"/>
      <c r="C330" s="355"/>
      <c r="D330" s="355" t="s">
        <v>354</v>
      </c>
      <c r="E330" s="402" t="s">
        <v>355</v>
      </c>
      <c r="F330" s="356">
        <v>396250000</v>
      </c>
      <c r="G330" s="357"/>
      <c r="H330" s="357"/>
      <c r="I330" s="357">
        <f t="shared" ref="I330:I347" si="201">+G330+H330</f>
        <v>0</v>
      </c>
      <c r="J330" s="357"/>
      <c r="K330" s="357"/>
      <c r="L330" s="357">
        <f t="shared" si="199"/>
        <v>0</v>
      </c>
      <c r="M330" s="357">
        <f t="shared" si="197"/>
        <v>0</v>
      </c>
      <c r="N330" s="356">
        <f t="shared" si="198"/>
        <v>396250000</v>
      </c>
      <c r="P330" s="200"/>
      <c r="S330" s="221"/>
      <c r="T330" s="358"/>
      <c r="U330" s="254"/>
    </row>
    <row r="331" spans="1:21" s="319" customFormat="1" ht="22.5" customHeight="1" x14ac:dyDescent="0.25">
      <c r="A331" s="275">
        <v>18</v>
      </c>
      <c r="B331" s="314"/>
      <c r="C331" s="314" t="s">
        <v>146</v>
      </c>
      <c r="D331" s="315"/>
      <c r="E331" s="348" t="s">
        <v>356</v>
      </c>
      <c r="F331" s="317">
        <f t="shared" ref="F331:H334" si="202">+F332</f>
        <v>399988000</v>
      </c>
      <c r="G331" s="318">
        <f t="shared" si="202"/>
        <v>0</v>
      </c>
      <c r="H331" s="318">
        <f t="shared" si="202"/>
        <v>0</v>
      </c>
      <c r="I331" s="318">
        <f t="shared" si="201"/>
        <v>0</v>
      </c>
      <c r="J331" s="318">
        <f t="shared" ref="J331:K335" si="203">+J332</f>
        <v>0</v>
      </c>
      <c r="K331" s="318">
        <f t="shared" si="203"/>
        <v>0</v>
      </c>
      <c r="L331" s="318">
        <f>+J331+K331</f>
        <v>0</v>
      </c>
      <c r="M331" s="318">
        <f>+I331+L331</f>
        <v>0</v>
      </c>
      <c r="N331" s="317">
        <f>+F331-M331</f>
        <v>399988000</v>
      </c>
      <c r="P331" s="320"/>
      <c r="R331" s="321"/>
      <c r="S331" s="349"/>
      <c r="T331" s="349"/>
      <c r="U331" s="350"/>
    </row>
    <row r="332" spans="1:21" s="329" customFormat="1" ht="18" customHeight="1" x14ac:dyDescent="0.25">
      <c r="A332" s="323"/>
      <c r="B332" s="324"/>
      <c r="C332" s="324"/>
      <c r="D332" s="325" t="s">
        <v>207</v>
      </c>
      <c r="E332" s="326" t="s">
        <v>262</v>
      </c>
      <c r="F332" s="327">
        <f t="shared" si="202"/>
        <v>399988000</v>
      </c>
      <c r="G332" s="328">
        <f t="shared" si="202"/>
        <v>0</v>
      </c>
      <c r="H332" s="328">
        <f t="shared" si="202"/>
        <v>0</v>
      </c>
      <c r="I332" s="328">
        <f t="shared" si="201"/>
        <v>0</v>
      </c>
      <c r="J332" s="328">
        <f t="shared" si="203"/>
        <v>0</v>
      </c>
      <c r="K332" s="328">
        <f t="shared" si="203"/>
        <v>0</v>
      </c>
      <c r="L332" s="328">
        <f>+J332+K332</f>
        <v>0</v>
      </c>
      <c r="M332" s="328">
        <f t="shared" ref="M332:M336" si="204">+I332+L332</f>
        <v>0</v>
      </c>
      <c r="N332" s="327">
        <f>+F332-M332</f>
        <v>399988000</v>
      </c>
      <c r="P332" s="330"/>
      <c r="R332" s="331"/>
      <c r="S332" s="351"/>
      <c r="T332" s="351"/>
      <c r="U332" s="333"/>
    </row>
    <row r="333" spans="1:21" s="381" customFormat="1" ht="18" customHeight="1" x14ac:dyDescent="0.25">
      <c r="A333" s="384"/>
      <c r="B333" s="397"/>
      <c r="C333" s="384"/>
      <c r="D333" s="335" t="s">
        <v>63</v>
      </c>
      <c r="E333" s="335" t="s">
        <v>30</v>
      </c>
      <c r="F333" s="337">
        <f t="shared" si="202"/>
        <v>399988000</v>
      </c>
      <c r="G333" s="344">
        <f t="shared" si="202"/>
        <v>0</v>
      </c>
      <c r="H333" s="344">
        <f t="shared" si="202"/>
        <v>0</v>
      </c>
      <c r="I333" s="344">
        <f t="shared" si="201"/>
        <v>0</v>
      </c>
      <c r="J333" s="344">
        <f t="shared" si="203"/>
        <v>0</v>
      </c>
      <c r="K333" s="344">
        <f t="shared" si="203"/>
        <v>0</v>
      </c>
      <c r="L333" s="344">
        <f>+J333+K333</f>
        <v>0</v>
      </c>
      <c r="M333" s="344">
        <f t="shared" si="204"/>
        <v>0</v>
      </c>
      <c r="N333" s="337">
        <f t="shared" ref="N333:N336" si="205">+F333-M333</f>
        <v>399988000</v>
      </c>
      <c r="P333" s="340"/>
      <c r="S333" s="347"/>
      <c r="T333" s="347"/>
      <c r="U333" s="382"/>
    </row>
    <row r="334" spans="1:21" s="339" customFormat="1" ht="18" customHeight="1" x14ac:dyDescent="0.25">
      <c r="A334" s="334"/>
      <c r="B334" s="335"/>
      <c r="C334" s="335"/>
      <c r="D334" s="365" t="s">
        <v>275</v>
      </c>
      <c r="E334" s="335" t="s">
        <v>276</v>
      </c>
      <c r="F334" s="337">
        <f t="shared" si="202"/>
        <v>399988000</v>
      </c>
      <c r="G334" s="344">
        <f t="shared" si="202"/>
        <v>0</v>
      </c>
      <c r="H334" s="344">
        <f t="shared" si="202"/>
        <v>0</v>
      </c>
      <c r="I334" s="344">
        <f t="shared" si="201"/>
        <v>0</v>
      </c>
      <c r="J334" s="344">
        <f t="shared" si="203"/>
        <v>0</v>
      </c>
      <c r="K334" s="344">
        <f t="shared" si="203"/>
        <v>0</v>
      </c>
      <c r="L334" s="344">
        <f>+J334+K334</f>
        <v>0</v>
      </c>
      <c r="M334" s="344">
        <f t="shared" si="204"/>
        <v>0</v>
      </c>
      <c r="N334" s="337">
        <f t="shared" si="205"/>
        <v>399988000</v>
      </c>
      <c r="P334" s="340"/>
      <c r="S334" s="347"/>
      <c r="T334" s="347"/>
      <c r="U334" s="342"/>
    </row>
    <row r="335" spans="1:21" s="381" customFormat="1" ht="18" customHeight="1" x14ac:dyDescent="0.25">
      <c r="A335" s="384"/>
      <c r="B335" s="397"/>
      <c r="C335" s="384"/>
      <c r="D335" s="335" t="s">
        <v>147</v>
      </c>
      <c r="E335" s="335" t="s">
        <v>35</v>
      </c>
      <c r="F335" s="337">
        <f>F336</f>
        <v>399988000</v>
      </c>
      <c r="G335" s="344">
        <f>+G336</f>
        <v>0</v>
      </c>
      <c r="H335" s="344">
        <f>+H336</f>
        <v>0</v>
      </c>
      <c r="I335" s="344">
        <f t="shared" si="201"/>
        <v>0</v>
      </c>
      <c r="J335" s="344">
        <f t="shared" si="203"/>
        <v>0</v>
      </c>
      <c r="K335" s="344">
        <f t="shared" si="203"/>
        <v>0</v>
      </c>
      <c r="L335" s="344">
        <f>+J335+K335</f>
        <v>0</v>
      </c>
      <c r="M335" s="344">
        <f t="shared" si="204"/>
        <v>0</v>
      </c>
      <c r="N335" s="337">
        <f t="shared" si="205"/>
        <v>399988000</v>
      </c>
      <c r="P335" s="340"/>
      <c r="S335" s="347"/>
      <c r="T335" s="347"/>
      <c r="U335" s="382"/>
    </row>
    <row r="336" spans="1:21" s="153" customFormat="1" ht="33.75" customHeight="1" x14ac:dyDescent="0.25">
      <c r="A336" s="403"/>
      <c r="B336" s="388"/>
      <c r="C336" s="372"/>
      <c r="D336" s="373" t="s">
        <v>148</v>
      </c>
      <c r="E336" s="375" t="s">
        <v>149</v>
      </c>
      <c r="F336" s="376">
        <v>399988000</v>
      </c>
      <c r="G336" s="404"/>
      <c r="H336" s="377"/>
      <c r="I336" s="377">
        <f t="shared" si="201"/>
        <v>0</v>
      </c>
      <c r="J336" s="377"/>
      <c r="K336" s="377"/>
      <c r="L336" s="377">
        <f t="shared" ref="L336" si="206">+J336+K336</f>
        <v>0</v>
      </c>
      <c r="M336" s="377">
        <f t="shared" si="204"/>
        <v>0</v>
      </c>
      <c r="N336" s="376">
        <f t="shared" si="205"/>
        <v>399988000</v>
      </c>
      <c r="P336" s="200"/>
      <c r="S336" s="221"/>
      <c r="T336" s="358"/>
      <c r="U336" s="254"/>
    </row>
    <row r="337" spans="1:21" s="319" customFormat="1" ht="34.5" customHeight="1" x14ac:dyDescent="0.25">
      <c r="A337" s="275">
        <v>19</v>
      </c>
      <c r="B337" s="314"/>
      <c r="C337" s="314" t="s">
        <v>151</v>
      </c>
      <c r="D337" s="315"/>
      <c r="E337" s="348" t="s">
        <v>152</v>
      </c>
      <c r="F337" s="317">
        <f t="shared" ref="F337:H340" si="207">+F338</f>
        <v>200000000</v>
      </c>
      <c r="G337" s="318">
        <f t="shared" si="207"/>
        <v>0</v>
      </c>
      <c r="H337" s="318">
        <f t="shared" si="207"/>
        <v>0</v>
      </c>
      <c r="I337" s="318">
        <f t="shared" si="201"/>
        <v>0</v>
      </c>
      <c r="J337" s="318">
        <f t="shared" ref="J337:K341" si="208">+J338</f>
        <v>0</v>
      </c>
      <c r="K337" s="318">
        <f t="shared" si="208"/>
        <v>0</v>
      </c>
      <c r="L337" s="318">
        <f>+J337+K337</f>
        <v>0</v>
      </c>
      <c r="M337" s="318">
        <f>+I337+L337</f>
        <v>0</v>
      </c>
      <c r="N337" s="317">
        <f>+F337-M337</f>
        <v>200000000</v>
      </c>
      <c r="P337" s="320"/>
      <c r="R337" s="321"/>
      <c r="S337" s="349"/>
      <c r="T337" s="349"/>
      <c r="U337" s="350"/>
    </row>
    <row r="338" spans="1:21" s="329" customFormat="1" ht="18" customHeight="1" x14ac:dyDescent="0.25">
      <c r="A338" s="323"/>
      <c r="B338" s="324"/>
      <c r="C338" s="324"/>
      <c r="D338" s="325" t="s">
        <v>207</v>
      </c>
      <c r="E338" s="326" t="s">
        <v>262</v>
      </c>
      <c r="F338" s="327">
        <f t="shared" si="207"/>
        <v>200000000</v>
      </c>
      <c r="G338" s="328">
        <f t="shared" si="207"/>
        <v>0</v>
      </c>
      <c r="H338" s="328">
        <f t="shared" si="207"/>
        <v>0</v>
      </c>
      <c r="I338" s="328">
        <f t="shared" si="201"/>
        <v>0</v>
      </c>
      <c r="J338" s="328">
        <f t="shared" si="208"/>
        <v>0</v>
      </c>
      <c r="K338" s="328">
        <f t="shared" si="208"/>
        <v>0</v>
      </c>
      <c r="L338" s="328">
        <f>+J338+K338</f>
        <v>0</v>
      </c>
      <c r="M338" s="328">
        <f t="shared" ref="M338:M342" si="209">+I338+L338</f>
        <v>0</v>
      </c>
      <c r="N338" s="327">
        <f t="shared" ref="N338:N342" si="210">+F338-M338</f>
        <v>200000000</v>
      </c>
      <c r="P338" s="330"/>
      <c r="R338" s="331"/>
      <c r="S338" s="351"/>
      <c r="T338" s="351"/>
      <c r="U338" s="333"/>
    </row>
    <row r="339" spans="1:21" s="381" customFormat="1" ht="18" customHeight="1" x14ac:dyDescent="0.25">
      <c r="A339" s="384"/>
      <c r="B339" s="397"/>
      <c r="C339" s="384"/>
      <c r="D339" s="335" t="s">
        <v>63</v>
      </c>
      <c r="E339" s="335" t="s">
        <v>30</v>
      </c>
      <c r="F339" s="337">
        <f t="shared" si="207"/>
        <v>200000000</v>
      </c>
      <c r="G339" s="344">
        <f t="shared" si="207"/>
        <v>0</v>
      </c>
      <c r="H339" s="344">
        <f t="shared" si="207"/>
        <v>0</v>
      </c>
      <c r="I339" s="344">
        <f t="shared" si="201"/>
        <v>0</v>
      </c>
      <c r="J339" s="344">
        <f t="shared" si="208"/>
        <v>0</v>
      </c>
      <c r="K339" s="344">
        <f t="shared" si="208"/>
        <v>0</v>
      </c>
      <c r="L339" s="344">
        <f>+J339+K339</f>
        <v>0</v>
      </c>
      <c r="M339" s="344">
        <f t="shared" si="209"/>
        <v>0</v>
      </c>
      <c r="N339" s="337">
        <f t="shared" si="210"/>
        <v>200000000</v>
      </c>
      <c r="P339" s="340"/>
      <c r="S339" s="347"/>
      <c r="T339" s="347"/>
      <c r="U339" s="382"/>
    </row>
    <row r="340" spans="1:21" s="339" customFormat="1" ht="18" customHeight="1" x14ac:dyDescent="0.25">
      <c r="A340" s="334"/>
      <c r="B340" s="335"/>
      <c r="C340" s="335"/>
      <c r="D340" s="365" t="s">
        <v>275</v>
      </c>
      <c r="E340" s="335" t="s">
        <v>276</v>
      </c>
      <c r="F340" s="337">
        <f t="shared" si="207"/>
        <v>200000000</v>
      </c>
      <c r="G340" s="344">
        <f t="shared" si="207"/>
        <v>0</v>
      </c>
      <c r="H340" s="344">
        <f t="shared" si="207"/>
        <v>0</v>
      </c>
      <c r="I340" s="344">
        <f t="shared" si="201"/>
        <v>0</v>
      </c>
      <c r="J340" s="344">
        <f t="shared" si="208"/>
        <v>0</v>
      </c>
      <c r="K340" s="344">
        <f t="shared" si="208"/>
        <v>0</v>
      </c>
      <c r="L340" s="344">
        <f>+J340+K340</f>
        <v>0</v>
      </c>
      <c r="M340" s="344">
        <f t="shared" si="209"/>
        <v>0</v>
      </c>
      <c r="N340" s="337">
        <f t="shared" si="210"/>
        <v>200000000</v>
      </c>
      <c r="P340" s="340"/>
      <c r="S340" s="347"/>
      <c r="T340" s="347"/>
      <c r="U340" s="342"/>
    </row>
    <row r="341" spans="1:21" s="381" customFormat="1" ht="18" customHeight="1" x14ac:dyDescent="0.25">
      <c r="A341" s="384"/>
      <c r="B341" s="397"/>
      <c r="C341" s="384"/>
      <c r="D341" s="335" t="s">
        <v>147</v>
      </c>
      <c r="E341" s="335" t="s">
        <v>35</v>
      </c>
      <c r="F341" s="337">
        <f>F342</f>
        <v>200000000</v>
      </c>
      <c r="G341" s="344">
        <f>+G342</f>
        <v>0</v>
      </c>
      <c r="H341" s="344">
        <f>+H342</f>
        <v>0</v>
      </c>
      <c r="I341" s="344">
        <f t="shared" si="201"/>
        <v>0</v>
      </c>
      <c r="J341" s="344">
        <f t="shared" si="208"/>
        <v>0</v>
      </c>
      <c r="K341" s="344">
        <f t="shared" si="208"/>
        <v>0</v>
      </c>
      <c r="L341" s="344">
        <f>+J341+K341</f>
        <v>0</v>
      </c>
      <c r="M341" s="344">
        <f t="shared" si="209"/>
        <v>0</v>
      </c>
      <c r="N341" s="337">
        <f t="shared" si="210"/>
        <v>200000000</v>
      </c>
      <c r="P341" s="340"/>
      <c r="S341" s="347"/>
      <c r="T341" s="347"/>
      <c r="U341" s="382"/>
    </row>
    <row r="342" spans="1:21" s="153" customFormat="1" ht="33.75" customHeight="1" x14ac:dyDescent="0.25">
      <c r="A342" s="403"/>
      <c r="B342" s="388"/>
      <c r="C342" s="372"/>
      <c r="D342" s="373" t="s">
        <v>148</v>
      </c>
      <c r="E342" s="375" t="s">
        <v>149</v>
      </c>
      <c r="F342" s="376">
        <v>200000000</v>
      </c>
      <c r="G342" s="404"/>
      <c r="H342" s="377"/>
      <c r="I342" s="377">
        <f t="shared" si="201"/>
        <v>0</v>
      </c>
      <c r="J342" s="377"/>
      <c r="K342" s="377"/>
      <c r="L342" s="377">
        <f t="shared" ref="L342" si="211">+J342+K342</f>
        <v>0</v>
      </c>
      <c r="M342" s="377">
        <f t="shared" si="209"/>
        <v>0</v>
      </c>
      <c r="N342" s="376">
        <f t="shared" si="210"/>
        <v>200000000</v>
      </c>
      <c r="P342" s="200"/>
      <c r="S342" s="221"/>
      <c r="T342" s="358"/>
      <c r="U342" s="254"/>
    </row>
    <row r="343" spans="1:21" s="319" customFormat="1" ht="34.5" customHeight="1" x14ac:dyDescent="0.25">
      <c r="A343" s="275">
        <v>20</v>
      </c>
      <c r="B343" s="314"/>
      <c r="C343" s="314" t="s">
        <v>153</v>
      </c>
      <c r="D343" s="315"/>
      <c r="E343" s="348" t="s">
        <v>154</v>
      </c>
      <c r="F343" s="317">
        <f t="shared" ref="F343:H346" si="212">+F344</f>
        <v>80000000</v>
      </c>
      <c r="G343" s="318">
        <f t="shared" si="212"/>
        <v>0</v>
      </c>
      <c r="H343" s="318">
        <f t="shared" si="212"/>
        <v>0</v>
      </c>
      <c r="I343" s="318">
        <f t="shared" si="201"/>
        <v>0</v>
      </c>
      <c r="J343" s="318">
        <f t="shared" ref="J343:K347" si="213">+J344</f>
        <v>0</v>
      </c>
      <c r="K343" s="318">
        <f t="shared" si="213"/>
        <v>0</v>
      </c>
      <c r="L343" s="318">
        <f>+J343+K343</f>
        <v>0</v>
      </c>
      <c r="M343" s="318">
        <f>+I343+L343</f>
        <v>0</v>
      </c>
      <c r="N343" s="317">
        <f>+F343-M343</f>
        <v>80000000</v>
      </c>
      <c r="P343" s="320"/>
      <c r="R343" s="321"/>
      <c r="S343" s="349"/>
      <c r="T343" s="349"/>
      <c r="U343" s="350"/>
    </row>
    <row r="344" spans="1:21" s="329" customFormat="1" ht="18" customHeight="1" x14ac:dyDescent="0.25">
      <c r="A344" s="323"/>
      <c r="B344" s="324"/>
      <c r="C344" s="324"/>
      <c r="D344" s="325" t="s">
        <v>207</v>
      </c>
      <c r="E344" s="326" t="s">
        <v>262</v>
      </c>
      <c r="F344" s="327">
        <f t="shared" si="212"/>
        <v>80000000</v>
      </c>
      <c r="G344" s="328">
        <f t="shared" si="212"/>
        <v>0</v>
      </c>
      <c r="H344" s="328">
        <f t="shared" si="212"/>
        <v>0</v>
      </c>
      <c r="I344" s="328">
        <f t="shared" si="201"/>
        <v>0</v>
      </c>
      <c r="J344" s="328">
        <f t="shared" si="213"/>
        <v>0</v>
      </c>
      <c r="K344" s="328">
        <f t="shared" si="213"/>
        <v>0</v>
      </c>
      <c r="L344" s="328">
        <f>+J344+K344</f>
        <v>0</v>
      </c>
      <c r="M344" s="328">
        <f t="shared" ref="M344:M348" si="214">+I344+L344</f>
        <v>0</v>
      </c>
      <c r="N344" s="327">
        <f t="shared" ref="N344:N348" si="215">+F344-M344</f>
        <v>80000000</v>
      </c>
      <c r="P344" s="330"/>
      <c r="R344" s="331"/>
      <c r="S344" s="351"/>
      <c r="T344" s="351"/>
      <c r="U344" s="333"/>
    </row>
    <row r="345" spans="1:21" s="381" customFormat="1" ht="18" customHeight="1" x14ac:dyDescent="0.25">
      <c r="A345" s="384"/>
      <c r="B345" s="397"/>
      <c r="C345" s="384"/>
      <c r="D345" s="335" t="s">
        <v>63</v>
      </c>
      <c r="E345" s="335" t="s">
        <v>30</v>
      </c>
      <c r="F345" s="337">
        <f t="shared" si="212"/>
        <v>80000000</v>
      </c>
      <c r="G345" s="344">
        <f t="shared" si="212"/>
        <v>0</v>
      </c>
      <c r="H345" s="344">
        <f t="shared" si="212"/>
        <v>0</v>
      </c>
      <c r="I345" s="344">
        <f t="shared" si="201"/>
        <v>0</v>
      </c>
      <c r="J345" s="344">
        <f t="shared" si="213"/>
        <v>0</v>
      </c>
      <c r="K345" s="344">
        <f t="shared" si="213"/>
        <v>0</v>
      </c>
      <c r="L345" s="344">
        <f>+J345+K345</f>
        <v>0</v>
      </c>
      <c r="M345" s="344">
        <f t="shared" si="214"/>
        <v>0</v>
      </c>
      <c r="N345" s="337">
        <f t="shared" si="215"/>
        <v>80000000</v>
      </c>
      <c r="P345" s="340"/>
      <c r="S345" s="347"/>
      <c r="T345" s="347"/>
      <c r="U345" s="382"/>
    </row>
    <row r="346" spans="1:21" s="339" customFormat="1" ht="18" customHeight="1" x14ac:dyDescent="0.25">
      <c r="A346" s="334"/>
      <c r="B346" s="335"/>
      <c r="C346" s="335"/>
      <c r="D346" s="365" t="s">
        <v>275</v>
      </c>
      <c r="E346" s="335" t="s">
        <v>276</v>
      </c>
      <c r="F346" s="337">
        <f t="shared" si="212"/>
        <v>80000000</v>
      </c>
      <c r="G346" s="344">
        <f t="shared" si="212"/>
        <v>0</v>
      </c>
      <c r="H346" s="344">
        <f t="shared" si="212"/>
        <v>0</v>
      </c>
      <c r="I346" s="344">
        <f t="shared" si="201"/>
        <v>0</v>
      </c>
      <c r="J346" s="344">
        <f t="shared" si="213"/>
        <v>0</v>
      </c>
      <c r="K346" s="344">
        <f t="shared" si="213"/>
        <v>0</v>
      </c>
      <c r="L346" s="344">
        <f>+J346+K346</f>
        <v>0</v>
      </c>
      <c r="M346" s="344">
        <f t="shared" si="214"/>
        <v>0</v>
      </c>
      <c r="N346" s="337">
        <f t="shared" si="215"/>
        <v>80000000</v>
      </c>
      <c r="P346" s="340"/>
      <c r="S346" s="347"/>
      <c r="T346" s="347"/>
      <c r="U346" s="342"/>
    </row>
    <row r="347" spans="1:21" s="381" customFormat="1" ht="18" customHeight="1" x14ac:dyDescent="0.25">
      <c r="A347" s="384"/>
      <c r="B347" s="397"/>
      <c r="C347" s="384"/>
      <c r="D347" s="335" t="s">
        <v>114</v>
      </c>
      <c r="E347" s="335" t="s">
        <v>43</v>
      </c>
      <c r="F347" s="337">
        <f>F348</f>
        <v>80000000</v>
      </c>
      <c r="G347" s="344">
        <f>+G348</f>
        <v>0</v>
      </c>
      <c r="H347" s="344">
        <f>+H348</f>
        <v>0</v>
      </c>
      <c r="I347" s="344">
        <f t="shared" si="201"/>
        <v>0</v>
      </c>
      <c r="J347" s="344">
        <f t="shared" si="213"/>
        <v>0</v>
      </c>
      <c r="K347" s="344">
        <f t="shared" si="213"/>
        <v>0</v>
      </c>
      <c r="L347" s="344">
        <f>+J347+K347</f>
        <v>0</v>
      </c>
      <c r="M347" s="344">
        <f t="shared" si="214"/>
        <v>0</v>
      </c>
      <c r="N347" s="337">
        <f t="shared" si="215"/>
        <v>80000000</v>
      </c>
      <c r="P347" s="340"/>
      <c r="S347" s="347"/>
      <c r="T347" s="347"/>
      <c r="U347" s="382"/>
    </row>
    <row r="348" spans="1:21" s="339" customFormat="1" ht="20.25" customHeight="1" x14ac:dyDescent="0.25">
      <c r="A348" s="399"/>
      <c r="B348" s="381"/>
      <c r="C348" s="366"/>
      <c r="D348" s="367" t="s">
        <v>349</v>
      </c>
      <c r="E348" s="369" t="s">
        <v>350</v>
      </c>
      <c r="F348" s="370">
        <v>80000000</v>
      </c>
      <c r="G348" s="400"/>
      <c r="H348" s="400"/>
      <c r="I348" s="400"/>
      <c r="J348" s="371"/>
      <c r="K348" s="371"/>
      <c r="L348" s="371">
        <f t="shared" ref="L348" si="216">+J348+K348</f>
        <v>0</v>
      </c>
      <c r="M348" s="371">
        <f t="shared" si="214"/>
        <v>0</v>
      </c>
      <c r="N348" s="370">
        <f t="shared" si="215"/>
        <v>80000000</v>
      </c>
      <c r="P348" s="340"/>
      <c r="S348" s="347"/>
      <c r="T348" s="347"/>
      <c r="U348" s="342"/>
    </row>
    <row r="349" spans="1:21" s="153" customFormat="1" ht="18" customHeight="1" x14ac:dyDescent="0.25">
      <c r="A349" s="353"/>
      <c r="B349" s="355"/>
      <c r="C349" s="355"/>
      <c r="D349" s="355"/>
      <c r="E349" s="355"/>
      <c r="F349" s="356"/>
      <c r="G349" s="357"/>
      <c r="H349" s="357"/>
      <c r="I349" s="357"/>
      <c r="J349" s="357"/>
      <c r="K349" s="357"/>
      <c r="L349" s="357"/>
      <c r="M349" s="357"/>
      <c r="N349" s="356"/>
      <c r="P349" s="200"/>
      <c r="S349" s="221"/>
      <c r="T349" s="221"/>
      <c r="U349" s="254"/>
    </row>
    <row r="350" spans="1:21" s="319" customFormat="1" ht="18.75" customHeight="1" x14ac:dyDescent="0.25">
      <c r="A350" s="276"/>
      <c r="B350" s="305" t="s">
        <v>410</v>
      </c>
      <c r="C350" s="305"/>
      <c r="D350" s="305"/>
      <c r="E350" s="396" t="s">
        <v>411</v>
      </c>
      <c r="F350" s="359">
        <f>+F351+F357+F369+F375</f>
        <v>352609205400</v>
      </c>
      <c r="G350" s="308">
        <f>G351+G357+G369+G375</f>
        <v>0</v>
      </c>
      <c r="H350" s="308">
        <f>+H351+H357+H369+H375</f>
        <v>0</v>
      </c>
      <c r="I350" s="360">
        <f>+G350+H350</f>
        <v>0</v>
      </c>
      <c r="J350" s="308">
        <f>J351+J357+J369+J375</f>
        <v>0</v>
      </c>
      <c r="K350" s="308">
        <f>+K352</f>
        <v>0</v>
      </c>
      <c r="L350" s="360">
        <f t="shared" ref="L350:L364" si="217">+J350+K350</f>
        <v>0</v>
      </c>
      <c r="M350" s="360">
        <f t="shared" ref="M350:M364" si="218">+I350+L350</f>
        <v>0</v>
      </c>
      <c r="N350" s="359">
        <f t="shared" ref="N350:N355" si="219">+F350-M350</f>
        <v>352609205400</v>
      </c>
      <c r="P350" s="361"/>
      <c r="R350" s="321"/>
      <c r="S350" s="362"/>
      <c r="T350" s="362"/>
      <c r="U350" s="350"/>
    </row>
    <row r="351" spans="1:21" s="319" customFormat="1" ht="32.25" hidden="1" customHeight="1" x14ac:dyDescent="0.25">
      <c r="A351" s="275">
        <v>21</v>
      </c>
      <c r="B351" s="314"/>
      <c r="C351" s="314" t="s">
        <v>280</v>
      </c>
      <c r="D351" s="315"/>
      <c r="E351" s="348" t="s">
        <v>279</v>
      </c>
      <c r="F351" s="317">
        <f t="shared" ref="F351:H355" si="220">+F352</f>
        <v>0</v>
      </c>
      <c r="G351" s="318">
        <f t="shared" si="220"/>
        <v>0</v>
      </c>
      <c r="H351" s="318">
        <f>+H352</f>
        <v>0</v>
      </c>
      <c r="I351" s="318">
        <f>+G351+H351</f>
        <v>0</v>
      </c>
      <c r="J351" s="318">
        <f>+J352</f>
        <v>0</v>
      </c>
      <c r="K351" s="318">
        <f>+K352</f>
        <v>0</v>
      </c>
      <c r="L351" s="318">
        <f t="shared" si="217"/>
        <v>0</v>
      </c>
      <c r="M351" s="318">
        <f>+I351+L351</f>
        <v>0</v>
      </c>
      <c r="N351" s="317">
        <f>+F351-M351</f>
        <v>0</v>
      </c>
      <c r="P351" s="320"/>
      <c r="R351" s="321"/>
      <c r="S351" s="349"/>
      <c r="T351" s="349"/>
      <c r="U351" s="350"/>
    </row>
    <row r="352" spans="1:21" s="329" customFormat="1" ht="18" hidden="1" customHeight="1" x14ac:dyDescent="0.25">
      <c r="A352" s="323"/>
      <c r="B352" s="324"/>
      <c r="C352" s="324"/>
      <c r="D352" s="325" t="s">
        <v>207</v>
      </c>
      <c r="E352" s="326" t="s">
        <v>262</v>
      </c>
      <c r="F352" s="327">
        <f t="shared" si="220"/>
        <v>0</v>
      </c>
      <c r="G352" s="328">
        <f t="shared" si="220"/>
        <v>0</v>
      </c>
      <c r="H352" s="328">
        <f t="shared" si="220"/>
        <v>0</v>
      </c>
      <c r="I352" s="328">
        <f t="shared" ref="I352:I368" si="221">+G352+H352</f>
        <v>0</v>
      </c>
      <c r="J352" s="328">
        <f>+J353</f>
        <v>0</v>
      </c>
      <c r="K352" s="328">
        <f>+K353</f>
        <v>0</v>
      </c>
      <c r="L352" s="328">
        <f t="shared" si="217"/>
        <v>0</v>
      </c>
      <c r="M352" s="328">
        <f t="shared" si="218"/>
        <v>0</v>
      </c>
      <c r="N352" s="327">
        <f t="shared" si="219"/>
        <v>0</v>
      </c>
      <c r="P352" s="330"/>
      <c r="R352" s="331"/>
      <c r="S352" s="351"/>
      <c r="T352" s="351"/>
      <c r="U352" s="333"/>
    </row>
    <row r="353" spans="1:21" s="381" customFormat="1" ht="18" hidden="1" customHeight="1" x14ac:dyDescent="0.25">
      <c r="A353" s="384"/>
      <c r="B353" s="335"/>
      <c r="C353" s="335"/>
      <c r="D353" s="335" t="s">
        <v>281</v>
      </c>
      <c r="E353" s="335" t="s">
        <v>282</v>
      </c>
      <c r="F353" s="337">
        <f t="shared" si="220"/>
        <v>0</v>
      </c>
      <c r="G353" s="338">
        <f t="shared" si="220"/>
        <v>0</v>
      </c>
      <c r="H353" s="338">
        <f t="shared" si="220"/>
        <v>0</v>
      </c>
      <c r="I353" s="338">
        <f>+G353+H353</f>
        <v>0</v>
      </c>
      <c r="J353" s="338">
        <f>+J354+J363</f>
        <v>0</v>
      </c>
      <c r="K353" s="338">
        <f>+K354+K363</f>
        <v>0</v>
      </c>
      <c r="L353" s="338">
        <f t="shared" si="217"/>
        <v>0</v>
      </c>
      <c r="M353" s="338">
        <f>+I353+L353</f>
        <v>0</v>
      </c>
      <c r="N353" s="405">
        <f t="shared" si="219"/>
        <v>0</v>
      </c>
      <c r="P353" s="340"/>
      <c r="S353" s="347"/>
      <c r="T353" s="347"/>
      <c r="U353" s="382"/>
    </row>
    <row r="354" spans="1:21" s="339" customFormat="1" ht="18" hidden="1" customHeight="1" x14ac:dyDescent="0.25">
      <c r="A354" s="334"/>
      <c r="B354" s="335"/>
      <c r="C354" s="335"/>
      <c r="D354" s="335" t="s">
        <v>283</v>
      </c>
      <c r="E354" s="336" t="s">
        <v>284</v>
      </c>
      <c r="F354" s="337">
        <f t="shared" si="220"/>
        <v>0</v>
      </c>
      <c r="G354" s="338">
        <f t="shared" si="220"/>
        <v>0</v>
      </c>
      <c r="H354" s="338">
        <f t="shared" si="220"/>
        <v>0</v>
      </c>
      <c r="I354" s="338">
        <f t="shared" si="221"/>
        <v>0</v>
      </c>
      <c r="J354" s="338">
        <f>+J355</f>
        <v>0</v>
      </c>
      <c r="K354" s="338">
        <f>+K355</f>
        <v>0</v>
      </c>
      <c r="L354" s="338">
        <f t="shared" si="217"/>
        <v>0</v>
      </c>
      <c r="M354" s="338">
        <f t="shared" si="218"/>
        <v>0</v>
      </c>
      <c r="N354" s="337">
        <f t="shared" si="219"/>
        <v>0</v>
      </c>
      <c r="P354" s="340"/>
      <c r="S354" s="347"/>
      <c r="T354" s="347"/>
      <c r="U354" s="342"/>
    </row>
    <row r="355" spans="1:21" s="339" customFormat="1" ht="31.5" hidden="1" customHeight="1" x14ac:dyDescent="0.25">
      <c r="A355" s="334"/>
      <c r="B355" s="335"/>
      <c r="C355" s="335"/>
      <c r="D355" s="335" t="s">
        <v>412</v>
      </c>
      <c r="E355" s="391" t="s">
        <v>413</v>
      </c>
      <c r="F355" s="337">
        <f t="shared" si="220"/>
        <v>0</v>
      </c>
      <c r="G355" s="344">
        <f t="shared" si="220"/>
        <v>0</v>
      </c>
      <c r="H355" s="344">
        <f t="shared" si="220"/>
        <v>0</v>
      </c>
      <c r="I355" s="344">
        <f t="shared" si="221"/>
        <v>0</v>
      </c>
      <c r="J355" s="344">
        <f>+J356</f>
        <v>0</v>
      </c>
      <c r="K355" s="344">
        <f>+K356</f>
        <v>0</v>
      </c>
      <c r="L355" s="344">
        <f t="shared" si="217"/>
        <v>0</v>
      </c>
      <c r="M355" s="344">
        <f t="shared" si="218"/>
        <v>0</v>
      </c>
      <c r="N355" s="337">
        <f t="shared" si="219"/>
        <v>0</v>
      </c>
      <c r="P355" s="340"/>
      <c r="S355" s="347"/>
      <c r="T355" s="347"/>
      <c r="U355" s="342"/>
    </row>
    <row r="356" spans="1:21" s="153" customFormat="1" ht="33.75" hidden="1" customHeight="1" x14ac:dyDescent="0.25">
      <c r="A356" s="353"/>
      <c r="B356" s="355"/>
      <c r="C356" s="355"/>
      <c r="D356" s="355" t="s">
        <v>414</v>
      </c>
      <c r="E356" s="402" t="s">
        <v>413</v>
      </c>
      <c r="F356" s="356"/>
      <c r="G356" s="406"/>
      <c r="H356" s="406"/>
      <c r="I356" s="406">
        <f t="shared" si="221"/>
        <v>0</v>
      </c>
      <c r="J356" s="357"/>
      <c r="K356" s="406"/>
      <c r="L356" s="406">
        <f t="shared" si="217"/>
        <v>0</v>
      </c>
      <c r="M356" s="406">
        <f t="shared" si="218"/>
        <v>0</v>
      </c>
      <c r="N356" s="356">
        <f>+F356-M356</f>
        <v>0</v>
      </c>
      <c r="P356" s="200"/>
      <c r="S356" s="221"/>
      <c r="T356" s="221"/>
      <c r="U356" s="254"/>
    </row>
    <row r="357" spans="1:21" s="319" customFormat="1" ht="18" customHeight="1" x14ac:dyDescent="0.25">
      <c r="A357" s="276">
        <v>21</v>
      </c>
      <c r="B357" s="305"/>
      <c r="C357" s="305" t="s">
        <v>285</v>
      </c>
      <c r="D357" s="363"/>
      <c r="E357" s="364" t="s">
        <v>286</v>
      </c>
      <c r="F357" s="307">
        <f>+F358</f>
        <v>325031788200</v>
      </c>
      <c r="G357" s="308">
        <f t="shared" ref="G357:H358" si="222">+G358</f>
        <v>0</v>
      </c>
      <c r="H357" s="308">
        <f>+H358</f>
        <v>0</v>
      </c>
      <c r="I357" s="308">
        <f t="shared" si="221"/>
        <v>0</v>
      </c>
      <c r="J357" s="308">
        <f t="shared" ref="J357:K358" si="223">+J358</f>
        <v>0</v>
      </c>
      <c r="K357" s="308">
        <f t="shared" si="223"/>
        <v>0</v>
      </c>
      <c r="L357" s="308">
        <f t="shared" si="217"/>
        <v>0</v>
      </c>
      <c r="M357" s="308">
        <f>+I357+L357</f>
        <v>0</v>
      </c>
      <c r="N357" s="307">
        <f>+F357-M357</f>
        <v>325031788200</v>
      </c>
      <c r="P357" s="320"/>
      <c r="R357" s="321"/>
      <c r="S357" s="349"/>
      <c r="T357" s="349"/>
      <c r="U357" s="350"/>
    </row>
    <row r="358" spans="1:21" s="329" customFormat="1" ht="18" customHeight="1" x14ac:dyDescent="0.25">
      <c r="A358" s="323"/>
      <c r="B358" s="324"/>
      <c r="C358" s="324"/>
      <c r="D358" s="325" t="s">
        <v>287</v>
      </c>
      <c r="E358" s="326" t="s">
        <v>288</v>
      </c>
      <c r="F358" s="327">
        <f>+F359</f>
        <v>325031788200</v>
      </c>
      <c r="G358" s="328">
        <f t="shared" si="222"/>
        <v>0</v>
      </c>
      <c r="H358" s="328">
        <f t="shared" si="222"/>
        <v>0</v>
      </c>
      <c r="I358" s="328">
        <f t="shared" si="221"/>
        <v>0</v>
      </c>
      <c r="J358" s="328">
        <f t="shared" si="223"/>
        <v>0</v>
      </c>
      <c r="K358" s="328">
        <f t="shared" si="223"/>
        <v>0</v>
      </c>
      <c r="L358" s="328">
        <f t="shared" si="217"/>
        <v>0</v>
      </c>
      <c r="M358" s="328">
        <f t="shared" ref="M358" si="224">+I358+L358</f>
        <v>0</v>
      </c>
      <c r="N358" s="327">
        <f t="shared" ref="N358:N366" si="225">+F358-M358</f>
        <v>325031788200</v>
      </c>
      <c r="P358" s="330"/>
      <c r="R358" s="331"/>
      <c r="S358" s="351"/>
      <c r="T358" s="351"/>
      <c r="U358" s="333"/>
    </row>
    <row r="359" spans="1:21" s="381" customFormat="1" ht="18" customHeight="1" x14ac:dyDescent="0.25">
      <c r="A359" s="384"/>
      <c r="B359" s="335"/>
      <c r="C359" s="335"/>
      <c r="D359" s="335" t="s">
        <v>289</v>
      </c>
      <c r="E359" s="335" t="s">
        <v>290</v>
      </c>
      <c r="F359" s="337">
        <f>+F363+F360</f>
        <v>325031788200</v>
      </c>
      <c r="G359" s="338">
        <f>+G363+G360</f>
        <v>0</v>
      </c>
      <c r="H359" s="338">
        <f>+H363+H360</f>
        <v>0</v>
      </c>
      <c r="I359" s="338">
        <f t="shared" si="221"/>
        <v>0</v>
      </c>
      <c r="J359" s="338">
        <f>+J363+J360</f>
        <v>0</v>
      </c>
      <c r="K359" s="338">
        <f>+K363+K360</f>
        <v>0</v>
      </c>
      <c r="L359" s="338">
        <f>+J359+K359</f>
        <v>0</v>
      </c>
      <c r="M359" s="338">
        <f>+I359+L359</f>
        <v>0</v>
      </c>
      <c r="N359" s="405">
        <f t="shared" si="225"/>
        <v>325031788200</v>
      </c>
      <c r="P359" s="340"/>
      <c r="S359" s="347"/>
      <c r="T359" s="347"/>
      <c r="U359" s="382"/>
    </row>
    <row r="360" spans="1:21" s="339" customFormat="1" ht="18" customHeight="1" x14ac:dyDescent="0.25">
      <c r="A360" s="366"/>
      <c r="B360" s="367"/>
      <c r="C360" s="367"/>
      <c r="D360" s="367" t="s">
        <v>291</v>
      </c>
      <c r="E360" s="407" t="s">
        <v>292</v>
      </c>
      <c r="F360" s="370">
        <f t="shared" ref="F360:H361" si="226">+F361</f>
        <v>540000000</v>
      </c>
      <c r="G360" s="408">
        <f t="shared" si="226"/>
        <v>0</v>
      </c>
      <c r="H360" s="408">
        <f t="shared" si="226"/>
        <v>0</v>
      </c>
      <c r="I360" s="408">
        <f t="shared" si="221"/>
        <v>0</v>
      </c>
      <c r="J360" s="408">
        <f>+J361</f>
        <v>0</v>
      </c>
      <c r="K360" s="408">
        <f>+K361</f>
        <v>0</v>
      </c>
      <c r="L360" s="408">
        <f>+J360+K360</f>
        <v>0</v>
      </c>
      <c r="M360" s="408">
        <f>+I360+L360</f>
        <v>0</v>
      </c>
      <c r="N360" s="370">
        <f t="shared" si="225"/>
        <v>540000000</v>
      </c>
      <c r="P360" s="340"/>
      <c r="S360" s="347"/>
      <c r="T360" s="347"/>
      <c r="U360" s="342"/>
    </row>
    <row r="361" spans="1:21" s="339" customFormat="1" ht="32.25" customHeight="1" x14ac:dyDescent="0.25">
      <c r="A361" s="366"/>
      <c r="B361" s="367"/>
      <c r="C361" s="367"/>
      <c r="D361" s="367" t="s">
        <v>293</v>
      </c>
      <c r="E361" s="369" t="s">
        <v>295</v>
      </c>
      <c r="F361" s="370">
        <f t="shared" si="226"/>
        <v>540000000</v>
      </c>
      <c r="G361" s="371">
        <f t="shared" si="226"/>
        <v>0</v>
      </c>
      <c r="H361" s="371">
        <f t="shared" si="226"/>
        <v>0</v>
      </c>
      <c r="I361" s="371">
        <f t="shared" si="221"/>
        <v>0</v>
      </c>
      <c r="J361" s="371">
        <f>+J362</f>
        <v>0</v>
      </c>
      <c r="K361" s="371">
        <f>+K362</f>
        <v>0</v>
      </c>
      <c r="L361" s="371">
        <f>+J361+K361</f>
        <v>0</v>
      </c>
      <c r="M361" s="371">
        <f>+I361+L361</f>
        <v>0</v>
      </c>
      <c r="N361" s="370">
        <f t="shared" si="225"/>
        <v>540000000</v>
      </c>
      <c r="P361" s="340"/>
      <c r="S361" s="347"/>
      <c r="T361" s="347"/>
      <c r="U361" s="342"/>
    </row>
    <row r="362" spans="1:21" s="339" customFormat="1" ht="29.25" customHeight="1" x14ac:dyDescent="0.25">
      <c r="A362" s="366"/>
      <c r="B362" s="367"/>
      <c r="C362" s="367"/>
      <c r="D362" s="367" t="s">
        <v>294</v>
      </c>
      <c r="E362" s="369" t="s">
        <v>295</v>
      </c>
      <c r="F362" s="370">
        <v>540000000</v>
      </c>
      <c r="G362" s="408"/>
      <c r="H362" s="408"/>
      <c r="I362" s="408">
        <f t="shared" si="221"/>
        <v>0</v>
      </c>
      <c r="J362" s="371"/>
      <c r="K362" s="408"/>
      <c r="L362" s="408">
        <f>+J362+K362</f>
        <v>0</v>
      </c>
      <c r="M362" s="408">
        <f>+I362+L362</f>
        <v>0</v>
      </c>
      <c r="N362" s="409">
        <f t="shared" si="225"/>
        <v>540000000</v>
      </c>
      <c r="P362" s="340"/>
      <c r="S362" s="347"/>
      <c r="T362" s="347"/>
      <c r="U362" s="342"/>
    </row>
    <row r="363" spans="1:21" s="339" customFormat="1" ht="18" customHeight="1" x14ac:dyDescent="0.25">
      <c r="A363" s="334"/>
      <c r="B363" s="335"/>
      <c r="C363" s="335"/>
      <c r="D363" s="335" t="s">
        <v>296</v>
      </c>
      <c r="E363" s="336" t="s">
        <v>298</v>
      </c>
      <c r="F363" s="337">
        <f>+F364+F366</f>
        <v>324491788200</v>
      </c>
      <c r="G363" s="338">
        <f>+G364+G366</f>
        <v>0</v>
      </c>
      <c r="H363" s="338">
        <f>+H364+H366</f>
        <v>0</v>
      </c>
      <c r="I363" s="338">
        <f t="shared" si="221"/>
        <v>0</v>
      </c>
      <c r="J363" s="338">
        <f>+J364+J366</f>
        <v>0</v>
      </c>
      <c r="K363" s="338">
        <f>+K364+K366</f>
        <v>0</v>
      </c>
      <c r="L363" s="338">
        <f t="shared" si="217"/>
        <v>0</v>
      </c>
      <c r="M363" s="338">
        <f t="shared" si="218"/>
        <v>0</v>
      </c>
      <c r="N363" s="337">
        <f t="shared" si="225"/>
        <v>324491788200</v>
      </c>
      <c r="P363" s="340"/>
      <c r="S363" s="347"/>
      <c r="T363" s="347"/>
      <c r="U363" s="342"/>
    </row>
    <row r="364" spans="1:21" s="339" customFormat="1" ht="32.25" customHeight="1" x14ac:dyDescent="0.25">
      <c r="A364" s="334"/>
      <c r="B364" s="335"/>
      <c r="C364" s="335"/>
      <c r="D364" s="335" t="s">
        <v>297</v>
      </c>
      <c r="E364" s="391" t="s">
        <v>300</v>
      </c>
      <c r="F364" s="337">
        <f>F365</f>
        <v>268985638200</v>
      </c>
      <c r="G364" s="344">
        <f>+G365</f>
        <v>0</v>
      </c>
      <c r="H364" s="344">
        <f>+H365</f>
        <v>0</v>
      </c>
      <c r="I364" s="338">
        <f t="shared" si="221"/>
        <v>0</v>
      </c>
      <c r="J364" s="344">
        <f>+J365</f>
        <v>0</v>
      </c>
      <c r="K364" s="344">
        <f>+K365</f>
        <v>0</v>
      </c>
      <c r="L364" s="338">
        <f t="shared" si="217"/>
        <v>0</v>
      </c>
      <c r="M364" s="344">
        <f t="shared" si="218"/>
        <v>0</v>
      </c>
      <c r="N364" s="337">
        <f t="shared" si="225"/>
        <v>268985638200</v>
      </c>
      <c r="P364" s="340"/>
      <c r="S364" s="347"/>
      <c r="T364" s="347"/>
      <c r="U364" s="342"/>
    </row>
    <row r="365" spans="1:21" s="339" customFormat="1" ht="29.25" customHeight="1" x14ac:dyDescent="0.25">
      <c r="A365" s="334"/>
      <c r="B365" s="335"/>
      <c r="C365" s="335"/>
      <c r="D365" s="335" t="s">
        <v>299</v>
      </c>
      <c r="E365" s="391" t="s">
        <v>300</v>
      </c>
      <c r="F365" s="337">
        <v>268985638200</v>
      </c>
      <c r="G365" s="338"/>
      <c r="H365" s="338"/>
      <c r="I365" s="338">
        <f t="shared" si="221"/>
        <v>0</v>
      </c>
      <c r="J365" s="344"/>
      <c r="K365" s="338"/>
      <c r="L365" s="338">
        <f>J365+K365</f>
        <v>0</v>
      </c>
      <c r="M365" s="338">
        <f>+I365+L365</f>
        <v>0</v>
      </c>
      <c r="N365" s="405">
        <f t="shared" si="225"/>
        <v>268985638200</v>
      </c>
      <c r="P365" s="340"/>
      <c r="S365" s="345"/>
      <c r="T365" s="345"/>
      <c r="U365" s="342"/>
    </row>
    <row r="366" spans="1:21" s="339" customFormat="1" ht="32.25" customHeight="1" x14ac:dyDescent="0.25">
      <c r="A366" s="334"/>
      <c r="B366" s="335"/>
      <c r="C366" s="335"/>
      <c r="D366" s="335" t="s">
        <v>301</v>
      </c>
      <c r="E366" s="391" t="s">
        <v>303</v>
      </c>
      <c r="F366" s="337">
        <f>F367+F368</f>
        <v>55506150000</v>
      </c>
      <c r="G366" s="344">
        <f>+G367</f>
        <v>0</v>
      </c>
      <c r="H366" s="338">
        <f>+H367</f>
        <v>0</v>
      </c>
      <c r="I366" s="338">
        <f>+G366+H366</f>
        <v>0</v>
      </c>
      <c r="J366" s="344">
        <f>+J367</f>
        <v>0</v>
      </c>
      <c r="K366" s="344">
        <f>+K367</f>
        <v>0</v>
      </c>
      <c r="L366" s="344">
        <f>+J366+K366</f>
        <v>0</v>
      </c>
      <c r="M366" s="344">
        <f t="shared" ref="M366" si="227">+I366+L366</f>
        <v>0</v>
      </c>
      <c r="N366" s="337">
        <f t="shared" si="225"/>
        <v>55506150000</v>
      </c>
      <c r="P366" s="340"/>
      <c r="S366" s="345"/>
      <c r="T366" s="345"/>
      <c r="U366" s="342"/>
    </row>
    <row r="367" spans="1:21" s="153" customFormat="1" ht="29.25" customHeight="1" x14ac:dyDescent="0.25">
      <c r="A367" s="353"/>
      <c r="B367" s="355"/>
      <c r="C367" s="355"/>
      <c r="D367" s="355" t="s">
        <v>480</v>
      </c>
      <c r="E367" s="402" t="s">
        <v>481</v>
      </c>
      <c r="F367" s="356">
        <v>70000000</v>
      </c>
      <c r="G367" s="406"/>
      <c r="H367" s="406"/>
      <c r="I367" s="406">
        <f t="shared" si="221"/>
        <v>0</v>
      </c>
      <c r="J367" s="357"/>
      <c r="K367" s="406"/>
      <c r="L367" s="406">
        <f>J367+K367</f>
        <v>0</v>
      </c>
      <c r="M367" s="406">
        <f>+I367+L367</f>
        <v>0</v>
      </c>
      <c r="N367" s="405">
        <f>+F367-M367</f>
        <v>70000000</v>
      </c>
      <c r="P367" s="200"/>
      <c r="S367" s="410"/>
      <c r="T367" s="410"/>
      <c r="U367" s="254"/>
    </row>
    <row r="368" spans="1:21" s="153" customFormat="1" ht="29.25" customHeight="1" x14ac:dyDescent="0.25">
      <c r="A368" s="353"/>
      <c r="B368" s="355"/>
      <c r="C368" s="355"/>
      <c r="D368" s="355" t="s">
        <v>482</v>
      </c>
      <c r="E368" s="402" t="s">
        <v>483</v>
      </c>
      <c r="F368" s="356">
        <v>55436150000</v>
      </c>
      <c r="G368" s="406"/>
      <c r="H368" s="406"/>
      <c r="I368" s="406">
        <f t="shared" si="221"/>
        <v>0</v>
      </c>
      <c r="J368" s="357"/>
      <c r="K368" s="406"/>
      <c r="L368" s="406">
        <f>J368+K368</f>
        <v>0</v>
      </c>
      <c r="M368" s="406">
        <f>+I368+L368</f>
        <v>0</v>
      </c>
      <c r="N368" s="405">
        <f>+F368-M368</f>
        <v>55436150000</v>
      </c>
      <c r="P368" s="200"/>
      <c r="S368" s="410"/>
      <c r="T368" s="410"/>
      <c r="U368" s="254"/>
    </row>
    <row r="369" spans="1:21" s="319" customFormat="1" ht="18" customHeight="1" x14ac:dyDescent="0.25">
      <c r="A369" s="276">
        <v>22</v>
      </c>
      <c r="B369" s="305"/>
      <c r="C369" s="305" t="s">
        <v>304</v>
      </c>
      <c r="D369" s="363"/>
      <c r="E369" s="364" t="s">
        <v>305</v>
      </c>
      <c r="F369" s="307">
        <f t="shared" ref="F369:H372" si="228">+F370</f>
        <v>8000000000</v>
      </c>
      <c r="G369" s="308">
        <f t="shared" si="228"/>
        <v>0</v>
      </c>
      <c r="H369" s="308">
        <f t="shared" si="228"/>
        <v>0</v>
      </c>
      <c r="I369" s="308">
        <f>+G369+H369</f>
        <v>0</v>
      </c>
      <c r="J369" s="308">
        <f t="shared" ref="J369:K373" si="229">+J370</f>
        <v>0</v>
      </c>
      <c r="K369" s="308">
        <f t="shared" si="229"/>
        <v>0</v>
      </c>
      <c r="L369" s="308">
        <f>+J369+K369</f>
        <v>0</v>
      </c>
      <c r="M369" s="308">
        <f>+I369+L369</f>
        <v>0</v>
      </c>
      <c r="N369" s="307">
        <f>+F369-M369</f>
        <v>8000000000</v>
      </c>
      <c r="P369" s="320"/>
      <c r="R369" s="321"/>
      <c r="S369" s="411"/>
      <c r="T369" s="411"/>
      <c r="U369" s="350"/>
    </row>
    <row r="370" spans="1:21" s="329" customFormat="1" ht="18" customHeight="1" x14ac:dyDescent="0.25">
      <c r="A370" s="323"/>
      <c r="B370" s="324"/>
      <c r="C370" s="324"/>
      <c r="D370" s="325" t="s">
        <v>306</v>
      </c>
      <c r="E370" s="326" t="s">
        <v>307</v>
      </c>
      <c r="F370" s="327">
        <f t="shared" si="228"/>
        <v>8000000000</v>
      </c>
      <c r="G370" s="328">
        <f t="shared" si="228"/>
        <v>0</v>
      </c>
      <c r="H370" s="328">
        <f t="shared" si="228"/>
        <v>0</v>
      </c>
      <c r="I370" s="328">
        <f>+G370+H370</f>
        <v>0</v>
      </c>
      <c r="J370" s="328">
        <f t="shared" si="229"/>
        <v>0</v>
      </c>
      <c r="K370" s="328">
        <f t="shared" si="229"/>
        <v>0</v>
      </c>
      <c r="L370" s="328">
        <f>+J370+K370</f>
        <v>0</v>
      </c>
      <c r="M370" s="328">
        <f t="shared" ref="M370:M373" si="230">+I370+L370</f>
        <v>0</v>
      </c>
      <c r="N370" s="327">
        <f t="shared" ref="N370:N373" si="231">+F370-M370</f>
        <v>8000000000</v>
      </c>
      <c r="P370" s="330"/>
      <c r="R370" s="331"/>
      <c r="S370" s="332"/>
      <c r="T370" s="332"/>
      <c r="U370" s="333"/>
    </row>
    <row r="371" spans="1:21" s="381" customFormat="1" ht="18" customHeight="1" x14ac:dyDescent="0.25">
      <c r="A371" s="384"/>
      <c r="B371" s="335"/>
      <c r="C371" s="335"/>
      <c r="D371" s="335" t="s">
        <v>308</v>
      </c>
      <c r="E371" s="335" t="s">
        <v>307</v>
      </c>
      <c r="F371" s="337">
        <f t="shared" si="228"/>
        <v>8000000000</v>
      </c>
      <c r="G371" s="338">
        <f t="shared" si="228"/>
        <v>0</v>
      </c>
      <c r="H371" s="338">
        <f t="shared" si="228"/>
        <v>0</v>
      </c>
      <c r="I371" s="338">
        <f>+G371+H371</f>
        <v>0</v>
      </c>
      <c r="J371" s="338">
        <f t="shared" si="229"/>
        <v>0</v>
      </c>
      <c r="K371" s="338">
        <f t="shared" si="229"/>
        <v>0</v>
      </c>
      <c r="L371" s="338">
        <f>+J371+K371</f>
        <v>0</v>
      </c>
      <c r="M371" s="338">
        <f t="shared" si="230"/>
        <v>0</v>
      </c>
      <c r="N371" s="405">
        <f t="shared" si="231"/>
        <v>8000000000</v>
      </c>
      <c r="P371" s="340"/>
      <c r="S371" s="412"/>
      <c r="T371" s="412"/>
      <c r="U371" s="382"/>
    </row>
    <row r="372" spans="1:21" s="339" customFormat="1" ht="18" customHeight="1" x14ac:dyDescent="0.25">
      <c r="A372" s="334"/>
      <c r="B372" s="335"/>
      <c r="C372" s="335"/>
      <c r="D372" s="335" t="s">
        <v>309</v>
      </c>
      <c r="E372" s="336" t="s">
        <v>307</v>
      </c>
      <c r="F372" s="337">
        <f t="shared" si="228"/>
        <v>8000000000</v>
      </c>
      <c r="G372" s="338">
        <f t="shared" si="228"/>
        <v>0</v>
      </c>
      <c r="H372" s="338">
        <f t="shared" si="228"/>
        <v>0</v>
      </c>
      <c r="I372" s="338">
        <f>+G372+H372</f>
        <v>0</v>
      </c>
      <c r="J372" s="338">
        <f t="shared" si="229"/>
        <v>0</v>
      </c>
      <c r="K372" s="338">
        <f t="shared" si="229"/>
        <v>0</v>
      </c>
      <c r="L372" s="338">
        <f>+J372+K372</f>
        <v>0</v>
      </c>
      <c r="M372" s="338">
        <f t="shared" si="230"/>
        <v>0</v>
      </c>
      <c r="N372" s="337">
        <f t="shared" si="231"/>
        <v>8000000000</v>
      </c>
      <c r="P372" s="340"/>
      <c r="S372" s="341"/>
      <c r="T372" s="341"/>
      <c r="U372" s="342"/>
    </row>
    <row r="373" spans="1:21" s="339" customFormat="1" ht="17.25" customHeight="1" x14ac:dyDescent="0.25">
      <c r="A373" s="334"/>
      <c r="B373" s="335"/>
      <c r="C373" s="335"/>
      <c r="D373" s="335" t="s">
        <v>310</v>
      </c>
      <c r="E373" s="391" t="s">
        <v>307</v>
      </c>
      <c r="F373" s="337">
        <f>F374</f>
        <v>8000000000</v>
      </c>
      <c r="G373" s="344">
        <f>+G374</f>
        <v>0</v>
      </c>
      <c r="H373" s="344">
        <f>+H374</f>
        <v>0</v>
      </c>
      <c r="I373" s="338">
        <f>+G373+H373</f>
        <v>0</v>
      </c>
      <c r="J373" s="344">
        <f t="shared" si="229"/>
        <v>0</v>
      </c>
      <c r="K373" s="344">
        <f t="shared" si="229"/>
        <v>0</v>
      </c>
      <c r="L373" s="338">
        <f>+J373+K373</f>
        <v>0</v>
      </c>
      <c r="M373" s="344">
        <f t="shared" si="230"/>
        <v>0</v>
      </c>
      <c r="N373" s="337">
        <f t="shared" si="231"/>
        <v>8000000000</v>
      </c>
      <c r="P373" s="340"/>
      <c r="S373" s="345"/>
      <c r="T373" s="345"/>
      <c r="U373" s="342"/>
    </row>
    <row r="374" spans="1:21" s="153" customFormat="1" ht="20.25" customHeight="1" x14ac:dyDescent="0.25">
      <c r="A374" s="353"/>
      <c r="B374" s="355"/>
      <c r="C374" s="355"/>
      <c r="D374" s="355" t="s">
        <v>311</v>
      </c>
      <c r="E374" s="402" t="s">
        <v>307</v>
      </c>
      <c r="F374" s="356">
        <v>8000000000</v>
      </c>
      <c r="G374" s="406"/>
      <c r="H374" s="406"/>
      <c r="I374" s="406">
        <f t="shared" ref="I374:I383" si="232">+G374+H374</f>
        <v>0</v>
      </c>
      <c r="J374" s="357"/>
      <c r="K374" s="406"/>
      <c r="L374" s="406">
        <f>J374+K374</f>
        <v>0</v>
      </c>
      <c r="M374" s="406">
        <f>+I374+L374</f>
        <v>0</v>
      </c>
      <c r="N374" s="405">
        <f>+F374-M374</f>
        <v>8000000000</v>
      </c>
      <c r="P374" s="200"/>
      <c r="S374" s="410"/>
      <c r="T374" s="410"/>
      <c r="U374" s="254"/>
    </row>
    <row r="375" spans="1:21" s="319" customFormat="1" ht="18" customHeight="1" x14ac:dyDescent="0.25">
      <c r="A375" s="276">
        <v>23</v>
      </c>
      <c r="B375" s="305"/>
      <c r="C375" s="305" t="s">
        <v>320</v>
      </c>
      <c r="D375" s="363"/>
      <c r="E375" s="364" t="s">
        <v>312</v>
      </c>
      <c r="F375" s="307">
        <f t="shared" ref="F375:H376" si="233">+F376</f>
        <v>19577417200</v>
      </c>
      <c r="G375" s="308">
        <f t="shared" si="233"/>
        <v>0</v>
      </c>
      <c r="H375" s="308">
        <f t="shared" si="233"/>
        <v>0</v>
      </c>
      <c r="I375" s="308">
        <f t="shared" si="232"/>
        <v>0</v>
      </c>
      <c r="J375" s="308">
        <f>+J376</f>
        <v>0</v>
      </c>
      <c r="K375" s="308">
        <f>+K376</f>
        <v>0</v>
      </c>
      <c r="L375" s="308">
        <f>+J375+K375</f>
        <v>0</v>
      </c>
      <c r="M375" s="308">
        <f>+I375+L375</f>
        <v>0</v>
      </c>
      <c r="N375" s="307">
        <f>+F375-M375</f>
        <v>19577417200</v>
      </c>
      <c r="P375" s="320"/>
      <c r="R375" s="321"/>
      <c r="S375" s="411"/>
      <c r="T375" s="411"/>
      <c r="U375" s="350"/>
    </row>
    <row r="376" spans="1:21" s="329" customFormat="1" ht="18" customHeight="1" x14ac:dyDescent="0.25">
      <c r="A376" s="323"/>
      <c r="B376" s="324"/>
      <c r="C376" s="324"/>
      <c r="D376" s="325" t="s">
        <v>287</v>
      </c>
      <c r="E376" s="326" t="s">
        <v>288</v>
      </c>
      <c r="F376" s="327">
        <f t="shared" si="233"/>
        <v>19577417200</v>
      </c>
      <c r="G376" s="328">
        <f t="shared" si="233"/>
        <v>0</v>
      </c>
      <c r="H376" s="328">
        <f t="shared" si="233"/>
        <v>0</v>
      </c>
      <c r="I376" s="328">
        <f t="shared" si="232"/>
        <v>0</v>
      </c>
      <c r="J376" s="328">
        <f>+J377</f>
        <v>0</v>
      </c>
      <c r="K376" s="328">
        <f>+K377</f>
        <v>0</v>
      </c>
      <c r="L376" s="328">
        <f>+J376+K376</f>
        <v>0</v>
      </c>
      <c r="M376" s="328">
        <f t="shared" ref="M376:M379" si="234">+I376+L376</f>
        <v>0</v>
      </c>
      <c r="N376" s="327">
        <f t="shared" ref="N376:N379" si="235">+F376-M376</f>
        <v>19577417200</v>
      </c>
      <c r="P376" s="330"/>
      <c r="R376" s="331"/>
      <c r="S376" s="332"/>
      <c r="T376" s="332"/>
      <c r="U376" s="333"/>
    </row>
    <row r="377" spans="1:21" s="381" customFormat="1" ht="18" customHeight="1" x14ac:dyDescent="0.25">
      <c r="A377" s="384"/>
      <c r="B377" s="335"/>
      <c r="C377" s="335"/>
      <c r="D377" s="335" t="s">
        <v>313</v>
      </c>
      <c r="E377" s="335" t="s">
        <v>415</v>
      </c>
      <c r="F377" s="337">
        <f>+F378+F381</f>
        <v>19577417200</v>
      </c>
      <c r="G377" s="338">
        <f>+G378+G381</f>
        <v>0</v>
      </c>
      <c r="H377" s="338">
        <f>+H378+H381</f>
        <v>0</v>
      </c>
      <c r="I377" s="338">
        <f t="shared" si="232"/>
        <v>0</v>
      </c>
      <c r="J377" s="338">
        <f>+J378+J381</f>
        <v>0</v>
      </c>
      <c r="K377" s="338">
        <f>+K378+K381</f>
        <v>0</v>
      </c>
      <c r="L377" s="338">
        <f>+J377+K377</f>
        <v>0</v>
      </c>
      <c r="M377" s="338">
        <f t="shared" si="234"/>
        <v>0</v>
      </c>
      <c r="N377" s="405">
        <f t="shared" si="235"/>
        <v>19577417200</v>
      </c>
      <c r="P377" s="340"/>
      <c r="S377" s="412"/>
      <c r="T377" s="412"/>
      <c r="U377" s="382"/>
    </row>
    <row r="378" spans="1:21" s="339" customFormat="1" ht="31.5" customHeight="1" x14ac:dyDescent="0.25">
      <c r="A378" s="334"/>
      <c r="B378" s="335"/>
      <c r="C378" s="335"/>
      <c r="D378" s="335" t="s">
        <v>314</v>
      </c>
      <c r="E378" s="413" t="s">
        <v>416</v>
      </c>
      <c r="F378" s="337">
        <f>+F379</f>
        <v>18835000000</v>
      </c>
      <c r="G378" s="338">
        <f>+G379</f>
        <v>0</v>
      </c>
      <c r="H378" s="338">
        <f>+H379</f>
        <v>0</v>
      </c>
      <c r="I378" s="338">
        <f t="shared" si="232"/>
        <v>0</v>
      </c>
      <c r="J378" s="338">
        <f>+J379</f>
        <v>0</v>
      </c>
      <c r="K378" s="338">
        <f>+K379</f>
        <v>0</v>
      </c>
      <c r="L378" s="338">
        <f>+J378+K378</f>
        <v>0</v>
      </c>
      <c r="M378" s="338">
        <f t="shared" si="234"/>
        <v>0</v>
      </c>
      <c r="N378" s="337">
        <f t="shared" si="235"/>
        <v>18835000000</v>
      </c>
      <c r="P378" s="340"/>
      <c r="S378" s="341"/>
      <c r="T378" s="341"/>
      <c r="U378" s="342"/>
    </row>
    <row r="379" spans="1:21" s="339" customFormat="1" ht="17.25" customHeight="1" x14ac:dyDescent="0.25">
      <c r="A379" s="334"/>
      <c r="B379" s="335"/>
      <c r="C379" s="335"/>
      <c r="D379" s="335" t="s">
        <v>315</v>
      </c>
      <c r="E379" s="391" t="s">
        <v>417</v>
      </c>
      <c r="F379" s="337">
        <f>F380</f>
        <v>18835000000</v>
      </c>
      <c r="G379" s="344">
        <f>+G380</f>
        <v>0</v>
      </c>
      <c r="H379" s="344">
        <f>+H380</f>
        <v>0</v>
      </c>
      <c r="I379" s="338">
        <f t="shared" si="232"/>
        <v>0</v>
      </c>
      <c r="J379" s="344">
        <f>+J380</f>
        <v>0</v>
      </c>
      <c r="K379" s="344">
        <f>+K380</f>
        <v>0</v>
      </c>
      <c r="L379" s="338">
        <f>+J379+K379</f>
        <v>0</v>
      </c>
      <c r="M379" s="344">
        <f t="shared" si="234"/>
        <v>0</v>
      </c>
      <c r="N379" s="337">
        <f t="shared" si="235"/>
        <v>18835000000</v>
      </c>
      <c r="P379" s="340"/>
      <c r="S379" s="345"/>
      <c r="T379" s="345"/>
      <c r="U379" s="342"/>
    </row>
    <row r="380" spans="1:21" s="339" customFormat="1" ht="20.25" customHeight="1" x14ac:dyDescent="0.25">
      <c r="A380" s="334"/>
      <c r="B380" s="335"/>
      <c r="C380" s="335"/>
      <c r="D380" s="335" t="s">
        <v>316</v>
      </c>
      <c r="E380" s="391" t="s">
        <v>417</v>
      </c>
      <c r="F380" s="337">
        <v>18835000000</v>
      </c>
      <c r="G380" s="338"/>
      <c r="H380" s="338"/>
      <c r="I380" s="338">
        <f t="shared" si="232"/>
        <v>0</v>
      </c>
      <c r="J380" s="344"/>
      <c r="K380" s="338"/>
      <c r="L380" s="338">
        <f>J380+K380</f>
        <v>0</v>
      </c>
      <c r="M380" s="338">
        <f>+I380+L380</f>
        <v>0</v>
      </c>
      <c r="N380" s="405">
        <f>+F380-M380</f>
        <v>18835000000</v>
      </c>
      <c r="P380" s="340"/>
      <c r="S380" s="345"/>
      <c r="T380" s="345"/>
      <c r="U380" s="342"/>
    </row>
    <row r="381" spans="1:21" s="339" customFormat="1" ht="20.25" customHeight="1" x14ac:dyDescent="0.25">
      <c r="A381" s="334"/>
      <c r="B381" s="335"/>
      <c r="C381" s="335"/>
      <c r="D381" s="335" t="s">
        <v>317</v>
      </c>
      <c r="E381" s="413" t="s">
        <v>418</v>
      </c>
      <c r="F381" s="337">
        <f>+F382</f>
        <v>742417200</v>
      </c>
      <c r="G381" s="338">
        <f>+G382</f>
        <v>0</v>
      </c>
      <c r="H381" s="338">
        <f>+H382</f>
        <v>0</v>
      </c>
      <c r="I381" s="338">
        <f t="shared" si="232"/>
        <v>0</v>
      </c>
      <c r="J381" s="338">
        <f>+J382</f>
        <v>0</v>
      </c>
      <c r="K381" s="338">
        <f>+K382</f>
        <v>0</v>
      </c>
      <c r="L381" s="338">
        <f>+J381+K381</f>
        <v>0</v>
      </c>
      <c r="M381" s="338">
        <f t="shared" ref="M381:M382" si="236">+I381+L381</f>
        <v>0</v>
      </c>
      <c r="N381" s="337">
        <f t="shared" ref="N381:N382" si="237">+F381-M381</f>
        <v>742417200</v>
      </c>
      <c r="P381" s="340"/>
      <c r="S381" s="341"/>
      <c r="T381" s="341"/>
      <c r="U381" s="342"/>
    </row>
    <row r="382" spans="1:21" s="339" customFormat="1" ht="17.25" customHeight="1" x14ac:dyDescent="0.25">
      <c r="A382" s="334"/>
      <c r="B382" s="335"/>
      <c r="C382" s="335"/>
      <c r="D382" s="335" t="s">
        <v>318</v>
      </c>
      <c r="E382" s="391" t="s">
        <v>418</v>
      </c>
      <c r="F382" s="337">
        <f>F383</f>
        <v>742417200</v>
      </c>
      <c r="G382" s="344">
        <f>+G383</f>
        <v>0</v>
      </c>
      <c r="H382" s="344">
        <f>+H383</f>
        <v>0</v>
      </c>
      <c r="I382" s="338">
        <f t="shared" si="232"/>
        <v>0</v>
      </c>
      <c r="J382" s="344">
        <f>+J383</f>
        <v>0</v>
      </c>
      <c r="K382" s="344">
        <f>+K383</f>
        <v>0</v>
      </c>
      <c r="L382" s="338">
        <f>+J382+K382</f>
        <v>0</v>
      </c>
      <c r="M382" s="344">
        <f t="shared" si="236"/>
        <v>0</v>
      </c>
      <c r="N382" s="337">
        <f t="shared" si="237"/>
        <v>742417200</v>
      </c>
      <c r="P382" s="340"/>
      <c r="S382" s="345"/>
      <c r="T382" s="345"/>
      <c r="U382" s="342"/>
    </row>
    <row r="383" spans="1:21" ht="20.25" customHeight="1" x14ac:dyDescent="0.25">
      <c r="A383" s="301"/>
      <c r="B383" s="414"/>
      <c r="C383" s="414"/>
      <c r="D383" s="414" t="s">
        <v>319</v>
      </c>
      <c r="E383" s="415" t="s">
        <v>418</v>
      </c>
      <c r="F383" s="416">
        <v>742417200</v>
      </c>
      <c r="G383" s="417"/>
      <c r="H383" s="417"/>
      <c r="I383" s="417">
        <f t="shared" si="232"/>
        <v>0</v>
      </c>
      <c r="J383" s="35"/>
      <c r="K383" s="417"/>
      <c r="L383" s="417">
        <f>J383+K383</f>
        <v>0</v>
      </c>
      <c r="M383" s="417">
        <f>+I383+L383</f>
        <v>0</v>
      </c>
      <c r="N383" s="418">
        <f>+F383-M383</f>
        <v>742417200</v>
      </c>
      <c r="S383" s="419"/>
      <c r="T383" s="419"/>
      <c r="U383" s="420"/>
    </row>
    <row r="384" spans="1:21" ht="18" customHeight="1" x14ac:dyDescent="0.25">
      <c r="A384" s="302"/>
      <c r="B384" s="421"/>
      <c r="C384" s="421"/>
      <c r="D384" s="421"/>
      <c r="E384" s="421"/>
      <c r="F384" s="422"/>
      <c r="G384" s="423"/>
      <c r="H384" s="423"/>
      <c r="I384" s="423"/>
      <c r="J384" s="423"/>
      <c r="K384" s="423"/>
      <c r="L384" s="423"/>
      <c r="M384" s="423"/>
      <c r="N384" s="422"/>
      <c r="U384" s="420"/>
    </row>
    <row r="385" spans="1:21" ht="18" customHeight="1" x14ac:dyDescent="0.25">
      <c r="A385" s="301"/>
      <c r="B385" s="414"/>
      <c r="C385" s="414"/>
      <c r="D385" s="414"/>
      <c r="E385" s="414" t="s">
        <v>41</v>
      </c>
      <c r="F385" s="35"/>
      <c r="G385" s="35"/>
      <c r="H385" s="35"/>
      <c r="I385" s="35"/>
      <c r="J385" s="35"/>
      <c r="K385" s="35"/>
      <c r="L385" s="35"/>
      <c r="M385" s="35"/>
      <c r="N385" s="416"/>
      <c r="U385" s="420"/>
    </row>
    <row r="386" spans="1:21" ht="18" customHeight="1" x14ac:dyDescent="0.25">
      <c r="A386" s="301"/>
      <c r="B386" s="414"/>
      <c r="C386" s="414"/>
      <c r="D386" s="414"/>
      <c r="E386" s="414" t="s">
        <v>21</v>
      </c>
      <c r="F386" s="35"/>
      <c r="G386" s="35">
        <f>+G17</f>
        <v>0</v>
      </c>
      <c r="H386" s="35">
        <f>+H17</f>
        <v>3650670167</v>
      </c>
      <c r="I386" s="35">
        <f>+I17</f>
        <v>3650670167</v>
      </c>
      <c r="J386" s="35">
        <f>+J17</f>
        <v>0</v>
      </c>
      <c r="K386" s="35">
        <f>+K17</f>
        <v>114284700</v>
      </c>
      <c r="L386" s="35">
        <f t="shared" ref="L386:L391" si="238">+J386+K386</f>
        <v>114284700</v>
      </c>
      <c r="M386" s="35">
        <f>+I386+L386</f>
        <v>3764954867</v>
      </c>
      <c r="N386" s="416"/>
      <c r="U386" s="420"/>
    </row>
    <row r="387" spans="1:21" ht="18" customHeight="1" x14ac:dyDescent="0.25">
      <c r="A387" s="301"/>
      <c r="B387" s="414"/>
      <c r="C387" s="414"/>
      <c r="D387" s="414"/>
      <c r="E387" s="414" t="s">
        <v>42</v>
      </c>
      <c r="F387" s="35"/>
      <c r="G387" s="35">
        <f>+SUM(G388:G401)</f>
        <v>0</v>
      </c>
      <c r="H387" s="35">
        <f>+SUM(H388:H401)</f>
        <v>69770614</v>
      </c>
      <c r="I387" s="35">
        <f>+G387+H387</f>
        <v>69770614</v>
      </c>
      <c r="J387" s="35">
        <f>+SUM(J388:J401)</f>
        <v>0</v>
      </c>
      <c r="K387" s="35">
        <f>+SUM(K388:K401)</f>
        <v>2165454</v>
      </c>
      <c r="L387" s="35">
        <f>+J387+K387</f>
        <v>2165454</v>
      </c>
      <c r="M387" s="424">
        <f>+I387+L387</f>
        <v>71936068</v>
      </c>
      <c r="N387" s="416"/>
      <c r="P387" s="294">
        <f>+M386+M387</f>
        <v>3836890935</v>
      </c>
      <c r="U387" s="420"/>
    </row>
    <row r="388" spans="1:21" ht="18" customHeight="1" x14ac:dyDescent="0.25">
      <c r="A388" s="301"/>
      <c r="B388" s="414"/>
      <c r="C388" s="414"/>
      <c r="D388" s="414"/>
      <c r="E388" s="425" t="s">
        <v>24</v>
      </c>
      <c r="F388" s="35"/>
      <c r="G388" s="35"/>
      <c r="H388" s="35"/>
      <c r="I388" s="35">
        <f>+G388+H388</f>
        <v>0</v>
      </c>
      <c r="J388" s="35"/>
      <c r="K388" s="35">
        <v>1804545</v>
      </c>
      <c r="L388" s="35">
        <f t="shared" si="238"/>
        <v>1804545</v>
      </c>
      <c r="M388" s="35">
        <f t="shared" ref="M388:M391" si="239">+I388+L388</f>
        <v>1804545</v>
      </c>
      <c r="N388" s="416"/>
      <c r="U388" s="420"/>
    </row>
    <row r="389" spans="1:21" ht="18" customHeight="1" x14ac:dyDescent="0.25">
      <c r="A389" s="301"/>
      <c r="B389" s="414"/>
      <c r="C389" s="414"/>
      <c r="D389" s="414"/>
      <c r="E389" s="425" t="s">
        <v>22</v>
      </c>
      <c r="F389" s="35"/>
      <c r="G389" s="35"/>
      <c r="H389" s="35">
        <f>22526970+277647</f>
        <v>22804617</v>
      </c>
      <c r="I389" s="35">
        <f>+G389+H389</f>
        <v>22804617</v>
      </c>
      <c r="J389" s="35"/>
      <c r="K389" s="35"/>
      <c r="L389" s="35">
        <f t="shared" si="238"/>
        <v>0</v>
      </c>
      <c r="M389" s="35">
        <f t="shared" si="239"/>
        <v>22804617</v>
      </c>
      <c r="N389" s="416"/>
      <c r="U389" s="420"/>
    </row>
    <row r="390" spans="1:21" ht="18" customHeight="1" x14ac:dyDescent="0.25">
      <c r="A390" s="299"/>
      <c r="B390" s="426"/>
      <c r="C390" s="426"/>
      <c r="D390" s="426"/>
      <c r="E390" s="427" t="s">
        <v>25</v>
      </c>
      <c r="F390" s="236"/>
      <c r="G390" s="236"/>
      <c r="H390" s="236"/>
      <c r="I390" s="236">
        <f>+G390+H390</f>
        <v>0</v>
      </c>
      <c r="J390" s="236"/>
      <c r="K390" s="236"/>
      <c r="L390" s="236">
        <f t="shared" si="238"/>
        <v>0</v>
      </c>
      <c r="M390" s="236">
        <f t="shared" si="239"/>
        <v>0</v>
      </c>
      <c r="N390" s="428"/>
      <c r="Q390" s="298"/>
      <c r="U390" s="420"/>
    </row>
    <row r="391" spans="1:21" ht="18" customHeight="1" x14ac:dyDescent="0.25">
      <c r="A391" s="301"/>
      <c r="B391" s="414"/>
      <c r="C391" s="414"/>
      <c r="D391" s="414"/>
      <c r="E391" s="425" t="s">
        <v>26</v>
      </c>
      <c r="F391" s="35"/>
      <c r="G391" s="35"/>
      <c r="H391" s="35"/>
      <c r="I391" s="35">
        <f>+G391+H391</f>
        <v>0</v>
      </c>
      <c r="J391" s="35"/>
      <c r="K391" s="35">
        <v>360909</v>
      </c>
      <c r="L391" s="35">
        <f t="shared" si="238"/>
        <v>360909</v>
      </c>
      <c r="M391" s="35">
        <f t="shared" si="239"/>
        <v>360909</v>
      </c>
      <c r="N391" s="416"/>
      <c r="U391" s="420"/>
    </row>
    <row r="392" spans="1:21" ht="18" customHeight="1" x14ac:dyDescent="0.25">
      <c r="A392" s="301"/>
      <c r="B392" s="414"/>
      <c r="C392" s="414"/>
      <c r="D392" s="414"/>
      <c r="E392" s="425" t="s">
        <v>40</v>
      </c>
      <c r="F392" s="35"/>
      <c r="G392" s="35"/>
      <c r="H392" s="35"/>
      <c r="I392" s="35"/>
      <c r="J392" s="35"/>
      <c r="K392" s="35"/>
      <c r="L392" s="35"/>
      <c r="M392" s="35"/>
      <c r="N392" s="416"/>
      <c r="U392" s="420"/>
    </row>
    <row r="393" spans="1:21" ht="18" customHeight="1" x14ac:dyDescent="0.25">
      <c r="A393" s="301"/>
      <c r="B393" s="414"/>
      <c r="C393" s="414"/>
      <c r="D393" s="414"/>
      <c r="E393" s="425" t="s">
        <v>321</v>
      </c>
      <c r="F393" s="35"/>
      <c r="G393" s="35"/>
      <c r="H393" s="35"/>
      <c r="I393" s="35">
        <f>+G393+H393</f>
        <v>0</v>
      </c>
      <c r="J393" s="35"/>
      <c r="K393" s="35"/>
      <c r="L393" s="35">
        <f>+J393+K393</f>
        <v>0</v>
      </c>
      <c r="M393" s="35">
        <f>+I393+L393</f>
        <v>0</v>
      </c>
      <c r="N393" s="416"/>
      <c r="U393" s="420"/>
    </row>
    <row r="394" spans="1:21" ht="18" customHeight="1" x14ac:dyDescent="0.25">
      <c r="A394" s="301"/>
      <c r="B394" s="414"/>
      <c r="C394" s="414"/>
      <c r="D394" s="414"/>
      <c r="E394" s="425" t="s">
        <v>322</v>
      </c>
      <c r="F394" s="35"/>
      <c r="G394" s="35"/>
      <c r="H394" s="35">
        <f>1737798+2928768</f>
        <v>4666566</v>
      </c>
      <c r="I394" s="35">
        <f t="shared" ref="I394:I400" si="240">+G394+H394</f>
        <v>4666566</v>
      </c>
      <c r="J394" s="35"/>
      <c r="K394" s="35"/>
      <c r="L394" s="35">
        <f>+J394+K394</f>
        <v>0</v>
      </c>
      <c r="M394" s="35">
        <f t="shared" ref="M394:M400" si="241">+I394+L394</f>
        <v>4666566</v>
      </c>
      <c r="N394" s="416"/>
      <c r="U394" s="420"/>
    </row>
    <row r="395" spans="1:21" ht="18" customHeight="1" x14ac:dyDescent="0.25">
      <c r="A395" s="301"/>
      <c r="B395" s="414"/>
      <c r="C395" s="414"/>
      <c r="D395" s="414"/>
      <c r="E395" s="425" t="s">
        <v>323</v>
      </c>
      <c r="F395" s="35"/>
      <c r="G395" s="35"/>
      <c r="H395" s="35">
        <f>6951187+11715091</f>
        <v>18666278</v>
      </c>
      <c r="I395" s="35">
        <f t="shared" si="240"/>
        <v>18666278</v>
      </c>
      <c r="J395" s="35"/>
      <c r="K395" s="35"/>
      <c r="L395" s="35"/>
      <c r="M395" s="35">
        <f t="shared" si="241"/>
        <v>18666278</v>
      </c>
      <c r="N395" s="416"/>
      <c r="U395" s="420"/>
    </row>
    <row r="396" spans="1:21" ht="18" customHeight="1" x14ac:dyDescent="0.25">
      <c r="A396" s="301"/>
      <c r="B396" s="414"/>
      <c r="C396" s="414"/>
      <c r="D396" s="414"/>
      <c r="E396" s="425" t="s">
        <v>324</v>
      </c>
      <c r="F396" s="35"/>
      <c r="G396" s="35"/>
      <c r="H396" s="35">
        <v>580644</v>
      </c>
      <c r="I396" s="35">
        <f t="shared" si="240"/>
        <v>580644</v>
      </c>
      <c r="J396" s="35"/>
      <c r="K396" s="35"/>
      <c r="L396" s="35"/>
      <c r="M396" s="35">
        <f t="shared" si="241"/>
        <v>580644</v>
      </c>
      <c r="N396" s="416"/>
      <c r="U396" s="420"/>
    </row>
    <row r="397" spans="1:21" ht="18" customHeight="1" x14ac:dyDescent="0.25">
      <c r="A397" s="301"/>
      <c r="B397" s="414"/>
      <c r="C397" s="414"/>
      <c r="D397" s="414"/>
      <c r="E397" s="425" t="s">
        <v>325</v>
      </c>
      <c r="F397" s="35"/>
      <c r="G397" s="35"/>
      <c r="H397" s="35">
        <v>1741930</v>
      </c>
      <c r="I397" s="35">
        <f t="shared" si="240"/>
        <v>1741930</v>
      </c>
      <c r="J397" s="35"/>
      <c r="K397" s="35"/>
      <c r="L397" s="35"/>
      <c r="M397" s="35">
        <f t="shared" si="241"/>
        <v>1741930</v>
      </c>
      <c r="N397" s="416"/>
      <c r="U397" s="420"/>
    </row>
    <row r="398" spans="1:21" ht="18" customHeight="1" x14ac:dyDescent="0.25">
      <c r="A398" s="301"/>
      <c r="B398" s="414"/>
      <c r="C398" s="414"/>
      <c r="D398" s="414"/>
      <c r="E398" s="425" t="s">
        <v>326</v>
      </c>
      <c r="F398" s="35"/>
      <c r="G398" s="35"/>
      <c r="H398" s="35">
        <v>21310579</v>
      </c>
      <c r="I398" s="35">
        <f t="shared" si="240"/>
        <v>21310579</v>
      </c>
      <c r="J398" s="35"/>
      <c r="K398" s="35"/>
      <c r="L398" s="35"/>
      <c r="M398" s="35">
        <f t="shared" si="241"/>
        <v>21310579</v>
      </c>
      <c r="N398" s="416"/>
      <c r="U398" s="420"/>
    </row>
    <row r="399" spans="1:21" ht="18" customHeight="1" x14ac:dyDescent="0.25">
      <c r="A399" s="299"/>
      <c r="B399" s="426"/>
      <c r="C399" s="426"/>
      <c r="D399" s="426"/>
      <c r="E399" s="427" t="s">
        <v>327</v>
      </c>
      <c r="F399" s="236"/>
      <c r="G399" s="236"/>
      <c r="H399" s="236"/>
      <c r="I399" s="236"/>
      <c r="J399" s="236"/>
      <c r="K399" s="236"/>
      <c r="L399" s="236">
        <f>+J399+K399</f>
        <v>0</v>
      </c>
      <c r="M399" s="236">
        <f t="shared" si="241"/>
        <v>0</v>
      </c>
      <c r="N399" s="428"/>
      <c r="U399" s="420"/>
    </row>
    <row r="400" spans="1:21" ht="18" customHeight="1" x14ac:dyDescent="0.25">
      <c r="A400" s="301"/>
      <c r="B400" s="414"/>
      <c r="C400" s="414"/>
      <c r="D400" s="414"/>
      <c r="E400" s="425" t="s">
        <v>426</v>
      </c>
      <c r="F400" s="35"/>
      <c r="G400" s="35"/>
      <c r="H400" s="35"/>
      <c r="I400" s="35">
        <f t="shared" si="240"/>
        <v>0</v>
      </c>
      <c r="J400" s="35"/>
      <c r="K400" s="35"/>
      <c r="L400" s="35"/>
      <c r="M400" s="35">
        <f t="shared" si="241"/>
        <v>0</v>
      </c>
      <c r="N400" s="416"/>
      <c r="U400" s="420"/>
    </row>
    <row r="401" spans="1:21" ht="18" customHeight="1" x14ac:dyDescent="0.25">
      <c r="A401" s="301"/>
      <c r="B401" s="414"/>
      <c r="C401" s="414"/>
      <c r="D401" s="414"/>
      <c r="E401" s="414" t="s">
        <v>23</v>
      </c>
      <c r="F401" s="35"/>
      <c r="G401" s="35"/>
      <c r="H401" s="35"/>
      <c r="I401" s="35"/>
      <c r="J401" s="35"/>
      <c r="K401" s="35"/>
      <c r="L401" s="35"/>
      <c r="M401" s="35"/>
      <c r="N401" s="416"/>
      <c r="U401" s="420"/>
    </row>
    <row r="402" spans="1:21" ht="18" customHeight="1" x14ac:dyDescent="0.25">
      <c r="A402" s="301"/>
      <c r="B402" s="414"/>
      <c r="C402" s="414"/>
      <c r="D402" s="414"/>
      <c r="E402" s="429" t="s">
        <v>27</v>
      </c>
      <c r="F402" s="423"/>
      <c r="G402" s="430"/>
      <c r="H402" s="430">
        <v>0</v>
      </c>
      <c r="I402" s="430">
        <v>0</v>
      </c>
      <c r="J402" s="430">
        <v>0</v>
      </c>
      <c r="K402" s="430">
        <v>0</v>
      </c>
      <c r="L402" s="430">
        <v>0</v>
      </c>
      <c r="M402" s="430">
        <v>0</v>
      </c>
      <c r="N402" s="422"/>
      <c r="Q402" s="298"/>
      <c r="U402" s="420"/>
    </row>
    <row r="403" spans="1:21" ht="18" customHeight="1" x14ac:dyDescent="0.25">
      <c r="A403" s="301"/>
      <c r="B403" s="414"/>
      <c r="C403" s="414"/>
      <c r="D403" s="414"/>
      <c r="E403" s="414"/>
      <c r="F403" s="35"/>
      <c r="G403" s="35"/>
      <c r="H403" s="35"/>
      <c r="I403" s="35"/>
      <c r="J403" s="35"/>
      <c r="K403" s="35"/>
      <c r="L403" s="35"/>
      <c r="M403" s="35"/>
      <c r="N403" s="416"/>
      <c r="U403" s="420"/>
    </row>
    <row r="404" spans="1:21" ht="18" customHeight="1" x14ac:dyDescent="0.25">
      <c r="A404" s="301"/>
      <c r="B404" s="414"/>
      <c r="C404" s="414"/>
      <c r="D404" s="414"/>
      <c r="E404" s="414" t="s">
        <v>328</v>
      </c>
      <c r="F404" s="35"/>
      <c r="G404" s="35"/>
      <c r="H404" s="35"/>
      <c r="I404" s="35"/>
      <c r="J404" s="35"/>
      <c r="K404" s="35"/>
      <c r="L404" s="35"/>
      <c r="M404" s="35"/>
      <c r="N404" s="416"/>
      <c r="U404" s="420"/>
    </row>
    <row r="405" spans="1:21" ht="14.25" customHeight="1" x14ac:dyDescent="0.25">
      <c r="A405" s="301"/>
      <c r="B405" s="414"/>
      <c r="C405" s="414"/>
      <c r="D405" s="414"/>
      <c r="E405" s="414" t="s">
        <v>21</v>
      </c>
      <c r="F405" s="35"/>
      <c r="G405" s="35">
        <f>+G386</f>
        <v>0</v>
      </c>
      <c r="H405" s="424">
        <f>+H386</f>
        <v>3650670167</v>
      </c>
      <c r="I405" s="35">
        <f t="shared" ref="I405:L405" si="242">+I386</f>
        <v>3650670167</v>
      </c>
      <c r="J405" s="35">
        <f t="shared" si="242"/>
        <v>0</v>
      </c>
      <c r="K405" s="35">
        <f t="shared" si="242"/>
        <v>114284700</v>
      </c>
      <c r="L405" s="35">
        <f t="shared" si="242"/>
        <v>114284700</v>
      </c>
      <c r="M405" s="35">
        <f>+M386</f>
        <v>3764954867</v>
      </c>
      <c r="N405" s="416"/>
      <c r="O405" s="431"/>
      <c r="U405" s="420"/>
    </row>
    <row r="406" spans="1:21" ht="14.25" customHeight="1" x14ac:dyDescent="0.25">
      <c r="A406" s="301"/>
      <c r="B406" s="414"/>
      <c r="C406" s="414"/>
      <c r="D406" s="414"/>
      <c r="E406" s="414" t="s">
        <v>42</v>
      </c>
      <c r="F406" s="35"/>
      <c r="G406" s="35">
        <f>+SUM(G407:G420)</f>
        <v>0</v>
      </c>
      <c r="H406" s="35">
        <f>+SUM(H407:H420)</f>
        <v>69770614</v>
      </c>
      <c r="I406" s="35">
        <f>+G406+H406</f>
        <v>69770614</v>
      </c>
      <c r="J406" s="35">
        <f>+SUM(J407:J420)</f>
        <v>0</v>
      </c>
      <c r="K406" s="35">
        <f>+SUM(K407:K420)</f>
        <v>2165454</v>
      </c>
      <c r="L406" s="35">
        <f>+J406+K406</f>
        <v>2165454</v>
      </c>
      <c r="M406" s="424">
        <f>+I406+L406</f>
        <v>71936068</v>
      </c>
      <c r="N406" s="416"/>
      <c r="U406" s="420"/>
    </row>
    <row r="407" spans="1:21" ht="15.75" customHeight="1" x14ac:dyDescent="0.25">
      <c r="A407" s="301"/>
      <c r="B407" s="414"/>
      <c r="C407" s="414"/>
      <c r="D407" s="414"/>
      <c r="E407" s="425" t="s">
        <v>24</v>
      </c>
      <c r="F407" s="35"/>
      <c r="G407" s="35"/>
      <c r="H407" s="35"/>
      <c r="I407" s="35">
        <f>+G407+H407</f>
        <v>0</v>
      </c>
      <c r="J407" s="35"/>
      <c r="K407" s="35">
        <v>1804545</v>
      </c>
      <c r="L407" s="35">
        <f>+J407+K407</f>
        <v>1804545</v>
      </c>
      <c r="M407" s="35">
        <f>+I407+L407</f>
        <v>1804545</v>
      </c>
      <c r="N407" s="416"/>
      <c r="U407" s="420"/>
    </row>
    <row r="408" spans="1:21" ht="15.75" customHeight="1" x14ac:dyDescent="0.25">
      <c r="A408" s="301"/>
      <c r="B408" s="414"/>
      <c r="C408" s="414"/>
      <c r="D408" s="414"/>
      <c r="E408" s="425" t="s">
        <v>22</v>
      </c>
      <c r="F408" s="35"/>
      <c r="G408" s="35"/>
      <c r="H408" s="35">
        <f>22526970+277647</f>
        <v>22804617</v>
      </c>
      <c r="I408" s="35">
        <f>+G408+H408</f>
        <v>22804617</v>
      </c>
      <c r="J408" s="35"/>
      <c r="K408" s="35"/>
      <c r="L408" s="35">
        <f>+J408+K408</f>
        <v>0</v>
      </c>
      <c r="M408" s="35">
        <f>+I408+L408</f>
        <v>22804617</v>
      </c>
      <c r="N408" s="416"/>
      <c r="U408" s="420"/>
    </row>
    <row r="409" spans="1:21" ht="15.75" customHeight="1" x14ac:dyDescent="0.25">
      <c r="A409" s="301"/>
      <c r="B409" s="414"/>
      <c r="C409" s="414"/>
      <c r="D409" s="414"/>
      <c r="E409" s="425" t="s">
        <v>25</v>
      </c>
      <c r="F409" s="35"/>
      <c r="G409" s="35"/>
      <c r="H409" s="236"/>
      <c r="I409" s="35">
        <f>+G409+H409</f>
        <v>0</v>
      </c>
      <c r="J409" s="35"/>
      <c r="K409" s="236"/>
      <c r="L409" s="35">
        <f>+J409+K409</f>
        <v>0</v>
      </c>
      <c r="M409" s="35">
        <f>+I409+L409</f>
        <v>0</v>
      </c>
      <c r="N409" s="416"/>
      <c r="U409" s="420"/>
    </row>
    <row r="410" spans="1:21" ht="15.75" customHeight="1" x14ac:dyDescent="0.25">
      <c r="A410" s="301"/>
      <c r="B410" s="414"/>
      <c r="C410" s="414"/>
      <c r="D410" s="414"/>
      <c r="E410" s="425" t="s">
        <v>26</v>
      </c>
      <c r="F410" s="35"/>
      <c r="G410" s="35"/>
      <c r="H410" s="35"/>
      <c r="I410" s="35">
        <f>+G410+H410</f>
        <v>0</v>
      </c>
      <c r="J410" s="35"/>
      <c r="K410" s="35">
        <v>360909</v>
      </c>
      <c r="L410" s="35">
        <f>+J410+K410</f>
        <v>360909</v>
      </c>
      <c r="M410" s="35">
        <f>+I410+L410</f>
        <v>360909</v>
      </c>
      <c r="N410" s="416"/>
      <c r="U410" s="420"/>
    </row>
    <row r="411" spans="1:21" ht="15.75" customHeight="1" x14ac:dyDescent="0.25">
      <c r="A411" s="301"/>
      <c r="B411" s="414"/>
      <c r="C411" s="414"/>
      <c r="D411" s="414"/>
      <c r="E411" s="425" t="s">
        <v>40</v>
      </c>
      <c r="F411" s="35"/>
      <c r="G411" s="35"/>
      <c r="H411" s="35"/>
      <c r="I411" s="35"/>
      <c r="J411" s="35"/>
      <c r="K411" s="35"/>
      <c r="L411" s="35"/>
      <c r="M411" s="35"/>
      <c r="N411" s="416"/>
      <c r="U411" s="420"/>
    </row>
    <row r="412" spans="1:21" ht="15.75" customHeight="1" x14ac:dyDescent="0.25">
      <c r="A412" s="301"/>
      <c r="B412" s="414"/>
      <c r="C412" s="414"/>
      <c r="D412" s="414"/>
      <c r="E412" s="425" t="s">
        <v>321</v>
      </c>
      <c r="F412" s="35"/>
      <c r="G412" s="35"/>
      <c r="H412" s="35"/>
      <c r="I412" s="35">
        <f>+G412+H412</f>
        <v>0</v>
      </c>
      <c r="J412" s="35"/>
      <c r="K412" s="35"/>
      <c r="L412" s="35">
        <f>+J412+K412</f>
        <v>0</v>
      </c>
      <c r="M412" s="35">
        <f t="shared" ref="M412:M419" si="243">+I412+L412</f>
        <v>0</v>
      </c>
      <c r="N412" s="416"/>
      <c r="U412" s="420"/>
    </row>
    <row r="413" spans="1:21" ht="15.75" customHeight="1" x14ac:dyDescent="0.25">
      <c r="A413" s="301"/>
      <c r="B413" s="414"/>
      <c r="C413" s="414"/>
      <c r="D413" s="414"/>
      <c r="E413" s="425" t="s">
        <v>322</v>
      </c>
      <c r="F413" s="35"/>
      <c r="G413" s="35"/>
      <c r="H413" s="35">
        <f>1737798+2928768</f>
        <v>4666566</v>
      </c>
      <c r="I413" s="35">
        <f t="shared" ref="I413:I419" si="244">+G413+H413</f>
        <v>4666566</v>
      </c>
      <c r="J413" s="35"/>
      <c r="K413" s="35"/>
      <c r="L413" s="35"/>
      <c r="M413" s="35">
        <f t="shared" si="243"/>
        <v>4666566</v>
      </c>
      <c r="N413" s="416"/>
      <c r="U413" s="420"/>
    </row>
    <row r="414" spans="1:21" ht="15.75" customHeight="1" x14ac:dyDescent="0.25">
      <c r="A414" s="301"/>
      <c r="B414" s="414"/>
      <c r="C414" s="414"/>
      <c r="D414" s="414"/>
      <c r="E414" s="425" t="s">
        <v>323</v>
      </c>
      <c r="F414" s="35"/>
      <c r="G414" s="35"/>
      <c r="H414" s="35">
        <f>6951187+11715091</f>
        <v>18666278</v>
      </c>
      <c r="I414" s="35">
        <f t="shared" si="244"/>
        <v>18666278</v>
      </c>
      <c r="J414" s="35"/>
      <c r="K414" s="35"/>
      <c r="L414" s="35"/>
      <c r="M414" s="35">
        <f t="shared" si="243"/>
        <v>18666278</v>
      </c>
      <c r="N414" s="416"/>
      <c r="U414" s="420"/>
    </row>
    <row r="415" spans="1:21" ht="15.75" customHeight="1" x14ac:dyDescent="0.25">
      <c r="A415" s="301"/>
      <c r="B415" s="414"/>
      <c r="C415" s="414"/>
      <c r="D415" s="414"/>
      <c r="E415" s="425" t="s">
        <v>324</v>
      </c>
      <c r="F415" s="35"/>
      <c r="G415" s="35"/>
      <c r="H415" s="35">
        <v>580644</v>
      </c>
      <c r="I415" s="35">
        <f t="shared" si="244"/>
        <v>580644</v>
      </c>
      <c r="J415" s="35"/>
      <c r="K415" s="35"/>
      <c r="L415" s="35"/>
      <c r="M415" s="35">
        <f t="shared" si="243"/>
        <v>580644</v>
      </c>
      <c r="N415" s="416"/>
      <c r="U415" s="420"/>
    </row>
    <row r="416" spans="1:21" ht="15.75" customHeight="1" x14ac:dyDescent="0.25">
      <c r="A416" s="301"/>
      <c r="B416" s="414"/>
      <c r="C416" s="414"/>
      <c r="D416" s="414"/>
      <c r="E416" s="425" t="s">
        <v>325</v>
      </c>
      <c r="F416" s="35"/>
      <c r="G416" s="35"/>
      <c r="H416" s="35">
        <v>1741930</v>
      </c>
      <c r="I416" s="35">
        <f t="shared" si="244"/>
        <v>1741930</v>
      </c>
      <c r="J416" s="35"/>
      <c r="K416" s="35"/>
      <c r="L416" s="35"/>
      <c r="M416" s="35">
        <f t="shared" si="243"/>
        <v>1741930</v>
      </c>
      <c r="N416" s="416"/>
      <c r="U416" s="420"/>
    </row>
    <row r="417" spans="1:21" ht="15.75" customHeight="1" x14ac:dyDescent="0.25">
      <c r="A417" s="301"/>
      <c r="B417" s="414"/>
      <c r="C417" s="414"/>
      <c r="D417" s="414"/>
      <c r="E417" s="425" t="s">
        <v>326</v>
      </c>
      <c r="F417" s="35"/>
      <c r="G417" s="35"/>
      <c r="H417" s="35">
        <v>21310579</v>
      </c>
      <c r="I417" s="35">
        <f t="shared" si="244"/>
        <v>21310579</v>
      </c>
      <c r="J417" s="35"/>
      <c r="K417" s="35"/>
      <c r="L417" s="35"/>
      <c r="M417" s="35">
        <f t="shared" si="243"/>
        <v>21310579</v>
      </c>
      <c r="N417" s="416"/>
      <c r="U417" s="420"/>
    </row>
    <row r="418" spans="1:21" ht="15.75" customHeight="1" x14ac:dyDescent="0.25">
      <c r="A418" s="301"/>
      <c r="B418" s="414"/>
      <c r="C418" s="414"/>
      <c r="D418" s="414"/>
      <c r="E418" s="425" t="s">
        <v>327</v>
      </c>
      <c r="F418" s="35"/>
      <c r="G418" s="35"/>
      <c r="H418" s="236"/>
      <c r="I418" s="35"/>
      <c r="J418" s="35"/>
      <c r="K418" s="236"/>
      <c r="L418" s="35">
        <f>+J418+K418</f>
        <v>0</v>
      </c>
      <c r="M418" s="35">
        <f t="shared" si="243"/>
        <v>0</v>
      </c>
      <c r="N418" s="416"/>
      <c r="U418" s="420"/>
    </row>
    <row r="419" spans="1:21" ht="15.75" customHeight="1" x14ac:dyDescent="0.25">
      <c r="A419" s="301"/>
      <c r="B419" s="414"/>
      <c r="C419" s="414"/>
      <c r="D419" s="414"/>
      <c r="E419" s="425" t="s">
        <v>426</v>
      </c>
      <c r="F419" s="35"/>
      <c r="G419" s="35"/>
      <c r="H419" s="35"/>
      <c r="I419" s="35">
        <f t="shared" si="244"/>
        <v>0</v>
      </c>
      <c r="J419" s="35"/>
      <c r="K419" s="35"/>
      <c r="L419" s="35"/>
      <c r="M419" s="35">
        <f t="shared" si="243"/>
        <v>0</v>
      </c>
      <c r="N419" s="416"/>
      <c r="U419" s="420"/>
    </row>
    <row r="420" spans="1:21" ht="15.75" customHeight="1" x14ac:dyDescent="0.25">
      <c r="A420" s="301"/>
      <c r="B420" s="414"/>
      <c r="C420" s="414"/>
      <c r="D420" s="414"/>
      <c r="E420" s="414" t="s">
        <v>23</v>
      </c>
      <c r="F420" s="35"/>
      <c r="G420" s="35"/>
      <c r="H420" s="35"/>
      <c r="I420" s="35"/>
      <c r="J420" s="35"/>
      <c r="K420" s="35"/>
      <c r="L420" s="35"/>
      <c r="M420" s="35"/>
      <c r="N420" s="416"/>
      <c r="U420" s="420"/>
    </row>
    <row r="421" spans="1:21" ht="18" customHeight="1" x14ac:dyDescent="0.25">
      <c r="A421" s="301"/>
      <c r="B421" s="414"/>
      <c r="C421" s="414"/>
      <c r="D421" s="414"/>
      <c r="E421" s="429" t="s">
        <v>27</v>
      </c>
      <c r="F421" s="423"/>
      <c r="G421" s="430" t="s">
        <v>49</v>
      </c>
      <c r="H421" s="430" t="s">
        <v>49</v>
      </c>
      <c r="I421" s="430" t="s">
        <v>49</v>
      </c>
      <c r="J421" s="430" t="s">
        <v>49</v>
      </c>
      <c r="K421" s="430" t="s">
        <v>49</v>
      </c>
      <c r="L421" s="430" t="s">
        <v>49</v>
      </c>
      <c r="M421" s="430" t="s">
        <v>49</v>
      </c>
      <c r="N421" s="422"/>
      <c r="U421" s="420"/>
    </row>
    <row r="422" spans="1:21" ht="18" customHeight="1" x14ac:dyDescent="0.25">
      <c r="A422" s="301"/>
      <c r="B422" s="414"/>
      <c r="C422" s="414"/>
      <c r="D422" s="414"/>
      <c r="E422" s="414"/>
      <c r="F422" s="416"/>
      <c r="G422" s="416"/>
      <c r="H422" s="416"/>
      <c r="I422" s="416"/>
      <c r="J422" s="416"/>
      <c r="K422" s="416"/>
      <c r="L422" s="416"/>
      <c r="M422" s="416"/>
      <c r="N422" s="416"/>
      <c r="U422" s="420"/>
    </row>
    <row r="423" spans="1:21" ht="18" customHeight="1" x14ac:dyDescent="0.25">
      <c r="A423" s="432"/>
      <c r="B423" s="432"/>
      <c r="C423" s="432"/>
      <c r="D423" s="432"/>
      <c r="E423" s="429" t="s">
        <v>28</v>
      </c>
      <c r="F423" s="422"/>
      <c r="G423" s="422">
        <v>0</v>
      </c>
      <c r="H423" s="422">
        <v>0</v>
      </c>
      <c r="I423" s="422">
        <v>0</v>
      </c>
      <c r="J423" s="422">
        <v>0</v>
      </c>
      <c r="K423" s="422">
        <v>0</v>
      </c>
      <c r="L423" s="422">
        <v>0</v>
      </c>
      <c r="M423" s="422">
        <v>0</v>
      </c>
      <c r="N423" s="422"/>
      <c r="U423" s="420"/>
    </row>
    <row r="424" spans="1:21" ht="18" customHeight="1" x14ac:dyDescent="0.25">
      <c r="U424" s="420"/>
    </row>
    <row r="425" spans="1:21" ht="18" customHeight="1" x14ac:dyDescent="0.25">
      <c r="A425" s="537" t="s">
        <v>52</v>
      </c>
      <c r="B425" s="537"/>
      <c r="C425" s="537"/>
      <c r="D425" s="537"/>
      <c r="L425" s="539" t="s">
        <v>450</v>
      </c>
      <c r="M425" s="539"/>
      <c r="N425" s="539"/>
      <c r="U425" s="420"/>
    </row>
    <row r="426" spans="1:21" ht="18" customHeight="1" x14ac:dyDescent="0.25">
      <c r="A426" s="537" t="s">
        <v>59</v>
      </c>
      <c r="B426" s="537"/>
      <c r="C426" s="537"/>
      <c r="D426" s="537"/>
      <c r="U426" s="420"/>
    </row>
    <row r="427" spans="1:21" ht="18" customHeight="1" x14ac:dyDescent="0.25">
      <c r="A427" s="537" t="s">
        <v>60</v>
      </c>
      <c r="B427" s="537"/>
      <c r="C427" s="537"/>
      <c r="D427" s="537"/>
      <c r="E427" s="434" t="s">
        <v>38</v>
      </c>
      <c r="F427" s="538" t="s">
        <v>39</v>
      </c>
      <c r="G427" s="538"/>
      <c r="H427" s="538"/>
      <c r="I427" s="435"/>
      <c r="J427" s="435"/>
      <c r="K427" s="435"/>
      <c r="L427" s="538" t="s">
        <v>422</v>
      </c>
      <c r="M427" s="538"/>
      <c r="N427" s="538"/>
      <c r="U427" s="420"/>
    </row>
    <row r="428" spans="1:21" ht="18" customHeight="1" x14ac:dyDescent="0.25">
      <c r="A428" s="537" t="s">
        <v>53</v>
      </c>
      <c r="B428" s="537"/>
      <c r="C428" s="537"/>
      <c r="D428" s="537"/>
      <c r="E428" s="434" t="s">
        <v>330</v>
      </c>
      <c r="F428" s="538" t="s">
        <v>54</v>
      </c>
      <c r="G428" s="538"/>
      <c r="H428" s="538"/>
      <c r="I428" s="435"/>
      <c r="J428" s="435"/>
      <c r="K428" s="435"/>
      <c r="L428" s="538" t="s">
        <v>330</v>
      </c>
      <c r="M428" s="538"/>
      <c r="N428" s="538"/>
      <c r="U428" s="420"/>
    </row>
    <row r="429" spans="1:21" ht="18" customHeight="1" x14ac:dyDescent="0.25">
      <c r="A429" s="433"/>
      <c r="B429" s="436"/>
      <c r="C429" s="436"/>
      <c r="D429" s="436"/>
      <c r="E429" s="433"/>
      <c r="G429" s="437"/>
      <c r="H429" s="438"/>
      <c r="I429" s="438"/>
      <c r="K429" s="438"/>
      <c r="L429" s="438"/>
      <c r="M429" s="438"/>
      <c r="N429" s="438"/>
      <c r="U429" s="420"/>
    </row>
    <row r="430" spans="1:21" ht="18" customHeight="1" x14ac:dyDescent="0.25">
      <c r="A430" s="433"/>
      <c r="B430" s="436"/>
      <c r="C430" s="436"/>
      <c r="D430" s="436"/>
      <c r="E430" s="433"/>
      <c r="G430" s="438"/>
      <c r="H430" s="438"/>
      <c r="K430" s="438"/>
      <c r="L430" s="438"/>
      <c r="M430" s="438"/>
    </row>
    <row r="431" spans="1:21" ht="18" customHeight="1" x14ac:dyDescent="0.25">
      <c r="A431" s="439"/>
      <c r="B431" s="436"/>
      <c r="C431" s="436"/>
      <c r="D431" s="436"/>
      <c r="E431" s="433"/>
      <c r="G431" s="438"/>
      <c r="H431" s="438"/>
      <c r="K431" s="438"/>
      <c r="L431" s="438"/>
      <c r="M431" s="438"/>
    </row>
    <row r="432" spans="1:21" ht="18" customHeight="1" x14ac:dyDescent="0.25">
      <c r="A432" s="537" t="s">
        <v>56</v>
      </c>
      <c r="B432" s="537"/>
      <c r="C432" s="537"/>
      <c r="D432" s="537"/>
      <c r="E432" s="433" t="s">
        <v>421</v>
      </c>
      <c r="F432" s="539" t="s">
        <v>51</v>
      </c>
      <c r="G432" s="539"/>
      <c r="H432" s="539"/>
      <c r="I432" s="161"/>
      <c r="J432" s="161"/>
      <c r="K432" s="161"/>
      <c r="L432" s="539" t="s">
        <v>423</v>
      </c>
      <c r="M432" s="539"/>
      <c r="N432" s="539"/>
    </row>
    <row r="433" spans="1:14" ht="18" customHeight="1" x14ac:dyDescent="0.25">
      <c r="A433" s="537" t="s">
        <v>29</v>
      </c>
      <c r="B433" s="537"/>
      <c r="C433" s="537"/>
      <c r="D433" s="537"/>
      <c r="E433" s="433" t="s">
        <v>419</v>
      </c>
      <c r="F433" s="540" t="s">
        <v>58</v>
      </c>
      <c r="G433" s="540"/>
      <c r="H433" s="540"/>
      <c r="I433" s="161"/>
      <c r="J433" s="161"/>
      <c r="K433" s="161"/>
      <c r="L433" s="540" t="s">
        <v>425</v>
      </c>
      <c r="M433" s="540"/>
      <c r="N433" s="540"/>
    </row>
    <row r="434" spans="1:14" ht="18" customHeight="1" x14ac:dyDescent="0.25">
      <c r="A434" s="537" t="s">
        <v>57</v>
      </c>
      <c r="B434" s="537"/>
      <c r="C434" s="537"/>
      <c r="D434" s="537"/>
      <c r="E434" s="433" t="s">
        <v>420</v>
      </c>
      <c r="F434" s="539" t="s">
        <v>47</v>
      </c>
      <c r="G434" s="539"/>
      <c r="H434" s="539"/>
      <c r="I434" s="161"/>
      <c r="J434" s="161"/>
      <c r="K434" s="161"/>
      <c r="L434" s="539" t="s">
        <v>424</v>
      </c>
      <c r="M434" s="539"/>
      <c r="N434" s="539"/>
    </row>
  </sheetData>
  <mergeCells count="33"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  <mergeCell ref="B17:D17"/>
    <mergeCell ref="A426:D426"/>
    <mergeCell ref="A427:D427"/>
    <mergeCell ref="F427:H427"/>
    <mergeCell ref="L427:N427"/>
    <mergeCell ref="A425:D425"/>
    <mergeCell ref="L425:N425"/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</mergeCells>
  <printOptions horizontalCentered="1"/>
  <pageMargins left="0.59055118110236227" right="0.19685039370078741" top="0.39370078740157483" bottom="0.19685039370078741" header="0.31496062992125984" footer="0.31496062992125984"/>
  <pageSetup paperSize="258" scale="56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34"/>
  <sheetViews>
    <sheetView showGridLines="0" view="pageBreakPreview" zoomScale="90" zoomScaleNormal="85" zoomScaleSheetLayoutView="90" workbookViewId="0">
      <pane xSplit="4" ySplit="16" topLeftCell="E416" activePane="bottomRight" state="frozen"/>
      <selection pane="topRight" activeCell="D1" sqref="D1"/>
      <selection pane="bottomLeft" activeCell="A17" sqref="A17"/>
      <selection pane="bottomRight" activeCell="A407" sqref="A407:XFD419"/>
    </sheetView>
  </sheetViews>
  <sheetFormatPr defaultRowHeight="15" customHeight="1" x14ac:dyDescent="0.25"/>
  <cols>
    <col min="1" max="1" width="6" style="293" customWidth="1"/>
    <col min="2" max="2" width="11.5703125" style="293" customWidth="1"/>
    <col min="3" max="3" width="13.7109375" style="293" customWidth="1"/>
    <col min="4" max="4" width="15.85546875" style="293" customWidth="1"/>
    <col min="5" max="5" width="68.5703125" style="293" customWidth="1"/>
    <col min="6" max="6" width="18.140625" style="293" customWidth="1"/>
    <col min="7" max="7" width="16.85546875" style="293" customWidth="1"/>
    <col min="8" max="8" width="15.85546875" style="293" customWidth="1"/>
    <col min="9" max="9" width="18.7109375" style="293" customWidth="1"/>
    <col min="10" max="10" width="15" style="293" customWidth="1"/>
    <col min="11" max="11" width="14" style="293" customWidth="1"/>
    <col min="12" max="12" width="15.140625" style="293" customWidth="1"/>
    <col min="13" max="13" width="16.7109375" style="293" customWidth="1"/>
    <col min="14" max="14" width="19.28515625" style="293" customWidth="1"/>
    <col min="15" max="15" width="4.28515625" style="293" customWidth="1"/>
    <col min="16" max="16" width="18.42578125" style="294" customWidth="1"/>
    <col min="17" max="17" width="14.85546875" style="293" customWidth="1"/>
    <col min="18" max="18" width="15.42578125" style="293" customWidth="1"/>
    <col min="19" max="19" width="20.140625" style="295" customWidth="1"/>
    <col min="20" max="20" width="25.7109375" style="295" customWidth="1"/>
    <col min="21" max="21" width="26.140625" style="293" customWidth="1"/>
    <col min="22" max="16384" width="9.140625" style="293"/>
  </cols>
  <sheetData>
    <row r="1" spans="1:18" s="295" customFormat="1" ht="15" customHeight="1" x14ac:dyDescent="0.25">
      <c r="A1" s="522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293"/>
      <c r="P1" s="294"/>
      <c r="Q1" s="293"/>
      <c r="R1" s="293"/>
    </row>
    <row r="2" spans="1:18" s="295" customFormat="1" ht="15" customHeight="1" x14ac:dyDescent="0.25">
      <c r="A2" s="522" t="s">
        <v>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293"/>
      <c r="P2" s="294"/>
      <c r="Q2" s="293"/>
      <c r="R2" s="293"/>
    </row>
    <row r="3" spans="1:18" s="295" customFormat="1" ht="15" customHeight="1" x14ac:dyDescent="0.25">
      <c r="A3" s="522" t="s">
        <v>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293"/>
      <c r="P3" s="294"/>
      <c r="Q3" s="293"/>
      <c r="R3" s="293"/>
    </row>
    <row r="4" spans="1:18" s="295" customFormat="1" ht="7.5" customHeight="1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4"/>
      <c r="Q4" s="293"/>
      <c r="R4" s="293"/>
    </row>
    <row r="5" spans="1:18" s="295" customFormat="1" ht="7.5" customHeight="1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4"/>
      <c r="Q5" s="293"/>
      <c r="R5" s="293"/>
    </row>
    <row r="6" spans="1:18" s="295" customFormat="1" ht="15" customHeight="1" x14ac:dyDescent="0.25">
      <c r="A6" s="293" t="s">
        <v>3</v>
      </c>
      <c r="B6" s="293"/>
      <c r="C6" s="293"/>
      <c r="D6" s="293" t="s">
        <v>45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Q6" s="293"/>
      <c r="R6" s="293"/>
    </row>
    <row r="7" spans="1:18" s="295" customFormat="1" ht="15" customHeight="1" x14ac:dyDescent="0.25">
      <c r="A7" s="293" t="s">
        <v>4</v>
      </c>
      <c r="B7" s="293"/>
      <c r="C7" s="293"/>
      <c r="D7" s="293" t="s">
        <v>55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4"/>
      <c r="Q7" s="293"/>
      <c r="R7" s="293"/>
    </row>
    <row r="8" spans="1:18" s="295" customFormat="1" ht="15" customHeight="1" x14ac:dyDescent="0.25">
      <c r="A8" s="293" t="s">
        <v>5</v>
      </c>
      <c r="B8" s="293"/>
      <c r="C8" s="293"/>
      <c r="D8" s="504" t="s">
        <v>50</v>
      </c>
      <c r="E8" s="504"/>
      <c r="F8" s="504"/>
      <c r="G8" s="293"/>
      <c r="H8" s="293"/>
      <c r="I8" s="293"/>
      <c r="J8" s="293"/>
      <c r="K8" s="293"/>
      <c r="L8" s="293"/>
      <c r="M8" s="293"/>
      <c r="N8" s="293"/>
      <c r="O8" s="293"/>
      <c r="P8" s="294"/>
      <c r="Q8" s="293"/>
      <c r="R8" s="293"/>
    </row>
    <row r="9" spans="1:18" s="295" customFormat="1" ht="15" customHeight="1" x14ac:dyDescent="0.25">
      <c r="A9" s="293" t="s">
        <v>6</v>
      </c>
      <c r="B9" s="293"/>
      <c r="C9" s="293"/>
      <c r="D9" s="293" t="s">
        <v>449</v>
      </c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4"/>
      <c r="Q9" s="293"/>
      <c r="R9" s="296"/>
    </row>
    <row r="10" spans="1:18" s="295" customFormat="1" ht="15" customHeight="1" x14ac:dyDescent="0.25">
      <c r="A10" s="293" t="s">
        <v>7</v>
      </c>
      <c r="B10" s="293"/>
      <c r="C10" s="293"/>
      <c r="D10" s="293" t="s">
        <v>48</v>
      </c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4"/>
      <c r="Q10" s="293"/>
      <c r="R10" s="296"/>
    </row>
    <row r="11" spans="1:18" s="295" customFormat="1" ht="6.75" customHeight="1" x14ac:dyDescent="0.25">
      <c r="A11" s="293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4"/>
      <c r="Q11" s="293"/>
      <c r="R11" s="296"/>
    </row>
    <row r="12" spans="1:18" s="295" customFormat="1" ht="6.75" customHeight="1" x14ac:dyDescent="0.25">
      <c r="A12" s="293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4"/>
      <c r="Q12" s="293"/>
      <c r="R12" s="296"/>
    </row>
    <row r="13" spans="1:18" s="295" customFormat="1" ht="15" customHeight="1" x14ac:dyDescent="0.25">
      <c r="A13" s="523" t="s">
        <v>37</v>
      </c>
      <c r="B13" s="525" t="s">
        <v>10</v>
      </c>
      <c r="C13" s="526"/>
      <c r="D13" s="527"/>
      <c r="E13" s="531" t="s">
        <v>8</v>
      </c>
      <c r="F13" s="531" t="s">
        <v>9</v>
      </c>
      <c r="G13" s="533" t="s">
        <v>14</v>
      </c>
      <c r="H13" s="533"/>
      <c r="I13" s="533"/>
      <c r="J13" s="533" t="s">
        <v>15</v>
      </c>
      <c r="K13" s="533"/>
      <c r="L13" s="533"/>
      <c r="M13" s="531" t="s">
        <v>17</v>
      </c>
      <c r="N13" s="531" t="s">
        <v>16</v>
      </c>
      <c r="O13" s="293"/>
      <c r="P13" s="294"/>
      <c r="Q13" s="293"/>
      <c r="R13" s="296"/>
    </row>
    <row r="14" spans="1:18" s="295" customFormat="1" ht="15" customHeight="1" x14ac:dyDescent="0.25">
      <c r="A14" s="524"/>
      <c r="B14" s="528"/>
      <c r="C14" s="529"/>
      <c r="D14" s="530"/>
      <c r="E14" s="531"/>
      <c r="F14" s="532"/>
      <c r="G14" s="297" t="s">
        <v>11</v>
      </c>
      <c r="H14" s="297" t="s">
        <v>12</v>
      </c>
      <c r="I14" s="297" t="s">
        <v>13</v>
      </c>
      <c r="J14" s="297" t="s">
        <v>11</v>
      </c>
      <c r="K14" s="297" t="s">
        <v>12</v>
      </c>
      <c r="L14" s="297" t="s">
        <v>13</v>
      </c>
      <c r="M14" s="531"/>
      <c r="N14" s="531"/>
      <c r="O14" s="293"/>
      <c r="P14" s="294"/>
      <c r="Q14" s="293"/>
      <c r="R14" s="298"/>
    </row>
    <row r="15" spans="1:18" s="295" customFormat="1" ht="15" customHeight="1" x14ac:dyDescent="0.25">
      <c r="A15" s="299"/>
      <c r="B15" s="516">
        <v>1</v>
      </c>
      <c r="C15" s="517"/>
      <c r="D15" s="518"/>
      <c r="E15" s="300">
        <v>2</v>
      </c>
      <c r="F15" s="300">
        <v>3</v>
      </c>
      <c r="G15" s="300">
        <v>7</v>
      </c>
      <c r="H15" s="300">
        <v>8</v>
      </c>
      <c r="I15" s="300" t="s">
        <v>18</v>
      </c>
      <c r="J15" s="300">
        <v>10</v>
      </c>
      <c r="K15" s="300">
        <v>11</v>
      </c>
      <c r="L15" s="300" t="s">
        <v>19</v>
      </c>
      <c r="M15" s="300" t="s">
        <v>155</v>
      </c>
      <c r="N15" s="300" t="s">
        <v>36</v>
      </c>
      <c r="O15" s="293"/>
      <c r="P15" s="294"/>
      <c r="Q15" s="293"/>
      <c r="R15" s="293"/>
    </row>
    <row r="16" spans="1:18" s="295" customFormat="1" ht="15" customHeight="1" x14ac:dyDescent="0.25">
      <c r="A16" s="301"/>
      <c r="B16" s="519"/>
      <c r="C16" s="520"/>
      <c r="D16" s="521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293"/>
      <c r="P16" s="294"/>
      <c r="Q16" s="293"/>
      <c r="R16" s="293"/>
    </row>
    <row r="17" spans="1:21" ht="17.100000000000001" customHeight="1" x14ac:dyDescent="0.25">
      <c r="A17" s="303"/>
      <c r="B17" s="534" t="s">
        <v>20</v>
      </c>
      <c r="C17" s="535"/>
      <c r="D17" s="536"/>
      <c r="E17" s="303"/>
      <c r="F17" s="304">
        <f>+F18+F47+F122+F138+F239+F247+F298+F350</f>
        <v>428263811167</v>
      </c>
      <c r="G17" s="304">
        <f>+G18+G47+G122+G138+G239+G247+G298+G350</f>
        <v>0</v>
      </c>
      <c r="H17" s="304">
        <f>+H18+H47+H122+H138+H239+H247+H298+H350</f>
        <v>3650670167</v>
      </c>
      <c r="I17" s="304">
        <f>+G17+H17</f>
        <v>3650670167</v>
      </c>
      <c r="J17" s="304">
        <f>+J18+J47+J122+J138+J239+J247+J298+J350</f>
        <v>0</v>
      </c>
      <c r="K17" s="304">
        <f>+K18+K47+K122+K138+K239+K247+K298+K350</f>
        <v>114284700</v>
      </c>
      <c r="L17" s="304">
        <f>+J17+K17</f>
        <v>114284700</v>
      </c>
      <c r="M17" s="304">
        <f>+I17+L17</f>
        <v>3764954867</v>
      </c>
      <c r="N17" s="304">
        <f>+F17-M17</f>
        <v>424498856300</v>
      </c>
      <c r="R17" s="298"/>
      <c r="U17" s="294">
        <f>178000000+33460000+79728000+22342995000+29162378+3014333670+6242819000+179060000+4822000000+316799545+177216575</f>
        <v>37415574168</v>
      </c>
    </row>
    <row r="18" spans="1:21" s="309" customFormat="1" ht="18" customHeight="1" x14ac:dyDescent="0.25">
      <c r="A18" s="276"/>
      <c r="B18" s="305" t="s">
        <v>336</v>
      </c>
      <c r="C18" s="305"/>
      <c r="D18" s="305"/>
      <c r="E18" s="306" t="s">
        <v>335</v>
      </c>
      <c r="F18" s="307">
        <f>+F19+F32</f>
        <v>276269500</v>
      </c>
      <c r="G18" s="308">
        <f>+G19+G32</f>
        <v>0</v>
      </c>
      <c r="H18" s="308">
        <f>+H19+H32</f>
        <v>0</v>
      </c>
      <c r="I18" s="308">
        <f>+G18+H18</f>
        <v>0</v>
      </c>
      <c r="J18" s="308">
        <f>+J19+J32</f>
        <v>0</v>
      </c>
      <c r="K18" s="308">
        <f>+K19+K32</f>
        <v>8490000</v>
      </c>
      <c r="L18" s="308">
        <f>+J18+K18</f>
        <v>8490000</v>
      </c>
      <c r="M18" s="308">
        <f>+I18+L18</f>
        <v>8490000</v>
      </c>
      <c r="N18" s="307">
        <f>+F18-M18</f>
        <v>267779500</v>
      </c>
      <c r="P18" s="310">
        <f>+N19+N32+N48+N113+N123+N139+N165+N173+N184+N206+N240+N248+N256+N269+N278+N299+N312+N331+N337+N343+N351+N357+N369+N375</f>
        <v>424498856300</v>
      </c>
      <c r="Q18" s="309" t="s">
        <v>332</v>
      </c>
      <c r="R18" s="311"/>
      <c r="S18" s="312" t="s">
        <v>427</v>
      </c>
      <c r="T18" s="313"/>
    </row>
    <row r="19" spans="1:21" s="319" customFormat="1" ht="18" customHeight="1" x14ac:dyDescent="0.25">
      <c r="A19" s="275">
        <v>1</v>
      </c>
      <c r="B19" s="314"/>
      <c r="C19" s="314" t="s">
        <v>61</v>
      </c>
      <c r="D19" s="315"/>
      <c r="E19" s="316" t="s">
        <v>62</v>
      </c>
      <c r="F19" s="317">
        <f t="shared" ref="F19:H20" si="0">+F20</f>
        <v>117975500</v>
      </c>
      <c r="G19" s="318">
        <f t="shared" si="0"/>
        <v>0</v>
      </c>
      <c r="H19" s="318">
        <f t="shared" si="0"/>
        <v>0</v>
      </c>
      <c r="I19" s="318">
        <f>+G19+H19</f>
        <v>0</v>
      </c>
      <c r="J19" s="318">
        <f>+J20</f>
        <v>0</v>
      </c>
      <c r="K19" s="318">
        <f>+K20</f>
        <v>4190000</v>
      </c>
      <c r="L19" s="318">
        <f>+J19+K19</f>
        <v>4190000</v>
      </c>
      <c r="M19" s="318">
        <f>+I19+L19</f>
        <v>4190000</v>
      </c>
      <c r="N19" s="317">
        <f>+F19-M19</f>
        <v>113785500</v>
      </c>
      <c r="P19" s="320"/>
      <c r="R19" s="321"/>
      <c r="S19" s="322">
        <f>SUM(S24:S361)</f>
        <v>0</v>
      </c>
      <c r="T19" s="322">
        <f>SUM(T24:T434)</f>
        <v>0</v>
      </c>
    </row>
    <row r="20" spans="1:21" s="329" customFormat="1" ht="18" customHeight="1" x14ac:dyDescent="0.25">
      <c r="A20" s="323"/>
      <c r="B20" s="324"/>
      <c r="C20" s="324"/>
      <c r="D20" s="325" t="s">
        <v>207</v>
      </c>
      <c r="E20" s="326" t="s">
        <v>262</v>
      </c>
      <c r="F20" s="327">
        <f t="shared" si="0"/>
        <v>117975500</v>
      </c>
      <c r="G20" s="328">
        <f t="shared" si="0"/>
        <v>0</v>
      </c>
      <c r="H20" s="328">
        <f t="shared" si="0"/>
        <v>0</v>
      </c>
      <c r="I20" s="328">
        <f>+G20+H20</f>
        <v>0</v>
      </c>
      <c r="J20" s="328">
        <f>+J21</f>
        <v>0</v>
      </c>
      <c r="K20" s="328">
        <f>+K21</f>
        <v>4190000</v>
      </c>
      <c r="L20" s="328">
        <f t="shared" ref="L20:L28" si="1">+J20+K20</f>
        <v>4190000</v>
      </c>
      <c r="M20" s="328">
        <f>+I20+L20</f>
        <v>4190000</v>
      </c>
      <c r="N20" s="327">
        <f>+F20-M20</f>
        <v>113785500</v>
      </c>
      <c r="P20" s="330"/>
      <c r="R20" s="331"/>
      <c r="S20" s="332"/>
      <c r="T20" s="332"/>
      <c r="U20" s="333"/>
    </row>
    <row r="21" spans="1:21" s="339" customFormat="1" ht="18" customHeight="1" x14ac:dyDescent="0.25">
      <c r="A21" s="334"/>
      <c r="B21" s="335"/>
      <c r="C21" s="335"/>
      <c r="D21" s="335" t="s">
        <v>63</v>
      </c>
      <c r="E21" s="336" t="s">
        <v>30</v>
      </c>
      <c r="F21" s="337">
        <f>+F22+F29</f>
        <v>117975500</v>
      </c>
      <c r="G21" s="338">
        <f>+G22+G29</f>
        <v>0</v>
      </c>
      <c r="H21" s="338">
        <f>+H22+H29</f>
        <v>0</v>
      </c>
      <c r="I21" s="338">
        <f>+G21+H21</f>
        <v>0</v>
      </c>
      <c r="J21" s="338">
        <f>+J22+J29</f>
        <v>0</v>
      </c>
      <c r="K21" s="338">
        <f>+K22+K29</f>
        <v>4190000</v>
      </c>
      <c r="L21" s="338">
        <f>+J21+K21</f>
        <v>4190000</v>
      </c>
      <c r="M21" s="338">
        <f>+I21+L21</f>
        <v>4190000</v>
      </c>
      <c r="N21" s="337">
        <f>+F21-M21</f>
        <v>113785500</v>
      </c>
      <c r="P21" s="340">
        <f>H386+H387+K386+K387</f>
        <v>3836890935</v>
      </c>
      <c r="Q21" s="339" t="s">
        <v>334</v>
      </c>
      <c r="S21" s="341"/>
      <c r="T21" s="341"/>
      <c r="U21" s="342"/>
    </row>
    <row r="22" spans="1:21" s="339" customFormat="1" ht="18" customHeight="1" x14ac:dyDescent="0.25">
      <c r="A22" s="334"/>
      <c r="B22" s="335"/>
      <c r="C22" s="335"/>
      <c r="D22" s="335" t="s">
        <v>263</v>
      </c>
      <c r="E22" s="336" t="s">
        <v>264</v>
      </c>
      <c r="F22" s="337">
        <f>+F23</f>
        <v>65295500</v>
      </c>
      <c r="G22" s="338">
        <f>+G23</f>
        <v>0</v>
      </c>
      <c r="H22" s="338">
        <f>+H23</f>
        <v>0</v>
      </c>
      <c r="I22" s="338">
        <f t="shared" ref="I22:I31" si="2">+G22+H22</f>
        <v>0</v>
      </c>
      <c r="J22" s="338">
        <f>+J23</f>
        <v>0</v>
      </c>
      <c r="K22" s="338">
        <f>+K23</f>
        <v>0</v>
      </c>
      <c r="L22" s="338">
        <f t="shared" si="1"/>
        <v>0</v>
      </c>
      <c r="M22" s="338">
        <f t="shared" ref="M22:M31" si="3">+I22+L22</f>
        <v>0</v>
      </c>
      <c r="N22" s="337">
        <f t="shared" ref="N22:N31" si="4">+F22-M22</f>
        <v>65295500</v>
      </c>
      <c r="P22" s="343">
        <f>+H17+K17</f>
        <v>3764954867</v>
      </c>
      <c r="Q22" s="339" t="s">
        <v>333</v>
      </c>
      <c r="S22" s="341"/>
      <c r="T22" s="341"/>
      <c r="U22" s="342"/>
    </row>
    <row r="23" spans="1:21" s="339" customFormat="1" ht="18" customHeight="1" x14ac:dyDescent="0.25">
      <c r="A23" s="334"/>
      <c r="B23" s="335"/>
      <c r="C23" s="335"/>
      <c r="D23" s="335" t="s">
        <v>64</v>
      </c>
      <c r="E23" s="335" t="s">
        <v>65</v>
      </c>
      <c r="F23" s="337">
        <f>SUM(F24:F28)</f>
        <v>65295500</v>
      </c>
      <c r="G23" s="344">
        <f>SUM(G24:G28)</f>
        <v>0</v>
      </c>
      <c r="H23" s="344">
        <f>SUM(H24:H28)</f>
        <v>0</v>
      </c>
      <c r="I23" s="338">
        <f>+G23+H23</f>
        <v>0</v>
      </c>
      <c r="J23" s="338">
        <f>+SUM(J24:J28)</f>
        <v>0</v>
      </c>
      <c r="K23" s="338">
        <f>+SUM(K24:K28)</f>
        <v>0</v>
      </c>
      <c r="L23" s="338">
        <f>+J23+K23</f>
        <v>0</v>
      </c>
      <c r="M23" s="338">
        <f>+I23+L23</f>
        <v>0</v>
      </c>
      <c r="N23" s="337">
        <f>+F23-M23</f>
        <v>65295500</v>
      </c>
      <c r="P23" s="340"/>
      <c r="S23" s="341"/>
      <c r="T23" s="341"/>
      <c r="U23" s="342"/>
    </row>
    <row r="24" spans="1:21" s="339" customFormat="1" ht="18" customHeight="1" x14ac:dyDescent="0.25">
      <c r="A24" s="334"/>
      <c r="B24" s="335"/>
      <c r="C24" s="335"/>
      <c r="D24" s="335" t="s">
        <v>66</v>
      </c>
      <c r="E24" s="335" t="s">
        <v>67</v>
      </c>
      <c r="F24" s="337">
        <v>7554500</v>
      </c>
      <c r="G24" s="338"/>
      <c r="H24" s="338"/>
      <c r="I24" s="338">
        <f t="shared" si="2"/>
        <v>0</v>
      </c>
      <c r="J24" s="338"/>
      <c r="K24" s="338"/>
      <c r="L24" s="338">
        <f t="shared" si="1"/>
        <v>0</v>
      </c>
      <c r="M24" s="338">
        <f>+I24+L24</f>
        <v>0</v>
      </c>
      <c r="N24" s="337">
        <f t="shared" si="4"/>
        <v>7554500</v>
      </c>
      <c r="P24" s="340"/>
      <c r="S24" s="345"/>
      <c r="T24" s="345"/>
      <c r="U24" s="342"/>
    </row>
    <row r="25" spans="1:21" s="339" customFormat="1" ht="18" customHeight="1" x14ac:dyDescent="0.25">
      <c r="A25" s="334"/>
      <c r="B25" s="335"/>
      <c r="C25" s="335"/>
      <c r="D25" s="335" t="s">
        <v>337</v>
      </c>
      <c r="E25" s="335" t="s">
        <v>338</v>
      </c>
      <c r="F25" s="337">
        <v>6408000</v>
      </c>
      <c r="G25" s="338"/>
      <c r="H25" s="338"/>
      <c r="I25" s="338">
        <f>+G25+H25</f>
        <v>0</v>
      </c>
      <c r="J25" s="338"/>
      <c r="K25" s="338"/>
      <c r="L25" s="338">
        <f t="shared" si="1"/>
        <v>0</v>
      </c>
      <c r="M25" s="338">
        <f t="shared" si="3"/>
        <v>0</v>
      </c>
      <c r="N25" s="337">
        <f t="shared" si="4"/>
        <v>6408000</v>
      </c>
      <c r="P25" s="340"/>
      <c r="S25" s="345"/>
      <c r="T25" s="345"/>
      <c r="U25" s="342"/>
    </row>
    <row r="26" spans="1:21" s="339" customFormat="1" ht="18" customHeight="1" x14ac:dyDescent="0.25">
      <c r="A26" s="334"/>
      <c r="B26" s="335"/>
      <c r="C26" s="335"/>
      <c r="D26" s="335" t="s">
        <v>68</v>
      </c>
      <c r="E26" s="335" t="s">
        <v>69</v>
      </c>
      <c r="F26" s="337">
        <v>44208000</v>
      </c>
      <c r="G26" s="338"/>
      <c r="H26" s="338"/>
      <c r="I26" s="338">
        <f t="shared" si="2"/>
        <v>0</v>
      </c>
      <c r="J26" s="338"/>
      <c r="K26" s="338"/>
      <c r="L26" s="338">
        <f t="shared" si="1"/>
        <v>0</v>
      </c>
      <c r="M26" s="338">
        <f t="shared" si="3"/>
        <v>0</v>
      </c>
      <c r="N26" s="337">
        <f t="shared" si="4"/>
        <v>44208000</v>
      </c>
      <c r="P26" s="340">
        <f>5440000000+63000000+730000000+7470000000+6242819000+3024665072+31328939+4570000000+12239500000+3046850000+197720000+310724118</f>
        <v>43366607129</v>
      </c>
      <c r="Q26" s="339" t="s">
        <v>428</v>
      </c>
      <c r="S26" s="345"/>
      <c r="T26" s="345"/>
      <c r="U26" s="342"/>
    </row>
    <row r="27" spans="1:21" s="339" customFormat="1" ht="18" customHeight="1" x14ac:dyDescent="0.25">
      <c r="A27" s="334"/>
      <c r="B27" s="335"/>
      <c r="C27" s="335"/>
      <c r="D27" s="335" t="s">
        <v>339</v>
      </c>
      <c r="E27" s="335" t="s">
        <v>340</v>
      </c>
      <c r="F27" s="337">
        <v>2125000</v>
      </c>
      <c r="G27" s="338"/>
      <c r="H27" s="338"/>
      <c r="I27" s="338"/>
      <c r="J27" s="338"/>
      <c r="K27" s="338"/>
      <c r="L27" s="338">
        <f t="shared" si="1"/>
        <v>0</v>
      </c>
      <c r="M27" s="338">
        <f t="shared" si="3"/>
        <v>0</v>
      </c>
      <c r="N27" s="337">
        <f t="shared" si="4"/>
        <v>2125000</v>
      </c>
      <c r="P27" s="340"/>
      <c r="S27" s="345"/>
      <c r="T27" s="345"/>
      <c r="U27" s="342"/>
    </row>
    <row r="28" spans="1:21" s="339" customFormat="1" ht="18" customHeight="1" x14ac:dyDescent="0.25">
      <c r="A28" s="334"/>
      <c r="B28" s="335"/>
      <c r="C28" s="335"/>
      <c r="D28" s="335" t="s">
        <v>70</v>
      </c>
      <c r="E28" s="335" t="s">
        <v>33</v>
      </c>
      <c r="F28" s="337">
        <v>5000000</v>
      </c>
      <c r="G28" s="338"/>
      <c r="H28" s="338"/>
      <c r="I28" s="338"/>
      <c r="J28" s="338"/>
      <c r="K28" s="338"/>
      <c r="L28" s="338">
        <f t="shared" si="1"/>
        <v>0</v>
      </c>
      <c r="M28" s="338">
        <f t="shared" si="3"/>
        <v>0</v>
      </c>
      <c r="N28" s="337">
        <f t="shared" si="4"/>
        <v>5000000</v>
      </c>
      <c r="P28" s="340"/>
      <c r="S28" s="345"/>
      <c r="T28" s="345"/>
      <c r="U28" s="342"/>
    </row>
    <row r="29" spans="1:21" s="339" customFormat="1" ht="18" customHeight="1" x14ac:dyDescent="0.25">
      <c r="A29" s="334"/>
      <c r="B29" s="335"/>
      <c r="C29" s="335"/>
      <c r="D29" s="335" t="s">
        <v>271</v>
      </c>
      <c r="E29" s="336" t="s">
        <v>272</v>
      </c>
      <c r="F29" s="337">
        <f>+F30</f>
        <v>52680000</v>
      </c>
      <c r="G29" s="338">
        <f>+G30</f>
        <v>0</v>
      </c>
      <c r="H29" s="338">
        <f>+H30</f>
        <v>0</v>
      </c>
      <c r="I29" s="338">
        <f>+G29+H29</f>
        <v>0</v>
      </c>
      <c r="J29" s="338">
        <f>+J30</f>
        <v>0</v>
      </c>
      <c r="K29" s="338">
        <f>+K30</f>
        <v>4190000</v>
      </c>
      <c r="L29" s="338">
        <f>+J29+K29</f>
        <v>4190000</v>
      </c>
      <c r="M29" s="338">
        <f>+I29+L29</f>
        <v>4190000</v>
      </c>
      <c r="N29" s="337">
        <f t="shared" si="4"/>
        <v>48490000</v>
      </c>
      <c r="P29" s="340"/>
      <c r="S29" s="341"/>
      <c r="T29" s="341"/>
      <c r="U29" s="342"/>
    </row>
    <row r="30" spans="1:21" s="339" customFormat="1" ht="18" customHeight="1" x14ac:dyDescent="0.25">
      <c r="A30" s="334"/>
      <c r="B30" s="335"/>
      <c r="C30" s="335"/>
      <c r="D30" s="335" t="s">
        <v>81</v>
      </c>
      <c r="E30" s="335" t="s">
        <v>31</v>
      </c>
      <c r="F30" s="337">
        <f>SUM(F31:F31)</f>
        <v>52680000</v>
      </c>
      <c r="G30" s="344">
        <f>+G31</f>
        <v>0</v>
      </c>
      <c r="H30" s="338">
        <f>+SUM(H31:H31)</f>
        <v>0</v>
      </c>
      <c r="I30" s="338">
        <f t="shared" si="2"/>
        <v>0</v>
      </c>
      <c r="J30" s="338">
        <f>+SUM(J31:J31)</f>
        <v>0</v>
      </c>
      <c r="K30" s="338">
        <f>+SUM(K31:K31)</f>
        <v>4190000</v>
      </c>
      <c r="L30" s="338">
        <f>+J30+K30</f>
        <v>4190000</v>
      </c>
      <c r="M30" s="338">
        <f t="shared" si="3"/>
        <v>4190000</v>
      </c>
      <c r="N30" s="337">
        <f t="shared" si="4"/>
        <v>48490000</v>
      </c>
      <c r="P30" s="340"/>
      <c r="S30" s="341"/>
      <c r="T30" s="341"/>
      <c r="U30" s="342"/>
    </row>
    <row r="31" spans="1:21" s="339" customFormat="1" ht="18" customHeight="1" x14ac:dyDescent="0.25">
      <c r="A31" s="334"/>
      <c r="B31" s="335"/>
      <c r="C31" s="335"/>
      <c r="D31" s="335" t="s">
        <v>82</v>
      </c>
      <c r="E31" s="335" t="s">
        <v>83</v>
      </c>
      <c r="F31" s="337">
        <v>52680000</v>
      </c>
      <c r="G31" s="338"/>
      <c r="H31" s="338"/>
      <c r="I31" s="338">
        <f t="shared" si="2"/>
        <v>0</v>
      </c>
      <c r="J31" s="338"/>
      <c r="K31" s="338">
        <v>4190000</v>
      </c>
      <c r="L31" s="338">
        <f t="shared" ref="L31" si="5">+J31+K31</f>
        <v>4190000</v>
      </c>
      <c r="M31" s="338">
        <f t="shared" si="3"/>
        <v>4190000</v>
      </c>
      <c r="N31" s="337">
        <f t="shared" si="4"/>
        <v>48490000</v>
      </c>
      <c r="P31" s="340"/>
      <c r="S31" s="346"/>
      <c r="T31" s="347"/>
      <c r="U31" s="342"/>
    </row>
    <row r="32" spans="1:21" s="319" customFormat="1" ht="32.25" customHeight="1" x14ac:dyDescent="0.25">
      <c r="A32" s="275">
        <v>2</v>
      </c>
      <c r="B32" s="314"/>
      <c r="C32" s="314" t="s">
        <v>79</v>
      </c>
      <c r="D32" s="315"/>
      <c r="E32" s="348" t="s">
        <v>80</v>
      </c>
      <c r="F32" s="317">
        <f t="shared" ref="F32:H33" si="6">+F33</f>
        <v>158294000</v>
      </c>
      <c r="G32" s="318">
        <f t="shared" si="6"/>
        <v>0</v>
      </c>
      <c r="H32" s="318">
        <f t="shared" si="6"/>
        <v>0</v>
      </c>
      <c r="I32" s="318">
        <f>+G32+H32</f>
        <v>0</v>
      </c>
      <c r="J32" s="318">
        <f>+J33</f>
        <v>0</v>
      </c>
      <c r="K32" s="318">
        <f>+K33</f>
        <v>4300000</v>
      </c>
      <c r="L32" s="318">
        <f>+J32+K32</f>
        <v>4300000</v>
      </c>
      <c r="M32" s="318">
        <f>+I32+L32</f>
        <v>4300000</v>
      </c>
      <c r="N32" s="317">
        <f>+F32-M32</f>
        <v>153994000</v>
      </c>
      <c r="P32" s="320"/>
      <c r="R32" s="321"/>
      <c r="S32" s="349"/>
      <c r="T32" s="349"/>
      <c r="U32" s="350"/>
    </row>
    <row r="33" spans="1:21" s="329" customFormat="1" ht="18" customHeight="1" x14ac:dyDescent="0.25">
      <c r="A33" s="323"/>
      <c r="B33" s="324"/>
      <c r="C33" s="324"/>
      <c r="D33" s="325" t="s">
        <v>207</v>
      </c>
      <c r="E33" s="326" t="s">
        <v>262</v>
      </c>
      <c r="F33" s="327">
        <f t="shared" si="6"/>
        <v>158294000</v>
      </c>
      <c r="G33" s="328">
        <f t="shared" si="6"/>
        <v>0</v>
      </c>
      <c r="H33" s="328">
        <f t="shared" si="6"/>
        <v>0</v>
      </c>
      <c r="I33" s="328">
        <f t="shared" ref="I33:I37" si="7">+G33+H33</f>
        <v>0</v>
      </c>
      <c r="J33" s="328">
        <f>+J34</f>
        <v>0</v>
      </c>
      <c r="K33" s="328">
        <f>+K34</f>
        <v>4300000</v>
      </c>
      <c r="L33" s="328">
        <f t="shared" ref="L33:L35" si="8">+J33+K33</f>
        <v>4300000</v>
      </c>
      <c r="M33" s="328">
        <f>+I33+L33</f>
        <v>4300000</v>
      </c>
      <c r="N33" s="327">
        <f t="shared" ref="N33:N36" si="9">+F33-M33</f>
        <v>153994000</v>
      </c>
      <c r="P33" s="330"/>
      <c r="R33" s="331"/>
      <c r="S33" s="351"/>
      <c r="T33" s="351"/>
      <c r="U33" s="333"/>
    </row>
    <row r="34" spans="1:21" s="339" customFormat="1" ht="18" customHeight="1" x14ac:dyDescent="0.25">
      <c r="A34" s="334"/>
      <c r="B34" s="335"/>
      <c r="C34" s="335"/>
      <c r="D34" s="335" t="s">
        <v>63</v>
      </c>
      <c r="E34" s="336" t="s">
        <v>30</v>
      </c>
      <c r="F34" s="337">
        <f>+F35+F42</f>
        <v>158294000</v>
      </c>
      <c r="G34" s="338">
        <f>+G35+G42</f>
        <v>0</v>
      </c>
      <c r="H34" s="338">
        <f>+H35+H42</f>
        <v>0</v>
      </c>
      <c r="I34" s="338">
        <f t="shared" si="7"/>
        <v>0</v>
      </c>
      <c r="J34" s="338">
        <f>+J35+J42</f>
        <v>0</v>
      </c>
      <c r="K34" s="338">
        <f>+K35+K42</f>
        <v>4300000</v>
      </c>
      <c r="L34" s="338">
        <f t="shared" si="8"/>
        <v>4300000</v>
      </c>
      <c r="M34" s="338">
        <f t="shared" ref="M34:M35" si="10">+I34+L34</f>
        <v>4300000</v>
      </c>
      <c r="N34" s="337">
        <f t="shared" si="9"/>
        <v>153994000</v>
      </c>
      <c r="P34" s="340"/>
      <c r="S34" s="347"/>
      <c r="T34" s="347"/>
      <c r="U34" s="342"/>
    </row>
    <row r="35" spans="1:21" s="339" customFormat="1" ht="18" customHeight="1" x14ac:dyDescent="0.25">
      <c r="A35" s="334"/>
      <c r="B35" s="335"/>
      <c r="C35" s="335"/>
      <c r="D35" s="335" t="s">
        <v>263</v>
      </c>
      <c r="E35" s="336" t="s">
        <v>264</v>
      </c>
      <c r="F35" s="337">
        <f t="shared" ref="F35" si="11">+F36</f>
        <v>76694000</v>
      </c>
      <c r="G35" s="338">
        <f>+G36</f>
        <v>0</v>
      </c>
      <c r="H35" s="338">
        <f>+H36</f>
        <v>0</v>
      </c>
      <c r="I35" s="338">
        <f t="shared" si="7"/>
        <v>0</v>
      </c>
      <c r="J35" s="338">
        <f>+J36</f>
        <v>0</v>
      </c>
      <c r="K35" s="338">
        <f>+K36</f>
        <v>0</v>
      </c>
      <c r="L35" s="338">
        <f t="shared" si="8"/>
        <v>0</v>
      </c>
      <c r="M35" s="338">
        <f t="shared" si="10"/>
        <v>0</v>
      </c>
      <c r="N35" s="337">
        <f t="shared" si="9"/>
        <v>76694000</v>
      </c>
      <c r="P35" s="340"/>
      <c r="S35" s="347"/>
      <c r="T35" s="347"/>
      <c r="U35" s="342"/>
    </row>
    <row r="36" spans="1:21" s="339" customFormat="1" ht="18" customHeight="1" x14ac:dyDescent="0.25">
      <c r="A36" s="334"/>
      <c r="B36" s="335"/>
      <c r="C36" s="335"/>
      <c r="D36" s="335" t="s">
        <v>64</v>
      </c>
      <c r="E36" s="335" t="s">
        <v>65</v>
      </c>
      <c r="F36" s="337">
        <f>SUM(F37:F41)</f>
        <v>76694000</v>
      </c>
      <c r="G36" s="344">
        <f>SUM(G37:G41)</f>
        <v>0</v>
      </c>
      <c r="H36" s="344">
        <f>SUM(H37:H41)</f>
        <v>0</v>
      </c>
      <c r="I36" s="338">
        <f t="shared" si="7"/>
        <v>0</v>
      </c>
      <c r="J36" s="338">
        <f>SUM(J37:J41)</f>
        <v>0</v>
      </c>
      <c r="K36" s="338">
        <f>SUM(K37:K41)</f>
        <v>0</v>
      </c>
      <c r="L36" s="338">
        <f>+J36+K36</f>
        <v>0</v>
      </c>
      <c r="M36" s="338">
        <f>+I36+L36</f>
        <v>0</v>
      </c>
      <c r="N36" s="337">
        <f t="shared" si="9"/>
        <v>76694000</v>
      </c>
      <c r="P36" s="340"/>
      <c r="S36" s="347"/>
      <c r="T36" s="347"/>
      <c r="U36" s="342"/>
    </row>
    <row r="37" spans="1:21" s="339" customFormat="1" ht="18" customHeight="1" x14ac:dyDescent="0.25">
      <c r="A37" s="334"/>
      <c r="B37" s="352"/>
      <c r="C37" s="335"/>
      <c r="D37" s="335" t="s">
        <v>66</v>
      </c>
      <c r="E37" s="335" t="s">
        <v>67</v>
      </c>
      <c r="F37" s="337">
        <v>8160000</v>
      </c>
      <c r="G37" s="338"/>
      <c r="H37" s="338"/>
      <c r="I37" s="338">
        <f t="shared" si="7"/>
        <v>0</v>
      </c>
      <c r="J37" s="338"/>
      <c r="K37" s="338"/>
      <c r="L37" s="338">
        <f t="shared" ref="L37" si="12">+J37+K37</f>
        <v>0</v>
      </c>
      <c r="M37" s="338">
        <f t="shared" ref="M37" si="13">+I37+L37</f>
        <v>0</v>
      </c>
      <c r="N37" s="337">
        <f>+F37-M37</f>
        <v>8160000</v>
      </c>
      <c r="P37" s="340"/>
      <c r="S37" s="346"/>
      <c r="T37" s="347"/>
      <c r="U37" s="342"/>
    </row>
    <row r="38" spans="1:21" s="339" customFormat="1" ht="18" customHeight="1" x14ac:dyDescent="0.25">
      <c r="A38" s="334"/>
      <c r="B38" s="352"/>
      <c r="C38" s="335"/>
      <c r="D38" s="335" t="s">
        <v>337</v>
      </c>
      <c r="E38" s="335" t="s">
        <v>338</v>
      </c>
      <c r="F38" s="337">
        <v>5112000</v>
      </c>
      <c r="G38" s="338"/>
      <c r="H38" s="338"/>
      <c r="I38" s="338"/>
      <c r="J38" s="338"/>
      <c r="K38" s="338"/>
      <c r="L38" s="338">
        <f>+J38+K38</f>
        <v>0</v>
      </c>
      <c r="M38" s="338">
        <f>+I38+L38</f>
        <v>0</v>
      </c>
      <c r="N38" s="337">
        <f>+F38-M38</f>
        <v>5112000</v>
      </c>
      <c r="P38" s="340"/>
      <c r="S38" s="346"/>
      <c r="T38" s="347"/>
      <c r="U38" s="342"/>
    </row>
    <row r="39" spans="1:21" s="339" customFormat="1" ht="18" customHeight="1" x14ac:dyDescent="0.25">
      <c r="A39" s="334"/>
      <c r="B39" s="352"/>
      <c r="C39" s="335"/>
      <c r="D39" s="335" t="s">
        <v>68</v>
      </c>
      <c r="E39" s="335" t="s">
        <v>69</v>
      </c>
      <c r="F39" s="337">
        <v>36414000</v>
      </c>
      <c r="G39" s="338"/>
      <c r="H39" s="338"/>
      <c r="I39" s="338"/>
      <c r="J39" s="338"/>
      <c r="K39" s="338"/>
      <c r="L39" s="338">
        <f t="shared" ref="L39:L41" si="14">+J39+K39</f>
        <v>0</v>
      </c>
      <c r="M39" s="338">
        <f t="shared" ref="M39:M41" si="15">+I39+L39</f>
        <v>0</v>
      </c>
      <c r="N39" s="337">
        <f t="shared" ref="N39:N45" si="16">+F39-M39</f>
        <v>36414000</v>
      </c>
      <c r="P39" s="340"/>
      <c r="S39" s="346"/>
      <c r="T39" s="347"/>
      <c r="U39" s="342"/>
    </row>
    <row r="40" spans="1:21" s="339" customFormat="1" ht="18" customHeight="1" x14ac:dyDescent="0.25">
      <c r="A40" s="334"/>
      <c r="B40" s="352"/>
      <c r="C40" s="335"/>
      <c r="D40" s="335" t="s">
        <v>339</v>
      </c>
      <c r="E40" s="335" t="s">
        <v>340</v>
      </c>
      <c r="F40" s="337">
        <v>12008000</v>
      </c>
      <c r="G40" s="338"/>
      <c r="H40" s="338"/>
      <c r="I40" s="338"/>
      <c r="J40" s="338"/>
      <c r="K40" s="338"/>
      <c r="L40" s="338">
        <f t="shared" si="14"/>
        <v>0</v>
      </c>
      <c r="M40" s="338">
        <f t="shared" si="15"/>
        <v>0</v>
      </c>
      <c r="N40" s="337">
        <f t="shared" si="16"/>
        <v>12008000</v>
      </c>
      <c r="P40" s="340"/>
      <c r="S40" s="346"/>
      <c r="T40" s="347"/>
      <c r="U40" s="342"/>
    </row>
    <row r="41" spans="1:21" s="339" customFormat="1" ht="18" customHeight="1" x14ac:dyDescent="0.25">
      <c r="A41" s="334"/>
      <c r="B41" s="352"/>
      <c r="C41" s="335"/>
      <c r="D41" s="335" t="s">
        <v>70</v>
      </c>
      <c r="E41" s="335" t="s">
        <v>33</v>
      </c>
      <c r="F41" s="337">
        <v>15000000</v>
      </c>
      <c r="G41" s="338"/>
      <c r="H41" s="338"/>
      <c r="I41" s="338">
        <f>+G41+H41</f>
        <v>0</v>
      </c>
      <c r="J41" s="338"/>
      <c r="K41" s="338"/>
      <c r="L41" s="338">
        <f t="shared" si="14"/>
        <v>0</v>
      </c>
      <c r="M41" s="338">
        <f t="shared" si="15"/>
        <v>0</v>
      </c>
      <c r="N41" s="337">
        <f t="shared" si="16"/>
        <v>15000000</v>
      </c>
      <c r="P41" s="340"/>
      <c r="S41" s="346"/>
      <c r="T41" s="347"/>
      <c r="U41" s="342"/>
    </row>
    <row r="42" spans="1:21" s="339" customFormat="1" ht="18" customHeight="1" x14ac:dyDescent="0.25">
      <c r="A42" s="334"/>
      <c r="B42" s="335"/>
      <c r="C42" s="335"/>
      <c r="D42" s="335" t="s">
        <v>271</v>
      </c>
      <c r="E42" s="336" t="s">
        <v>272</v>
      </c>
      <c r="F42" s="337">
        <f>+F43</f>
        <v>81600000</v>
      </c>
      <c r="G42" s="338">
        <f>+G43</f>
        <v>0</v>
      </c>
      <c r="H42" s="338">
        <f>+H43</f>
        <v>0</v>
      </c>
      <c r="I42" s="338">
        <f t="shared" ref="I42:I45" si="17">+G42+H42</f>
        <v>0</v>
      </c>
      <c r="J42" s="338">
        <f>+J43</f>
        <v>0</v>
      </c>
      <c r="K42" s="338">
        <f>+K43</f>
        <v>4300000</v>
      </c>
      <c r="L42" s="338">
        <f>+J42+K42</f>
        <v>4300000</v>
      </c>
      <c r="M42" s="338">
        <f>+I42+L42</f>
        <v>4300000</v>
      </c>
      <c r="N42" s="337">
        <f t="shared" si="16"/>
        <v>77300000</v>
      </c>
      <c r="P42" s="340"/>
      <c r="S42" s="346"/>
      <c r="T42" s="347"/>
      <c r="U42" s="342"/>
    </row>
    <row r="43" spans="1:21" s="339" customFormat="1" ht="18" customHeight="1" x14ac:dyDescent="0.25">
      <c r="A43" s="334"/>
      <c r="B43" s="335"/>
      <c r="C43" s="335"/>
      <c r="D43" s="335" t="s">
        <v>81</v>
      </c>
      <c r="E43" s="335" t="s">
        <v>31</v>
      </c>
      <c r="F43" s="337">
        <f>SUM(F44:F45)</f>
        <v>81600000</v>
      </c>
      <c r="G43" s="344">
        <f>+G45</f>
        <v>0</v>
      </c>
      <c r="H43" s="338">
        <f>+SUM(H45:H45)</f>
        <v>0</v>
      </c>
      <c r="I43" s="338">
        <f t="shared" si="17"/>
        <v>0</v>
      </c>
      <c r="J43" s="338">
        <f>+SUM(J45:J45)</f>
        <v>0</v>
      </c>
      <c r="K43" s="338">
        <f>+SUM(K45:K45)</f>
        <v>4300000</v>
      </c>
      <c r="L43" s="338">
        <f t="shared" ref="L43:L45" si="18">+J43+K43</f>
        <v>4300000</v>
      </c>
      <c r="M43" s="338">
        <f t="shared" ref="M43:M45" si="19">+I43+L43</f>
        <v>4300000</v>
      </c>
      <c r="N43" s="337">
        <f t="shared" si="16"/>
        <v>77300000</v>
      </c>
      <c r="P43" s="340"/>
      <c r="S43" s="346"/>
      <c r="T43" s="347"/>
      <c r="U43" s="342"/>
    </row>
    <row r="44" spans="1:21" s="339" customFormat="1" ht="18" customHeight="1" x14ac:dyDescent="0.25">
      <c r="A44" s="334"/>
      <c r="B44" s="335"/>
      <c r="C44" s="335"/>
      <c r="D44" s="335" t="s">
        <v>451</v>
      </c>
      <c r="E44" s="335" t="s">
        <v>452</v>
      </c>
      <c r="F44" s="337">
        <v>30000000</v>
      </c>
      <c r="G44" s="338"/>
      <c r="H44" s="338"/>
      <c r="I44" s="338">
        <f t="shared" si="17"/>
        <v>0</v>
      </c>
      <c r="J44" s="338"/>
      <c r="K44" s="338"/>
      <c r="L44" s="338">
        <f t="shared" si="18"/>
        <v>0</v>
      </c>
      <c r="M44" s="338">
        <f t="shared" si="19"/>
        <v>0</v>
      </c>
      <c r="N44" s="337">
        <f t="shared" si="16"/>
        <v>30000000</v>
      </c>
      <c r="P44" s="340"/>
      <c r="S44" s="346"/>
      <c r="T44" s="347"/>
      <c r="U44" s="342"/>
    </row>
    <row r="45" spans="1:21" s="339" customFormat="1" ht="18" customHeight="1" x14ac:dyDescent="0.25">
      <c r="A45" s="334"/>
      <c r="B45" s="335"/>
      <c r="C45" s="335"/>
      <c r="D45" s="335" t="s">
        <v>82</v>
      </c>
      <c r="E45" s="335" t="s">
        <v>83</v>
      </c>
      <c r="F45" s="337">
        <v>51600000</v>
      </c>
      <c r="G45" s="338"/>
      <c r="H45" s="338"/>
      <c r="I45" s="338">
        <f t="shared" si="17"/>
        <v>0</v>
      </c>
      <c r="J45" s="338"/>
      <c r="K45" s="338">
        <v>4300000</v>
      </c>
      <c r="L45" s="338">
        <f t="shared" si="18"/>
        <v>4300000</v>
      </c>
      <c r="M45" s="338">
        <f t="shared" si="19"/>
        <v>4300000</v>
      </c>
      <c r="N45" s="337">
        <f t="shared" si="16"/>
        <v>47300000</v>
      </c>
      <c r="P45" s="340"/>
      <c r="S45" s="346"/>
      <c r="T45" s="347"/>
      <c r="U45" s="342"/>
    </row>
    <row r="46" spans="1:21" s="153" customFormat="1" ht="18" customHeight="1" x14ac:dyDescent="0.25">
      <c r="A46" s="353"/>
      <c r="B46" s="354"/>
      <c r="C46" s="354"/>
      <c r="D46" s="355"/>
      <c r="E46" s="355"/>
      <c r="F46" s="356"/>
      <c r="G46" s="357"/>
      <c r="H46" s="357"/>
      <c r="I46" s="357"/>
      <c r="J46" s="357"/>
      <c r="K46" s="357"/>
      <c r="L46" s="357"/>
      <c r="M46" s="357"/>
      <c r="N46" s="356"/>
      <c r="P46" s="200"/>
      <c r="S46" s="358"/>
      <c r="T46" s="221"/>
      <c r="U46" s="254"/>
    </row>
    <row r="47" spans="1:21" s="319" customFormat="1" ht="18" customHeight="1" x14ac:dyDescent="0.25">
      <c r="A47" s="276"/>
      <c r="B47" s="305" t="s">
        <v>407</v>
      </c>
      <c r="C47" s="305"/>
      <c r="D47" s="305"/>
      <c r="E47" s="305" t="s">
        <v>408</v>
      </c>
      <c r="F47" s="359">
        <f>+F48+F113</f>
        <v>27970445142</v>
      </c>
      <c r="G47" s="360">
        <f>+G48</f>
        <v>0</v>
      </c>
      <c r="H47" s="360">
        <f>+H48+H113</f>
        <v>592026147</v>
      </c>
      <c r="I47" s="360">
        <f>+G47+H47</f>
        <v>592026147</v>
      </c>
      <c r="J47" s="360">
        <f>+J114</f>
        <v>0</v>
      </c>
      <c r="K47" s="360">
        <f>+K114</f>
        <v>0</v>
      </c>
      <c r="L47" s="360">
        <f>+J47+K47</f>
        <v>0</v>
      </c>
      <c r="M47" s="360">
        <f>+I47+L47</f>
        <v>592026147</v>
      </c>
      <c r="N47" s="359">
        <f>+F47-M47</f>
        <v>27378418995</v>
      </c>
      <c r="P47" s="361"/>
      <c r="R47" s="321"/>
      <c r="S47" s="362"/>
      <c r="T47" s="362"/>
      <c r="U47" s="350"/>
    </row>
    <row r="48" spans="1:21" s="319" customFormat="1" ht="18" customHeight="1" x14ac:dyDescent="0.25">
      <c r="A48" s="276">
        <v>3</v>
      </c>
      <c r="B48" s="305"/>
      <c r="C48" s="305" t="s">
        <v>156</v>
      </c>
      <c r="D48" s="363"/>
      <c r="E48" s="364" t="s">
        <v>157</v>
      </c>
      <c r="F48" s="307">
        <f>+F49</f>
        <v>27939292142</v>
      </c>
      <c r="G48" s="308">
        <f>+G49</f>
        <v>0</v>
      </c>
      <c r="H48" s="308">
        <f>+H49</f>
        <v>592026147</v>
      </c>
      <c r="I48" s="308">
        <f>+G48+H48</f>
        <v>592026147</v>
      </c>
      <c r="J48" s="308">
        <f>+J49</f>
        <v>0</v>
      </c>
      <c r="K48" s="308">
        <f>+K49</f>
        <v>0</v>
      </c>
      <c r="L48" s="308">
        <f>+J48+K48</f>
        <v>0</v>
      </c>
      <c r="M48" s="308">
        <f>+I48+L48</f>
        <v>592026147</v>
      </c>
      <c r="N48" s="307">
        <f>+F48-M48</f>
        <v>27347265995</v>
      </c>
      <c r="P48" s="320"/>
      <c r="R48" s="321"/>
      <c r="S48" s="349"/>
      <c r="T48" s="349"/>
      <c r="U48" s="350"/>
    </row>
    <row r="49" spans="1:21" s="329" customFormat="1" ht="18" customHeight="1" x14ac:dyDescent="0.25">
      <c r="A49" s="323"/>
      <c r="B49" s="324"/>
      <c r="C49" s="324"/>
      <c r="D49" s="325" t="s">
        <v>207</v>
      </c>
      <c r="E49" s="326" t="s">
        <v>262</v>
      </c>
      <c r="F49" s="327">
        <f t="shared" ref="F49" si="20">+F50</f>
        <v>27939292142</v>
      </c>
      <c r="G49" s="328">
        <f>+G50</f>
        <v>0</v>
      </c>
      <c r="H49" s="328">
        <f>+H50</f>
        <v>592026147</v>
      </c>
      <c r="I49" s="328">
        <f t="shared" ref="I49:I50" si="21">+G49+H49</f>
        <v>592026147</v>
      </c>
      <c r="J49" s="328"/>
      <c r="K49" s="328">
        <f>+K50</f>
        <v>0</v>
      </c>
      <c r="L49" s="328">
        <f t="shared" ref="L49:L112" si="22">+J49+K49</f>
        <v>0</v>
      </c>
      <c r="M49" s="328">
        <f t="shared" ref="M49:M72" si="23">+I49+L49</f>
        <v>592026147</v>
      </c>
      <c r="N49" s="327">
        <f t="shared" ref="N49:N54" si="24">+F49-M49</f>
        <v>27347265995</v>
      </c>
      <c r="P49" s="330"/>
      <c r="R49" s="331"/>
      <c r="S49" s="351"/>
      <c r="T49" s="351"/>
      <c r="U49" s="333"/>
    </row>
    <row r="50" spans="1:21" s="339" customFormat="1" ht="18" customHeight="1" x14ac:dyDescent="0.25">
      <c r="A50" s="334"/>
      <c r="B50" s="335"/>
      <c r="C50" s="335"/>
      <c r="D50" s="365" t="s">
        <v>158</v>
      </c>
      <c r="E50" s="335" t="s">
        <v>159</v>
      </c>
      <c r="F50" s="337">
        <f>F51+F76+F83+F101</f>
        <v>27939292142</v>
      </c>
      <c r="G50" s="344">
        <f>+G51+G83+G101+G76</f>
        <v>0</v>
      </c>
      <c r="H50" s="344">
        <f>+H51+H83+H101+H76</f>
        <v>592026147</v>
      </c>
      <c r="I50" s="344">
        <f t="shared" si="21"/>
        <v>592026147</v>
      </c>
      <c r="J50" s="344"/>
      <c r="K50" s="344">
        <f>+K51+K76+K83+K101</f>
        <v>0</v>
      </c>
      <c r="L50" s="344">
        <f t="shared" si="22"/>
        <v>0</v>
      </c>
      <c r="M50" s="344">
        <f t="shared" si="23"/>
        <v>592026147</v>
      </c>
      <c r="N50" s="337">
        <f t="shared" si="24"/>
        <v>27347265995</v>
      </c>
      <c r="P50" s="340"/>
      <c r="S50" s="347"/>
      <c r="T50" s="347"/>
      <c r="U50" s="342"/>
    </row>
    <row r="51" spans="1:21" s="339" customFormat="1" ht="18" customHeight="1" x14ac:dyDescent="0.25">
      <c r="A51" s="334"/>
      <c r="B51" s="335"/>
      <c r="C51" s="335"/>
      <c r="D51" s="365" t="s">
        <v>208</v>
      </c>
      <c r="E51" s="335" t="s">
        <v>209</v>
      </c>
      <c r="F51" s="337">
        <f>F52+F54+F56+F58+F60+F62+F64+F66+F68+F70+F72+F74</f>
        <v>15098272502</v>
      </c>
      <c r="G51" s="344">
        <f>+G52+G54+G56+G58+G60+G62+G64+G66+G68+G70+G72+G74</f>
        <v>0</v>
      </c>
      <c r="H51" s="344">
        <f>+H52+H54+H56+H58+H60+H62+H64+H66+H68+H70+H72+H74</f>
        <v>321607359</v>
      </c>
      <c r="I51" s="344">
        <f>+G51+H51</f>
        <v>321607359</v>
      </c>
      <c r="J51" s="344"/>
      <c r="K51" s="344">
        <f>+K52+K54+K56+K58+K60+K62+K64+K66+K68+K70+K72+K74</f>
        <v>0</v>
      </c>
      <c r="L51" s="344">
        <f t="shared" si="22"/>
        <v>0</v>
      </c>
      <c r="M51" s="344">
        <f t="shared" si="23"/>
        <v>321607359</v>
      </c>
      <c r="N51" s="337">
        <f t="shared" si="24"/>
        <v>14776665143</v>
      </c>
      <c r="P51" s="340"/>
      <c r="S51" s="347"/>
      <c r="T51" s="347"/>
      <c r="U51" s="342"/>
    </row>
    <row r="52" spans="1:21" s="339" customFormat="1" ht="18" customHeight="1" x14ac:dyDescent="0.25">
      <c r="A52" s="334"/>
      <c r="B52" s="335"/>
      <c r="C52" s="335"/>
      <c r="D52" s="365" t="s">
        <v>160</v>
      </c>
      <c r="E52" s="335" t="s">
        <v>162</v>
      </c>
      <c r="F52" s="337">
        <f>+F53</f>
        <v>13525507924</v>
      </c>
      <c r="G52" s="344">
        <f>+G53</f>
        <v>0</v>
      </c>
      <c r="H52" s="344">
        <f>+H53</f>
        <v>241934700</v>
      </c>
      <c r="I52" s="344">
        <f t="shared" ref="I52" si="25">+G52+H52</f>
        <v>241934700</v>
      </c>
      <c r="J52" s="344"/>
      <c r="K52" s="344">
        <f>+K53</f>
        <v>0</v>
      </c>
      <c r="L52" s="344">
        <f>+J52+K52</f>
        <v>0</v>
      </c>
      <c r="M52" s="344">
        <f t="shared" si="23"/>
        <v>241934700</v>
      </c>
      <c r="N52" s="337">
        <f t="shared" si="24"/>
        <v>13283573224</v>
      </c>
      <c r="P52" s="340"/>
      <c r="S52" s="347"/>
      <c r="T52" s="346"/>
      <c r="U52" s="342"/>
    </row>
    <row r="53" spans="1:21" s="339" customFormat="1" ht="18" customHeight="1" x14ac:dyDescent="0.25">
      <c r="A53" s="334"/>
      <c r="B53" s="335"/>
      <c r="C53" s="335"/>
      <c r="D53" s="365" t="s">
        <v>161</v>
      </c>
      <c r="E53" s="335" t="s">
        <v>163</v>
      </c>
      <c r="F53" s="337">
        <v>13525507924</v>
      </c>
      <c r="G53" s="344"/>
      <c r="H53" s="344">
        <v>241934700</v>
      </c>
      <c r="I53" s="344">
        <f>+G53+H53</f>
        <v>241934700</v>
      </c>
      <c r="J53" s="344"/>
      <c r="K53" s="344"/>
      <c r="L53" s="344">
        <f t="shared" si="22"/>
        <v>0</v>
      </c>
      <c r="M53" s="344">
        <f t="shared" si="23"/>
        <v>241934700</v>
      </c>
      <c r="N53" s="337">
        <f t="shared" si="24"/>
        <v>13283573224</v>
      </c>
      <c r="P53" s="340"/>
      <c r="S53" s="347"/>
      <c r="T53" s="346"/>
      <c r="U53" s="342"/>
    </row>
    <row r="54" spans="1:21" s="339" customFormat="1" ht="18" customHeight="1" x14ac:dyDescent="0.25">
      <c r="A54" s="334"/>
      <c r="B54" s="335"/>
      <c r="C54" s="335"/>
      <c r="D54" s="365" t="s">
        <v>164</v>
      </c>
      <c r="E54" s="335" t="s">
        <v>166</v>
      </c>
      <c r="F54" s="337">
        <f>+F55</f>
        <v>401878814</v>
      </c>
      <c r="G54" s="344">
        <f>+G55</f>
        <v>0</v>
      </c>
      <c r="H54" s="344">
        <f>+H55</f>
        <v>24447544</v>
      </c>
      <c r="I54" s="344">
        <f t="shared" ref="I54:I73" si="26">+G54+H54</f>
        <v>24447544</v>
      </c>
      <c r="J54" s="344"/>
      <c r="K54" s="344">
        <f>+K55</f>
        <v>0</v>
      </c>
      <c r="L54" s="344">
        <f>+J54+K54</f>
        <v>0</v>
      </c>
      <c r="M54" s="344">
        <f t="shared" si="23"/>
        <v>24447544</v>
      </c>
      <c r="N54" s="337">
        <f t="shared" si="24"/>
        <v>377431270</v>
      </c>
      <c r="P54" s="340"/>
      <c r="S54" s="347"/>
      <c r="T54" s="346"/>
      <c r="U54" s="342"/>
    </row>
    <row r="55" spans="1:21" s="339" customFormat="1" ht="18" customHeight="1" x14ac:dyDescent="0.25">
      <c r="A55" s="334"/>
      <c r="B55" s="335"/>
      <c r="C55" s="335"/>
      <c r="D55" s="365" t="s">
        <v>165</v>
      </c>
      <c r="E55" s="335" t="s">
        <v>167</v>
      </c>
      <c r="F55" s="337">
        <v>401878814</v>
      </c>
      <c r="G55" s="344"/>
      <c r="H55" s="344">
        <v>24447544</v>
      </c>
      <c r="I55" s="344">
        <f t="shared" si="26"/>
        <v>24447544</v>
      </c>
      <c r="J55" s="344"/>
      <c r="K55" s="344"/>
      <c r="L55" s="344">
        <f t="shared" si="22"/>
        <v>0</v>
      </c>
      <c r="M55" s="344">
        <f t="shared" si="23"/>
        <v>24447544</v>
      </c>
      <c r="N55" s="337">
        <f>+F55-M55</f>
        <v>377431270</v>
      </c>
      <c r="P55" s="340"/>
      <c r="S55" s="347"/>
      <c r="T55" s="346"/>
      <c r="U55" s="342"/>
    </row>
    <row r="56" spans="1:21" s="339" customFormat="1" ht="18" customHeight="1" x14ac:dyDescent="0.25">
      <c r="A56" s="334"/>
      <c r="B56" s="335"/>
      <c r="C56" s="335"/>
      <c r="D56" s="365" t="s">
        <v>168</v>
      </c>
      <c r="E56" s="335" t="s">
        <v>170</v>
      </c>
      <c r="F56" s="337">
        <f>+F57</f>
        <v>290052000</v>
      </c>
      <c r="G56" s="344">
        <f>+G57</f>
        <v>0</v>
      </c>
      <c r="H56" s="344">
        <f>+H57</f>
        <v>17805000</v>
      </c>
      <c r="I56" s="344">
        <f t="shared" si="26"/>
        <v>17805000</v>
      </c>
      <c r="J56" s="344"/>
      <c r="K56" s="344">
        <f>+K57</f>
        <v>0</v>
      </c>
      <c r="L56" s="344">
        <f t="shared" si="22"/>
        <v>0</v>
      </c>
      <c r="M56" s="344">
        <f t="shared" si="23"/>
        <v>17805000</v>
      </c>
      <c r="N56" s="337">
        <f t="shared" ref="N56:N58" si="27">+F56-M56</f>
        <v>272247000</v>
      </c>
      <c r="P56" s="340"/>
      <c r="S56" s="347"/>
      <c r="T56" s="346"/>
      <c r="U56" s="342"/>
    </row>
    <row r="57" spans="1:21" s="339" customFormat="1" ht="18" customHeight="1" x14ac:dyDescent="0.25">
      <c r="A57" s="334"/>
      <c r="B57" s="335"/>
      <c r="C57" s="335"/>
      <c r="D57" s="365" t="s">
        <v>169</v>
      </c>
      <c r="E57" s="335" t="s">
        <v>171</v>
      </c>
      <c r="F57" s="337">
        <v>290052000</v>
      </c>
      <c r="G57" s="344"/>
      <c r="H57" s="344">
        <v>17805000</v>
      </c>
      <c r="I57" s="344">
        <f t="shared" si="26"/>
        <v>17805000</v>
      </c>
      <c r="J57" s="344"/>
      <c r="K57" s="344"/>
      <c r="L57" s="344">
        <f t="shared" si="22"/>
        <v>0</v>
      </c>
      <c r="M57" s="344">
        <f t="shared" si="23"/>
        <v>17805000</v>
      </c>
      <c r="N57" s="337">
        <f t="shared" si="27"/>
        <v>272247000</v>
      </c>
      <c r="P57" s="340"/>
      <c r="S57" s="347"/>
      <c r="T57" s="346"/>
      <c r="U57" s="342"/>
    </row>
    <row r="58" spans="1:21" s="339" customFormat="1" ht="18" customHeight="1" x14ac:dyDescent="0.25">
      <c r="A58" s="334"/>
      <c r="B58" s="335"/>
      <c r="C58" s="335"/>
      <c r="D58" s="365" t="s">
        <v>172</v>
      </c>
      <c r="E58" s="335" t="s">
        <v>174</v>
      </c>
      <c r="F58" s="337">
        <f>+F59</f>
        <v>62496000</v>
      </c>
      <c r="G58" s="344">
        <f>+G59</f>
        <v>0</v>
      </c>
      <c r="H58" s="344">
        <f>+H59</f>
        <v>960000</v>
      </c>
      <c r="I58" s="344">
        <f t="shared" si="26"/>
        <v>960000</v>
      </c>
      <c r="J58" s="344"/>
      <c r="K58" s="344">
        <f>+K59</f>
        <v>0</v>
      </c>
      <c r="L58" s="344">
        <f t="shared" si="22"/>
        <v>0</v>
      </c>
      <c r="M58" s="344">
        <f t="shared" si="23"/>
        <v>960000</v>
      </c>
      <c r="N58" s="337">
        <f t="shared" si="27"/>
        <v>61536000</v>
      </c>
      <c r="P58" s="340"/>
      <c r="S58" s="347"/>
      <c r="T58" s="346"/>
      <c r="U58" s="342"/>
    </row>
    <row r="59" spans="1:21" s="339" customFormat="1" ht="18" customHeight="1" x14ac:dyDescent="0.25">
      <c r="A59" s="334"/>
      <c r="B59" s="335"/>
      <c r="C59" s="335"/>
      <c r="D59" s="365" t="s">
        <v>173</v>
      </c>
      <c r="E59" s="335" t="s">
        <v>175</v>
      </c>
      <c r="F59" s="337">
        <v>62496000</v>
      </c>
      <c r="G59" s="344"/>
      <c r="H59" s="344">
        <v>960000</v>
      </c>
      <c r="I59" s="344">
        <f t="shared" si="26"/>
        <v>960000</v>
      </c>
      <c r="J59" s="344"/>
      <c r="K59" s="344"/>
      <c r="L59" s="344">
        <f t="shared" si="22"/>
        <v>0</v>
      </c>
      <c r="M59" s="344">
        <f t="shared" si="23"/>
        <v>960000</v>
      </c>
      <c r="N59" s="337">
        <f>+F59-M59</f>
        <v>61536000</v>
      </c>
      <c r="P59" s="340"/>
      <c r="S59" s="347"/>
      <c r="T59" s="346"/>
      <c r="U59" s="342"/>
    </row>
    <row r="60" spans="1:21" s="339" customFormat="1" ht="18" customHeight="1" x14ac:dyDescent="0.25">
      <c r="A60" s="334"/>
      <c r="B60" s="335"/>
      <c r="C60" s="335"/>
      <c r="D60" s="365" t="s">
        <v>176</v>
      </c>
      <c r="E60" s="335" t="s">
        <v>178</v>
      </c>
      <c r="F60" s="337">
        <f>+F61</f>
        <v>126672000</v>
      </c>
      <c r="G60" s="344">
        <f>+G61</f>
        <v>0</v>
      </c>
      <c r="H60" s="344">
        <f>+H61</f>
        <v>7730000</v>
      </c>
      <c r="I60" s="344">
        <f t="shared" si="26"/>
        <v>7730000</v>
      </c>
      <c r="J60" s="344"/>
      <c r="K60" s="344">
        <f>+K61</f>
        <v>0</v>
      </c>
      <c r="L60" s="344">
        <f t="shared" si="22"/>
        <v>0</v>
      </c>
      <c r="M60" s="344">
        <f t="shared" si="23"/>
        <v>7730000</v>
      </c>
      <c r="N60" s="337">
        <f t="shared" ref="N60:N72" si="28">+F60-M60</f>
        <v>118942000</v>
      </c>
      <c r="P60" s="340"/>
      <c r="S60" s="347"/>
      <c r="T60" s="346"/>
      <c r="U60" s="342"/>
    </row>
    <row r="61" spans="1:21" s="339" customFormat="1" ht="18" customHeight="1" x14ac:dyDescent="0.25">
      <c r="A61" s="334"/>
      <c r="B61" s="335"/>
      <c r="C61" s="335"/>
      <c r="D61" s="365" t="s">
        <v>177</v>
      </c>
      <c r="E61" s="335" t="s">
        <v>179</v>
      </c>
      <c r="F61" s="337">
        <v>126672000</v>
      </c>
      <c r="G61" s="344"/>
      <c r="H61" s="344">
        <v>7730000</v>
      </c>
      <c r="I61" s="344">
        <f t="shared" si="26"/>
        <v>7730000</v>
      </c>
      <c r="J61" s="344"/>
      <c r="K61" s="344"/>
      <c r="L61" s="344">
        <f t="shared" si="22"/>
        <v>0</v>
      </c>
      <c r="M61" s="344">
        <f t="shared" si="23"/>
        <v>7730000</v>
      </c>
      <c r="N61" s="337">
        <f t="shared" si="28"/>
        <v>118942000</v>
      </c>
      <c r="P61" s="340"/>
      <c r="S61" s="347"/>
      <c r="T61" s="346"/>
      <c r="U61" s="342"/>
    </row>
    <row r="62" spans="1:21" s="339" customFormat="1" ht="18" customHeight="1" x14ac:dyDescent="0.25">
      <c r="A62" s="334"/>
      <c r="B62" s="335"/>
      <c r="C62" s="335"/>
      <c r="D62" s="365" t="s">
        <v>180</v>
      </c>
      <c r="E62" s="335" t="s">
        <v>182</v>
      </c>
      <c r="F62" s="337">
        <f>+F63</f>
        <v>237247920</v>
      </c>
      <c r="G62" s="344">
        <f>+G63</f>
        <v>0</v>
      </c>
      <c r="H62" s="344">
        <f>+H63</f>
        <v>14411580</v>
      </c>
      <c r="I62" s="344">
        <f t="shared" si="26"/>
        <v>14411580</v>
      </c>
      <c r="J62" s="344"/>
      <c r="K62" s="344">
        <f>+K63</f>
        <v>0</v>
      </c>
      <c r="L62" s="344">
        <f t="shared" si="22"/>
        <v>0</v>
      </c>
      <c r="M62" s="344">
        <f t="shared" si="23"/>
        <v>14411580</v>
      </c>
      <c r="N62" s="337">
        <f t="shared" si="28"/>
        <v>222836340</v>
      </c>
      <c r="P62" s="340"/>
      <c r="S62" s="347"/>
      <c r="T62" s="346"/>
      <c r="U62" s="342"/>
    </row>
    <row r="63" spans="1:21" s="339" customFormat="1" ht="18" customHeight="1" x14ac:dyDescent="0.25">
      <c r="A63" s="334"/>
      <c r="B63" s="335"/>
      <c r="C63" s="335"/>
      <c r="D63" s="365" t="s">
        <v>181</v>
      </c>
      <c r="E63" s="335" t="s">
        <v>183</v>
      </c>
      <c r="F63" s="337">
        <v>237247920</v>
      </c>
      <c r="G63" s="344"/>
      <c r="H63" s="344">
        <v>14411580</v>
      </c>
      <c r="I63" s="344">
        <f t="shared" si="26"/>
        <v>14411580</v>
      </c>
      <c r="J63" s="344"/>
      <c r="K63" s="344"/>
      <c r="L63" s="344">
        <f t="shared" si="22"/>
        <v>0</v>
      </c>
      <c r="M63" s="344">
        <f t="shared" si="23"/>
        <v>14411580</v>
      </c>
      <c r="N63" s="337">
        <f t="shared" si="28"/>
        <v>222836340</v>
      </c>
      <c r="P63" s="340"/>
      <c r="S63" s="347"/>
      <c r="T63" s="346"/>
      <c r="U63" s="342"/>
    </row>
    <row r="64" spans="1:21" s="339" customFormat="1" ht="18" customHeight="1" x14ac:dyDescent="0.25">
      <c r="A64" s="334"/>
      <c r="B64" s="335"/>
      <c r="C64" s="335"/>
      <c r="D64" s="365" t="s">
        <v>184</v>
      </c>
      <c r="E64" s="335" t="s">
        <v>186</v>
      </c>
      <c r="F64" s="337">
        <f>+F65</f>
        <v>202631050</v>
      </c>
      <c r="G64" s="344">
        <f>+G65</f>
        <v>0</v>
      </c>
      <c r="H64" s="344">
        <f>+H65</f>
        <v>277647</v>
      </c>
      <c r="I64" s="344">
        <f t="shared" si="26"/>
        <v>277647</v>
      </c>
      <c r="J64" s="344"/>
      <c r="K64" s="344">
        <f>+K65</f>
        <v>0</v>
      </c>
      <c r="L64" s="344">
        <f t="shared" si="22"/>
        <v>0</v>
      </c>
      <c r="M64" s="344">
        <f t="shared" si="23"/>
        <v>277647</v>
      </c>
      <c r="N64" s="337">
        <f t="shared" si="28"/>
        <v>202353403</v>
      </c>
      <c r="P64" s="340"/>
      <c r="S64" s="347"/>
      <c r="T64" s="346"/>
      <c r="U64" s="342"/>
    </row>
    <row r="65" spans="1:21" s="339" customFormat="1" ht="18" customHeight="1" x14ac:dyDescent="0.25">
      <c r="A65" s="334"/>
      <c r="B65" s="335"/>
      <c r="C65" s="335"/>
      <c r="D65" s="365" t="s">
        <v>185</v>
      </c>
      <c r="E65" s="335" t="s">
        <v>187</v>
      </c>
      <c r="F65" s="337">
        <v>202631050</v>
      </c>
      <c r="G65" s="344"/>
      <c r="H65" s="344">
        <v>277647</v>
      </c>
      <c r="I65" s="344">
        <f t="shared" si="26"/>
        <v>277647</v>
      </c>
      <c r="J65" s="344"/>
      <c r="K65" s="344"/>
      <c r="L65" s="344">
        <f t="shared" si="22"/>
        <v>0</v>
      </c>
      <c r="M65" s="344">
        <f t="shared" si="23"/>
        <v>277647</v>
      </c>
      <c r="N65" s="337">
        <f t="shared" si="28"/>
        <v>202353403</v>
      </c>
      <c r="P65" s="340"/>
      <c r="S65" s="347"/>
      <c r="T65" s="346"/>
      <c r="U65" s="342"/>
    </row>
    <row r="66" spans="1:21" s="339" customFormat="1" ht="18" customHeight="1" x14ac:dyDescent="0.25">
      <c r="A66" s="334"/>
      <c r="B66" s="335"/>
      <c r="C66" s="335"/>
      <c r="D66" s="365" t="s">
        <v>188</v>
      </c>
      <c r="E66" s="335" t="s">
        <v>190</v>
      </c>
      <c r="F66" s="337">
        <f t="shared" ref="F66" si="29">+F67</f>
        <v>51845</v>
      </c>
      <c r="G66" s="344">
        <f>+G67</f>
        <v>0</v>
      </c>
      <c r="H66" s="344">
        <f>+H67</f>
        <v>3223</v>
      </c>
      <c r="I66" s="344">
        <f t="shared" si="26"/>
        <v>3223</v>
      </c>
      <c r="J66" s="344"/>
      <c r="K66" s="344">
        <f>+K67</f>
        <v>0</v>
      </c>
      <c r="L66" s="344">
        <f t="shared" si="22"/>
        <v>0</v>
      </c>
      <c r="M66" s="344">
        <f t="shared" si="23"/>
        <v>3223</v>
      </c>
      <c r="N66" s="337">
        <f t="shared" si="28"/>
        <v>48622</v>
      </c>
      <c r="P66" s="340"/>
      <c r="S66" s="347"/>
      <c r="T66" s="346"/>
      <c r="U66" s="342"/>
    </row>
    <row r="67" spans="1:21" s="339" customFormat="1" ht="18" customHeight="1" x14ac:dyDescent="0.25">
      <c r="A67" s="334"/>
      <c r="B67" s="335"/>
      <c r="C67" s="335"/>
      <c r="D67" s="365" t="s">
        <v>189</v>
      </c>
      <c r="E67" s="335" t="s">
        <v>329</v>
      </c>
      <c r="F67" s="337">
        <v>51845</v>
      </c>
      <c r="G67" s="344"/>
      <c r="H67" s="344">
        <v>3223</v>
      </c>
      <c r="I67" s="344">
        <f t="shared" si="26"/>
        <v>3223</v>
      </c>
      <c r="J67" s="344"/>
      <c r="K67" s="344"/>
      <c r="L67" s="344">
        <f t="shared" si="22"/>
        <v>0</v>
      </c>
      <c r="M67" s="344">
        <f t="shared" si="23"/>
        <v>3223</v>
      </c>
      <c r="N67" s="337">
        <f t="shared" si="28"/>
        <v>48622</v>
      </c>
      <c r="P67" s="340"/>
      <c r="S67" s="347"/>
      <c r="T67" s="346"/>
      <c r="U67" s="342"/>
    </row>
    <row r="68" spans="1:21" s="339" customFormat="1" ht="18" customHeight="1" x14ac:dyDescent="0.25">
      <c r="A68" s="334"/>
      <c r="B68" s="335"/>
      <c r="C68" s="335"/>
      <c r="D68" s="365" t="s">
        <v>191</v>
      </c>
      <c r="E68" s="335" t="s">
        <v>193</v>
      </c>
      <c r="F68" s="337">
        <f t="shared" ref="F68" si="30">+F69</f>
        <v>190139023</v>
      </c>
      <c r="G68" s="344">
        <f>+G69</f>
        <v>0</v>
      </c>
      <c r="H68" s="344">
        <f>+H69</f>
        <v>11715091</v>
      </c>
      <c r="I68" s="344">
        <f t="shared" si="26"/>
        <v>11715091</v>
      </c>
      <c r="J68" s="344"/>
      <c r="K68" s="344">
        <f>+K69</f>
        <v>0</v>
      </c>
      <c r="L68" s="344">
        <f t="shared" si="22"/>
        <v>0</v>
      </c>
      <c r="M68" s="344">
        <f t="shared" si="23"/>
        <v>11715091</v>
      </c>
      <c r="N68" s="337">
        <f t="shared" si="28"/>
        <v>178423932</v>
      </c>
      <c r="P68" s="340"/>
      <c r="S68" s="347"/>
      <c r="T68" s="346"/>
      <c r="U68" s="342"/>
    </row>
    <row r="69" spans="1:21" s="339" customFormat="1" ht="18" customHeight="1" x14ac:dyDescent="0.25">
      <c r="A69" s="334"/>
      <c r="B69" s="335"/>
      <c r="C69" s="335"/>
      <c r="D69" s="365" t="s">
        <v>192</v>
      </c>
      <c r="E69" s="335" t="s">
        <v>194</v>
      </c>
      <c r="F69" s="337">
        <v>190139023</v>
      </c>
      <c r="G69" s="344"/>
      <c r="H69" s="344">
        <v>11715091</v>
      </c>
      <c r="I69" s="344">
        <f t="shared" si="26"/>
        <v>11715091</v>
      </c>
      <c r="J69" s="344"/>
      <c r="K69" s="344"/>
      <c r="L69" s="344">
        <f t="shared" si="22"/>
        <v>0</v>
      </c>
      <c r="M69" s="344">
        <f t="shared" si="23"/>
        <v>11715091</v>
      </c>
      <c r="N69" s="337">
        <f t="shared" si="28"/>
        <v>178423932</v>
      </c>
      <c r="P69" s="340"/>
      <c r="S69" s="347"/>
      <c r="T69" s="346"/>
      <c r="U69" s="342"/>
    </row>
    <row r="70" spans="1:21" s="339" customFormat="1" ht="18" customHeight="1" x14ac:dyDescent="0.25">
      <c r="A70" s="334"/>
      <c r="B70" s="335"/>
      <c r="C70" s="335"/>
      <c r="D70" s="365" t="s">
        <v>195</v>
      </c>
      <c r="E70" s="335" t="s">
        <v>197</v>
      </c>
      <c r="F70" s="337">
        <f t="shared" ref="F70" si="31">+F71</f>
        <v>9404942</v>
      </c>
      <c r="G70" s="344">
        <f>+G71</f>
        <v>0</v>
      </c>
      <c r="H70" s="344">
        <f>+H71</f>
        <v>580644</v>
      </c>
      <c r="I70" s="344">
        <f t="shared" si="26"/>
        <v>580644</v>
      </c>
      <c r="J70" s="344"/>
      <c r="K70" s="344">
        <f>+K71</f>
        <v>0</v>
      </c>
      <c r="L70" s="344">
        <f t="shared" si="22"/>
        <v>0</v>
      </c>
      <c r="M70" s="344">
        <f t="shared" si="23"/>
        <v>580644</v>
      </c>
      <c r="N70" s="337">
        <f t="shared" si="28"/>
        <v>8824298</v>
      </c>
      <c r="P70" s="340"/>
      <c r="S70" s="347"/>
      <c r="T70" s="346"/>
      <c r="U70" s="342"/>
    </row>
    <row r="71" spans="1:21" s="339" customFormat="1" ht="18" customHeight="1" x14ac:dyDescent="0.25">
      <c r="A71" s="334"/>
      <c r="B71" s="335"/>
      <c r="C71" s="335"/>
      <c r="D71" s="365" t="s">
        <v>196</v>
      </c>
      <c r="E71" s="335" t="s">
        <v>198</v>
      </c>
      <c r="F71" s="337">
        <v>9404942</v>
      </c>
      <c r="G71" s="344"/>
      <c r="H71" s="344">
        <v>580644</v>
      </c>
      <c r="I71" s="344">
        <f t="shared" si="26"/>
        <v>580644</v>
      </c>
      <c r="J71" s="344"/>
      <c r="K71" s="344"/>
      <c r="L71" s="344">
        <f t="shared" si="22"/>
        <v>0</v>
      </c>
      <c r="M71" s="344">
        <f t="shared" si="23"/>
        <v>580644</v>
      </c>
      <c r="N71" s="337">
        <f t="shared" si="28"/>
        <v>8824298</v>
      </c>
      <c r="P71" s="340"/>
      <c r="S71" s="347"/>
      <c r="T71" s="346"/>
      <c r="U71" s="342"/>
    </row>
    <row r="72" spans="1:21" s="339" customFormat="1" ht="18" customHeight="1" x14ac:dyDescent="0.25">
      <c r="A72" s="334"/>
      <c r="B72" s="335"/>
      <c r="C72" s="335"/>
      <c r="D72" s="365" t="s">
        <v>199</v>
      </c>
      <c r="E72" s="335" t="s">
        <v>201</v>
      </c>
      <c r="F72" s="337">
        <f>+F73</f>
        <v>28215046</v>
      </c>
      <c r="G72" s="344">
        <f>+G73</f>
        <v>0</v>
      </c>
      <c r="H72" s="344">
        <f>+H73</f>
        <v>1741930</v>
      </c>
      <c r="I72" s="344">
        <f t="shared" si="26"/>
        <v>1741930</v>
      </c>
      <c r="J72" s="344"/>
      <c r="K72" s="344">
        <f>+K73</f>
        <v>0</v>
      </c>
      <c r="L72" s="344">
        <f t="shared" si="22"/>
        <v>0</v>
      </c>
      <c r="M72" s="344">
        <f t="shared" si="23"/>
        <v>1741930</v>
      </c>
      <c r="N72" s="337">
        <f t="shared" si="28"/>
        <v>26473116</v>
      </c>
      <c r="P72" s="340"/>
      <c r="S72" s="347"/>
      <c r="T72" s="346"/>
      <c r="U72" s="342"/>
    </row>
    <row r="73" spans="1:21" s="339" customFormat="1" ht="18" customHeight="1" x14ac:dyDescent="0.25">
      <c r="A73" s="334"/>
      <c r="B73" s="335"/>
      <c r="C73" s="335"/>
      <c r="D73" s="365" t="s">
        <v>200</v>
      </c>
      <c r="E73" s="335" t="s">
        <v>202</v>
      </c>
      <c r="F73" s="337">
        <v>28215046</v>
      </c>
      <c r="G73" s="344"/>
      <c r="H73" s="344">
        <v>1741930</v>
      </c>
      <c r="I73" s="344">
        <f t="shared" si="26"/>
        <v>1741930</v>
      </c>
      <c r="J73" s="344"/>
      <c r="K73" s="344"/>
      <c r="L73" s="344">
        <f t="shared" si="22"/>
        <v>0</v>
      </c>
      <c r="M73" s="344">
        <f>+I73+L73</f>
        <v>1741930</v>
      </c>
      <c r="N73" s="337">
        <f>+F73-M73</f>
        <v>26473116</v>
      </c>
      <c r="P73" s="340"/>
      <c r="S73" s="347"/>
      <c r="T73" s="346"/>
      <c r="U73" s="342"/>
    </row>
    <row r="74" spans="1:21" s="339" customFormat="1" ht="18" customHeight="1" x14ac:dyDescent="0.25">
      <c r="A74" s="334"/>
      <c r="B74" s="335"/>
      <c r="C74" s="335"/>
      <c r="D74" s="365" t="s">
        <v>203</v>
      </c>
      <c r="E74" s="335" t="s">
        <v>205</v>
      </c>
      <c r="F74" s="337">
        <f>+F75</f>
        <v>23975938</v>
      </c>
      <c r="G74" s="344">
        <f>G75</f>
        <v>0</v>
      </c>
      <c r="H74" s="344">
        <f>+H75</f>
        <v>0</v>
      </c>
      <c r="I74" s="344">
        <f>+I75</f>
        <v>0</v>
      </c>
      <c r="J74" s="344"/>
      <c r="K74" s="344">
        <f>+K75</f>
        <v>0</v>
      </c>
      <c r="L74" s="344">
        <f t="shared" si="22"/>
        <v>0</v>
      </c>
      <c r="M74" s="344">
        <f t="shared" ref="M74:M101" si="32">+I74+L74</f>
        <v>0</v>
      </c>
      <c r="N74" s="337">
        <f t="shared" ref="N74:N84" si="33">+F74-M74</f>
        <v>23975938</v>
      </c>
      <c r="P74" s="340"/>
      <c r="S74" s="347"/>
      <c r="T74" s="347"/>
      <c r="U74" s="342"/>
    </row>
    <row r="75" spans="1:21" s="339" customFormat="1" ht="18" customHeight="1" x14ac:dyDescent="0.25">
      <c r="A75" s="334"/>
      <c r="B75" s="335"/>
      <c r="C75" s="335"/>
      <c r="D75" s="365" t="s">
        <v>204</v>
      </c>
      <c r="E75" s="335" t="s">
        <v>206</v>
      </c>
      <c r="F75" s="337">
        <v>23975938</v>
      </c>
      <c r="G75" s="344"/>
      <c r="H75" s="344"/>
      <c r="I75" s="344">
        <f t="shared" ref="I75:I100" si="34">+G75+H75</f>
        <v>0</v>
      </c>
      <c r="J75" s="344"/>
      <c r="K75" s="344"/>
      <c r="L75" s="344">
        <f t="shared" si="22"/>
        <v>0</v>
      </c>
      <c r="M75" s="344">
        <f t="shared" si="32"/>
        <v>0</v>
      </c>
      <c r="N75" s="337">
        <f t="shared" si="33"/>
        <v>23975938</v>
      </c>
      <c r="P75" s="340"/>
      <c r="S75" s="347"/>
      <c r="T75" s="347"/>
      <c r="U75" s="342"/>
    </row>
    <row r="76" spans="1:21" s="339" customFormat="1" ht="18" customHeight="1" x14ac:dyDescent="0.25">
      <c r="A76" s="334"/>
      <c r="B76" s="335"/>
      <c r="C76" s="335"/>
      <c r="D76" s="365" t="s">
        <v>210</v>
      </c>
      <c r="E76" s="335" t="s">
        <v>211</v>
      </c>
      <c r="F76" s="337">
        <f>+F77+F79+F81</f>
        <v>2044369640</v>
      </c>
      <c r="G76" s="344">
        <f>+G77+G79</f>
        <v>0</v>
      </c>
      <c r="H76" s="344">
        <f>+H77+H79</f>
        <v>194118788</v>
      </c>
      <c r="I76" s="344">
        <f>+G76+H76</f>
        <v>194118788</v>
      </c>
      <c r="J76" s="344"/>
      <c r="K76" s="344">
        <f>+K77</f>
        <v>0</v>
      </c>
      <c r="L76" s="344">
        <f t="shared" si="22"/>
        <v>0</v>
      </c>
      <c r="M76" s="344">
        <f t="shared" si="32"/>
        <v>194118788</v>
      </c>
      <c r="N76" s="337">
        <f t="shared" si="33"/>
        <v>1850250852</v>
      </c>
      <c r="P76" s="340"/>
      <c r="S76" s="347"/>
      <c r="T76" s="347"/>
      <c r="U76" s="342"/>
    </row>
    <row r="77" spans="1:21" s="339" customFormat="1" ht="18" customHeight="1" x14ac:dyDescent="0.25">
      <c r="A77" s="334"/>
      <c r="B77" s="335"/>
      <c r="C77" s="335"/>
      <c r="D77" s="365" t="s">
        <v>212</v>
      </c>
      <c r="E77" s="335" t="s">
        <v>214</v>
      </c>
      <c r="F77" s="337">
        <f>+F78</f>
        <v>180000000</v>
      </c>
      <c r="G77" s="344">
        <f>+G78</f>
        <v>0</v>
      </c>
      <c r="H77" s="344">
        <f t="shared" ref="G77:H81" si="35">+H78</f>
        <v>184148911</v>
      </c>
      <c r="I77" s="344">
        <f t="shared" si="34"/>
        <v>184148911</v>
      </c>
      <c r="J77" s="344"/>
      <c r="K77" s="344">
        <f>+K78</f>
        <v>0</v>
      </c>
      <c r="L77" s="344">
        <f t="shared" si="22"/>
        <v>0</v>
      </c>
      <c r="M77" s="344">
        <f t="shared" si="32"/>
        <v>184148911</v>
      </c>
      <c r="N77" s="337">
        <f t="shared" si="33"/>
        <v>-4148911</v>
      </c>
      <c r="P77" s="340"/>
      <c r="S77" s="347"/>
      <c r="T77" s="347"/>
      <c r="U77" s="342"/>
    </row>
    <row r="78" spans="1:21" s="339" customFormat="1" ht="18" customHeight="1" x14ac:dyDescent="0.25">
      <c r="A78" s="334"/>
      <c r="B78" s="335"/>
      <c r="C78" s="335"/>
      <c r="D78" s="365" t="s">
        <v>213</v>
      </c>
      <c r="E78" s="335" t="s">
        <v>215</v>
      </c>
      <c r="F78" s="337">
        <v>180000000</v>
      </c>
      <c r="G78" s="344"/>
      <c r="H78" s="344">
        <v>184148911</v>
      </c>
      <c r="I78" s="344">
        <f t="shared" si="34"/>
        <v>184148911</v>
      </c>
      <c r="J78" s="344"/>
      <c r="K78" s="344"/>
      <c r="L78" s="344">
        <f t="shared" si="22"/>
        <v>0</v>
      </c>
      <c r="M78" s="344">
        <f t="shared" si="32"/>
        <v>184148911</v>
      </c>
      <c r="N78" s="337">
        <f t="shared" si="33"/>
        <v>-4148911</v>
      </c>
      <c r="P78" s="340"/>
      <c r="S78" s="347"/>
      <c r="T78" s="346"/>
      <c r="U78" s="342"/>
    </row>
    <row r="79" spans="1:21" s="339" customFormat="1" ht="18" customHeight="1" x14ac:dyDescent="0.25">
      <c r="A79" s="334"/>
      <c r="B79" s="335"/>
      <c r="C79" s="335"/>
      <c r="D79" s="365" t="s">
        <v>431</v>
      </c>
      <c r="E79" s="335" t="s">
        <v>432</v>
      </c>
      <c r="F79" s="337">
        <f>+F80</f>
        <v>123544200</v>
      </c>
      <c r="G79" s="344">
        <f t="shared" si="35"/>
        <v>0</v>
      </c>
      <c r="H79" s="344">
        <f t="shared" si="35"/>
        <v>9969877</v>
      </c>
      <c r="I79" s="344">
        <f>+G79+H79</f>
        <v>9969877</v>
      </c>
      <c r="J79" s="344"/>
      <c r="K79" s="344">
        <f>+K80</f>
        <v>0</v>
      </c>
      <c r="L79" s="344">
        <f t="shared" si="22"/>
        <v>0</v>
      </c>
      <c r="M79" s="344">
        <f t="shared" si="32"/>
        <v>9969877</v>
      </c>
      <c r="N79" s="337">
        <f t="shared" si="33"/>
        <v>113574323</v>
      </c>
      <c r="P79" s="340"/>
      <c r="S79" s="347"/>
      <c r="T79" s="346"/>
      <c r="U79" s="342"/>
    </row>
    <row r="80" spans="1:21" s="339" customFormat="1" ht="18" customHeight="1" x14ac:dyDescent="0.25">
      <c r="A80" s="334"/>
      <c r="B80" s="335"/>
      <c r="C80" s="335"/>
      <c r="D80" s="365" t="s">
        <v>429</v>
      </c>
      <c r="E80" s="335" t="s">
        <v>430</v>
      </c>
      <c r="F80" s="337">
        <v>123544200</v>
      </c>
      <c r="G80" s="344"/>
      <c r="H80" s="344">
        <v>9969877</v>
      </c>
      <c r="I80" s="344">
        <f>+G80+H80</f>
        <v>9969877</v>
      </c>
      <c r="J80" s="344"/>
      <c r="K80" s="344"/>
      <c r="L80" s="344"/>
      <c r="M80" s="344">
        <f t="shared" si="32"/>
        <v>9969877</v>
      </c>
      <c r="N80" s="337">
        <f>+F80-M80</f>
        <v>113574323</v>
      </c>
      <c r="P80" s="340"/>
      <c r="S80" s="347"/>
      <c r="T80" s="346"/>
      <c r="U80" s="342"/>
    </row>
    <row r="81" spans="1:21" s="339" customFormat="1" ht="18" customHeight="1" x14ac:dyDescent="0.25">
      <c r="A81" s="334"/>
      <c r="B81" s="335"/>
      <c r="C81" s="335"/>
      <c r="D81" s="365" t="s">
        <v>453</v>
      </c>
      <c r="E81" s="335" t="s">
        <v>456</v>
      </c>
      <c r="F81" s="337">
        <f>+F82</f>
        <v>1740825440</v>
      </c>
      <c r="G81" s="344">
        <f t="shared" si="35"/>
        <v>0</v>
      </c>
      <c r="H81" s="344">
        <f t="shared" si="35"/>
        <v>0</v>
      </c>
      <c r="I81" s="344">
        <f>+G81+H81</f>
        <v>0</v>
      </c>
      <c r="J81" s="344"/>
      <c r="K81" s="344">
        <f>+K82</f>
        <v>0</v>
      </c>
      <c r="L81" s="344">
        <f t="shared" ref="L81" si="36">+J81+K81</f>
        <v>0</v>
      </c>
      <c r="M81" s="344">
        <f t="shared" si="32"/>
        <v>0</v>
      </c>
      <c r="N81" s="337">
        <f t="shared" ref="N81" si="37">+F81-M81</f>
        <v>1740825440</v>
      </c>
      <c r="P81" s="340"/>
      <c r="S81" s="347"/>
      <c r="T81" s="346"/>
      <c r="U81" s="342"/>
    </row>
    <row r="82" spans="1:21" s="339" customFormat="1" ht="18" customHeight="1" x14ac:dyDescent="0.25">
      <c r="A82" s="334"/>
      <c r="B82" s="335"/>
      <c r="C82" s="335"/>
      <c r="D82" s="365" t="s">
        <v>454</v>
      </c>
      <c r="E82" s="335" t="s">
        <v>455</v>
      </c>
      <c r="F82" s="337">
        <v>1740825440</v>
      </c>
      <c r="G82" s="344"/>
      <c r="H82" s="344"/>
      <c r="I82" s="344">
        <f>+G82+H82</f>
        <v>0</v>
      </c>
      <c r="J82" s="344"/>
      <c r="K82" s="344"/>
      <c r="L82" s="344"/>
      <c r="M82" s="344">
        <f t="shared" si="32"/>
        <v>0</v>
      </c>
      <c r="N82" s="337">
        <f>+F82-M82</f>
        <v>1740825440</v>
      </c>
      <c r="P82" s="340"/>
      <c r="S82" s="347"/>
      <c r="T82" s="346"/>
      <c r="U82" s="342"/>
    </row>
    <row r="83" spans="1:21" s="339" customFormat="1" ht="18" customHeight="1" x14ac:dyDescent="0.25">
      <c r="A83" s="334"/>
      <c r="B83" s="335"/>
      <c r="C83" s="335"/>
      <c r="D83" s="365" t="s">
        <v>216</v>
      </c>
      <c r="E83" s="335" t="s">
        <v>219</v>
      </c>
      <c r="F83" s="337">
        <f>+F84+F95+F99</f>
        <v>10039198750</v>
      </c>
      <c r="G83" s="344">
        <f>+G84+G95+G99</f>
        <v>0</v>
      </c>
      <c r="H83" s="344">
        <f>+H84+H95+H99</f>
        <v>76300000</v>
      </c>
      <c r="I83" s="344">
        <f>+G83+H83</f>
        <v>76300000</v>
      </c>
      <c r="J83" s="344"/>
      <c r="K83" s="344">
        <f>+K84</f>
        <v>0</v>
      </c>
      <c r="L83" s="344">
        <f t="shared" si="22"/>
        <v>0</v>
      </c>
      <c r="M83" s="344">
        <f t="shared" si="32"/>
        <v>76300000</v>
      </c>
      <c r="N83" s="337">
        <f t="shared" si="33"/>
        <v>9962898750</v>
      </c>
      <c r="P83" s="340"/>
      <c r="S83" s="347"/>
      <c r="T83" s="347"/>
      <c r="U83" s="342"/>
    </row>
    <row r="84" spans="1:21" s="339" customFormat="1" ht="18" customHeight="1" x14ac:dyDescent="0.25">
      <c r="A84" s="334"/>
      <c r="B84" s="335"/>
      <c r="C84" s="335"/>
      <c r="D84" s="365" t="s">
        <v>217</v>
      </c>
      <c r="E84" s="335" t="s">
        <v>220</v>
      </c>
      <c r="F84" s="337">
        <f>SUM(F85:F94)</f>
        <v>8593798750</v>
      </c>
      <c r="G84" s="344">
        <f>SUM(G85:G94)</f>
        <v>0</v>
      </c>
      <c r="H84" s="344">
        <f>SUM(H85:H94)</f>
        <v>0</v>
      </c>
      <c r="I84" s="344">
        <f t="shared" si="34"/>
        <v>0</v>
      </c>
      <c r="J84" s="344"/>
      <c r="K84" s="344">
        <f>+SUM(K85:K94)</f>
        <v>0</v>
      </c>
      <c r="L84" s="344">
        <f t="shared" si="22"/>
        <v>0</v>
      </c>
      <c r="M84" s="344">
        <f t="shared" si="32"/>
        <v>0</v>
      </c>
      <c r="N84" s="337">
        <f t="shared" si="33"/>
        <v>8593798750</v>
      </c>
      <c r="P84" s="340"/>
      <c r="S84" s="347"/>
      <c r="T84" s="347"/>
      <c r="U84" s="342"/>
    </row>
    <row r="85" spans="1:21" s="339" customFormat="1" ht="18" customHeight="1" x14ac:dyDescent="0.25">
      <c r="A85" s="334"/>
      <c r="B85" s="335"/>
      <c r="C85" s="335"/>
      <c r="D85" s="365" t="s">
        <v>218</v>
      </c>
      <c r="E85" s="335" t="s">
        <v>221</v>
      </c>
      <c r="F85" s="337">
        <v>356112500</v>
      </c>
      <c r="G85" s="344"/>
      <c r="H85" s="344"/>
      <c r="I85" s="344">
        <f t="shared" si="34"/>
        <v>0</v>
      </c>
      <c r="J85" s="344"/>
      <c r="K85" s="344"/>
      <c r="L85" s="344">
        <f t="shared" si="22"/>
        <v>0</v>
      </c>
      <c r="M85" s="344">
        <f t="shared" si="32"/>
        <v>0</v>
      </c>
      <c r="N85" s="337">
        <f>+F85-M85</f>
        <v>356112500</v>
      </c>
      <c r="P85" s="340"/>
      <c r="S85" s="347"/>
      <c r="T85" s="346"/>
      <c r="U85" s="342"/>
    </row>
    <row r="86" spans="1:21" s="339" customFormat="1" ht="18" customHeight="1" x14ac:dyDescent="0.25">
      <c r="A86" s="334"/>
      <c r="B86" s="335"/>
      <c r="C86" s="335"/>
      <c r="D86" s="365" t="s">
        <v>222</v>
      </c>
      <c r="E86" s="335" t="s">
        <v>223</v>
      </c>
      <c r="F86" s="337">
        <v>413550000</v>
      </c>
      <c r="G86" s="344"/>
      <c r="H86" s="344"/>
      <c r="I86" s="344">
        <f t="shared" si="34"/>
        <v>0</v>
      </c>
      <c r="J86" s="344"/>
      <c r="K86" s="344"/>
      <c r="L86" s="344">
        <f t="shared" si="22"/>
        <v>0</v>
      </c>
      <c r="M86" s="344">
        <f t="shared" si="32"/>
        <v>0</v>
      </c>
      <c r="N86" s="337">
        <f t="shared" ref="N86:N100" si="38">+F86-M86</f>
        <v>413550000</v>
      </c>
      <c r="P86" s="340"/>
      <c r="S86" s="347"/>
      <c r="T86" s="346"/>
      <c r="U86" s="342"/>
    </row>
    <row r="87" spans="1:21" s="339" customFormat="1" ht="18" customHeight="1" x14ac:dyDescent="0.25">
      <c r="A87" s="334"/>
      <c r="B87" s="335"/>
      <c r="C87" s="335"/>
      <c r="D87" s="365" t="s">
        <v>224</v>
      </c>
      <c r="E87" s="335" t="s">
        <v>225</v>
      </c>
      <c r="F87" s="337">
        <v>45950000</v>
      </c>
      <c r="G87" s="344"/>
      <c r="H87" s="344"/>
      <c r="I87" s="344">
        <f t="shared" si="34"/>
        <v>0</v>
      </c>
      <c r="J87" s="344"/>
      <c r="K87" s="344"/>
      <c r="L87" s="344">
        <f t="shared" si="22"/>
        <v>0</v>
      </c>
      <c r="M87" s="344">
        <f t="shared" si="32"/>
        <v>0</v>
      </c>
      <c r="N87" s="337">
        <f t="shared" si="38"/>
        <v>45950000</v>
      </c>
      <c r="P87" s="340"/>
      <c r="S87" s="347"/>
      <c r="T87" s="346"/>
      <c r="U87" s="342"/>
    </row>
    <row r="88" spans="1:21" s="339" customFormat="1" ht="18" customHeight="1" x14ac:dyDescent="0.25">
      <c r="A88" s="334"/>
      <c r="B88" s="335"/>
      <c r="C88" s="335"/>
      <c r="D88" s="365" t="s">
        <v>226</v>
      </c>
      <c r="E88" s="335" t="s">
        <v>227</v>
      </c>
      <c r="F88" s="337">
        <v>252725000</v>
      </c>
      <c r="G88" s="344"/>
      <c r="H88" s="344"/>
      <c r="I88" s="344">
        <f t="shared" si="34"/>
        <v>0</v>
      </c>
      <c r="J88" s="344"/>
      <c r="K88" s="344"/>
      <c r="L88" s="344">
        <f t="shared" si="22"/>
        <v>0</v>
      </c>
      <c r="M88" s="344">
        <f t="shared" si="32"/>
        <v>0</v>
      </c>
      <c r="N88" s="337">
        <f t="shared" si="38"/>
        <v>252725000</v>
      </c>
      <c r="P88" s="340"/>
      <c r="S88" s="347"/>
      <c r="T88" s="346"/>
      <c r="U88" s="342"/>
    </row>
    <row r="89" spans="1:21" s="339" customFormat="1" ht="18" customHeight="1" x14ac:dyDescent="0.25">
      <c r="A89" s="334"/>
      <c r="B89" s="335"/>
      <c r="C89" s="335"/>
      <c r="D89" s="365" t="s">
        <v>228</v>
      </c>
      <c r="E89" s="335" t="s">
        <v>229</v>
      </c>
      <c r="F89" s="337">
        <v>3101625000</v>
      </c>
      <c r="G89" s="344"/>
      <c r="H89" s="344"/>
      <c r="I89" s="344">
        <f t="shared" si="34"/>
        <v>0</v>
      </c>
      <c r="J89" s="344"/>
      <c r="K89" s="344"/>
      <c r="L89" s="344">
        <f t="shared" si="22"/>
        <v>0</v>
      </c>
      <c r="M89" s="344">
        <f t="shared" si="32"/>
        <v>0</v>
      </c>
      <c r="N89" s="337">
        <f t="shared" si="38"/>
        <v>3101625000</v>
      </c>
      <c r="P89" s="340"/>
      <c r="S89" s="347"/>
      <c r="T89" s="346"/>
      <c r="U89" s="342"/>
    </row>
    <row r="90" spans="1:21" s="339" customFormat="1" ht="18" customHeight="1" x14ac:dyDescent="0.25">
      <c r="A90" s="334"/>
      <c r="B90" s="335"/>
      <c r="C90" s="335"/>
      <c r="D90" s="365" t="s">
        <v>230</v>
      </c>
      <c r="E90" s="335" t="s">
        <v>231</v>
      </c>
      <c r="F90" s="337">
        <v>13785000</v>
      </c>
      <c r="G90" s="344"/>
      <c r="H90" s="344"/>
      <c r="I90" s="344">
        <f t="shared" si="34"/>
        <v>0</v>
      </c>
      <c r="J90" s="344"/>
      <c r="K90" s="344"/>
      <c r="L90" s="344">
        <f t="shared" si="22"/>
        <v>0</v>
      </c>
      <c r="M90" s="344">
        <f t="shared" si="32"/>
        <v>0</v>
      </c>
      <c r="N90" s="337">
        <f t="shared" si="38"/>
        <v>13785000</v>
      </c>
      <c r="P90" s="340"/>
      <c r="S90" s="347"/>
      <c r="T90" s="346"/>
      <c r="U90" s="342"/>
    </row>
    <row r="91" spans="1:21" s="339" customFormat="1" ht="18" customHeight="1" x14ac:dyDescent="0.25">
      <c r="A91" s="334"/>
      <c r="B91" s="335"/>
      <c r="C91" s="335"/>
      <c r="D91" s="365" t="s">
        <v>232</v>
      </c>
      <c r="E91" s="335" t="s">
        <v>233</v>
      </c>
      <c r="F91" s="337">
        <v>126362500</v>
      </c>
      <c r="G91" s="344"/>
      <c r="H91" s="344"/>
      <c r="I91" s="344">
        <f t="shared" si="34"/>
        <v>0</v>
      </c>
      <c r="J91" s="344"/>
      <c r="K91" s="344"/>
      <c r="L91" s="344">
        <f t="shared" si="22"/>
        <v>0</v>
      </c>
      <c r="M91" s="344">
        <f t="shared" si="32"/>
        <v>0</v>
      </c>
      <c r="N91" s="337">
        <f t="shared" si="38"/>
        <v>126362500</v>
      </c>
      <c r="P91" s="340"/>
      <c r="S91" s="347"/>
      <c r="T91" s="346"/>
      <c r="U91" s="342"/>
    </row>
    <row r="92" spans="1:21" s="339" customFormat="1" ht="19.5" customHeight="1" x14ac:dyDescent="0.25">
      <c r="A92" s="366"/>
      <c r="B92" s="367"/>
      <c r="C92" s="367"/>
      <c r="D92" s="368" t="s">
        <v>234</v>
      </c>
      <c r="E92" s="369" t="s">
        <v>235</v>
      </c>
      <c r="F92" s="370">
        <v>2297500</v>
      </c>
      <c r="G92" s="371"/>
      <c r="H92" s="371"/>
      <c r="I92" s="371">
        <f t="shared" si="34"/>
        <v>0</v>
      </c>
      <c r="J92" s="371"/>
      <c r="K92" s="371"/>
      <c r="L92" s="371">
        <f t="shared" si="22"/>
        <v>0</v>
      </c>
      <c r="M92" s="371">
        <f t="shared" si="32"/>
        <v>0</v>
      </c>
      <c r="N92" s="370">
        <f t="shared" si="38"/>
        <v>2297500</v>
      </c>
      <c r="P92" s="340"/>
      <c r="S92" s="347"/>
      <c r="T92" s="346"/>
      <c r="U92" s="342"/>
    </row>
    <row r="93" spans="1:21" s="339" customFormat="1" ht="30.75" customHeight="1" x14ac:dyDescent="0.25">
      <c r="A93" s="366"/>
      <c r="B93" s="367"/>
      <c r="C93" s="367"/>
      <c r="D93" s="368" t="s">
        <v>236</v>
      </c>
      <c r="E93" s="369" t="s">
        <v>237</v>
      </c>
      <c r="F93" s="370">
        <v>1156791250</v>
      </c>
      <c r="G93" s="371"/>
      <c r="H93" s="371"/>
      <c r="I93" s="371">
        <f t="shared" si="34"/>
        <v>0</v>
      </c>
      <c r="J93" s="371"/>
      <c r="K93" s="371"/>
      <c r="L93" s="371">
        <f t="shared" si="22"/>
        <v>0</v>
      </c>
      <c r="M93" s="371">
        <f t="shared" si="32"/>
        <v>0</v>
      </c>
      <c r="N93" s="370">
        <f t="shared" si="38"/>
        <v>1156791250</v>
      </c>
      <c r="P93" s="340"/>
      <c r="S93" s="347"/>
      <c r="T93" s="346"/>
      <c r="U93" s="342"/>
    </row>
    <row r="94" spans="1:21" s="339" customFormat="1" ht="31.5" x14ac:dyDescent="0.25">
      <c r="A94" s="366"/>
      <c r="B94" s="367"/>
      <c r="C94" s="367"/>
      <c r="D94" s="368" t="s">
        <v>238</v>
      </c>
      <c r="E94" s="369" t="s">
        <v>239</v>
      </c>
      <c r="F94" s="370">
        <v>3124600000</v>
      </c>
      <c r="G94" s="371"/>
      <c r="H94" s="371"/>
      <c r="I94" s="371">
        <f t="shared" si="34"/>
        <v>0</v>
      </c>
      <c r="J94" s="371"/>
      <c r="K94" s="371"/>
      <c r="L94" s="371">
        <f t="shared" si="22"/>
        <v>0</v>
      </c>
      <c r="M94" s="371">
        <f t="shared" si="32"/>
        <v>0</v>
      </c>
      <c r="N94" s="370">
        <f t="shared" si="38"/>
        <v>3124600000</v>
      </c>
      <c r="P94" s="340"/>
      <c r="S94" s="347"/>
      <c r="T94" s="346"/>
      <c r="U94" s="342"/>
    </row>
    <row r="95" spans="1:21" s="339" customFormat="1" ht="18" customHeight="1" x14ac:dyDescent="0.25">
      <c r="A95" s="334"/>
      <c r="B95" s="335"/>
      <c r="C95" s="335"/>
      <c r="D95" s="365" t="s">
        <v>433</v>
      </c>
      <c r="E95" s="335" t="s">
        <v>434</v>
      </c>
      <c r="F95" s="337">
        <f>+F96+F97+F98</f>
        <v>984100000</v>
      </c>
      <c r="G95" s="344">
        <f>+G96+G97</f>
        <v>0</v>
      </c>
      <c r="H95" s="344">
        <f>+H96+H97</f>
        <v>42050000</v>
      </c>
      <c r="I95" s="344">
        <f>+G95+H95</f>
        <v>42050000</v>
      </c>
      <c r="J95" s="344">
        <f>+J96+J97</f>
        <v>0</v>
      </c>
      <c r="K95" s="344">
        <f>+SUM(K101:K110)</f>
        <v>0</v>
      </c>
      <c r="L95" s="344">
        <f>+J95+K95</f>
        <v>0</v>
      </c>
      <c r="M95" s="344">
        <f t="shared" si="32"/>
        <v>42050000</v>
      </c>
      <c r="N95" s="337">
        <f t="shared" si="38"/>
        <v>942050000</v>
      </c>
      <c r="P95" s="340"/>
      <c r="S95" s="347"/>
      <c r="T95" s="346"/>
      <c r="U95" s="342"/>
    </row>
    <row r="96" spans="1:21" s="339" customFormat="1" ht="18" customHeight="1" x14ac:dyDescent="0.25">
      <c r="A96" s="334"/>
      <c r="B96" s="335"/>
      <c r="C96" s="335"/>
      <c r="D96" s="365" t="s">
        <v>435</v>
      </c>
      <c r="E96" s="335" t="s">
        <v>437</v>
      </c>
      <c r="F96" s="337">
        <v>516750000</v>
      </c>
      <c r="G96" s="344"/>
      <c r="H96" s="344">
        <v>40950000</v>
      </c>
      <c r="I96" s="344">
        <f t="shared" si="34"/>
        <v>40950000</v>
      </c>
      <c r="J96" s="344"/>
      <c r="K96" s="344"/>
      <c r="L96" s="344">
        <f t="shared" si="22"/>
        <v>0</v>
      </c>
      <c r="M96" s="344">
        <f t="shared" si="32"/>
        <v>40950000</v>
      </c>
      <c r="N96" s="337">
        <f t="shared" si="38"/>
        <v>475800000</v>
      </c>
      <c r="P96" s="340"/>
      <c r="S96" s="347"/>
      <c r="T96" s="346"/>
      <c r="U96" s="342"/>
    </row>
    <row r="97" spans="1:21" s="339" customFormat="1" ht="18" customHeight="1" x14ac:dyDescent="0.25">
      <c r="A97" s="334"/>
      <c r="B97" s="335"/>
      <c r="C97" s="335"/>
      <c r="D97" s="365" t="s">
        <v>436</v>
      </c>
      <c r="E97" s="335" t="s">
        <v>438</v>
      </c>
      <c r="F97" s="337">
        <v>19500000</v>
      </c>
      <c r="G97" s="344"/>
      <c r="H97" s="344">
        <v>1100000</v>
      </c>
      <c r="I97" s="344">
        <f t="shared" si="34"/>
        <v>1100000</v>
      </c>
      <c r="J97" s="344"/>
      <c r="K97" s="344"/>
      <c r="L97" s="344">
        <f t="shared" si="22"/>
        <v>0</v>
      </c>
      <c r="M97" s="344">
        <f t="shared" si="32"/>
        <v>1100000</v>
      </c>
      <c r="N97" s="337">
        <f t="shared" si="38"/>
        <v>18400000</v>
      </c>
      <c r="P97" s="340"/>
      <c r="S97" s="347"/>
      <c r="T97" s="346"/>
      <c r="U97" s="342"/>
    </row>
    <row r="98" spans="1:21" s="339" customFormat="1" ht="18" customHeight="1" x14ac:dyDescent="0.25">
      <c r="A98" s="334"/>
      <c r="B98" s="335"/>
      <c r="C98" s="335"/>
      <c r="D98" s="365" t="s">
        <v>457</v>
      </c>
      <c r="E98" s="335" t="s">
        <v>458</v>
      </c>
      <c r="F98" s="337">
        <v>447850000</v>
      </c>
      <c r="G98" s="344"/>
      <c r="H98" s="344"/>
      <c r="I98" s="344">
        <f t="shared" si="34"/>
        <v>0</v>
      </c>
      <c r="J98" s="344"/>
      <c r="K98" s="344"/>
      <c r="L98" s="344">
        <f t="shared" si="22"/>
        <v>0</v>
      </c>
      <c r="M98" s="344">
        <f t="shared" si="32"/>
        <v>0</v>
      </c>
      <c r="N98" s="337">
        <f t="shared" si="38"/>
        <v>447850000</v>
      </c>
      <c r="P98" s="340"/>
      <c r="S98" s="347"/>
      <c r="T98" s="346"/>
      <c r="U98" s="342"/>
    </row>
    <row r="99" spans="1:21" s="339" customFormat="1" ht="18" customHeight="1" x14ac:dyDescent="0.25">
      <c r="A99" s="334"/>
      <c r="B99" s="335"/>
      <c r="C99" s="335"/>
      <c r="D99" s="365" t="s">
        <v>439</v>
      </c>
      <c r="E99" s="335" t="s">
        <v>442</v>
      </c>
      <c r="F99" s="337">
        <f>+F100</f>
        <v>461300000</v>
      </c>
      <c r="G99" s="344">
        <f>+G100</f>
        <v>0</v>
      </c>
      <c r="H99" s="344">
        <f>+H100</f>
        <v>34250000</v>
      </c>
      <c r="I99" s="344">
        <f t="shared" si="34"/>
        <v>34250000</v>
      </c>
      <c r="J99" s="344"/>
      <c r="K99" s="344">
        <f>+SUM(K104:K113)</f>
        <v>0</v>
      </c>
      <c r="L99" s="344">
        <f t="shared" si="22"/>
        <v>0</v>
      </c>
      <c r="M99" s="344">
        <f t="shared" si="32"/>
        <v>34250000</v>
      </c>
      <c r="N99" s="337">
        <f t="shared" si="38"/>
        <v>427050000</v>
      </c>
      <c r="P99" s="340"/>
      <c r="S99" s="347"/>
      <c r="T99" s="347"/>
      <c r="U99" s="342"/>
    </row>
    <row r="100" spans="1:21" s="339" customFormat="1" ht="18" customHeight="1" x14ac:dyDescent="0.25">
      <c r="A100" s="334"/>
      <c r="B100" s="335"/>
      <c r="C100" s="335"/>
      <c r="D100" s="365" t="s">
        <v>440</v>
      </c>
      <c r="E100" s="335" t="s">
        <v>441</v>
      </c>
      <c r="F100" s="337">
        <v>461300000</v>
      </c>
      <c r="G100" s="344"/>
      <c r="H100" s="344">
        <v>34250000</v>
      </c>
      <c r="I100" s="344">
        <f t="shared" si="34"/>
        <v>34250000</v>
      </c>
      <c r="J100" s="344"/>
      <c r="K100" s="344"/>
      <c r="L100" s="344">
        <f t="shared" si="22"/>
        <v>0</v>
      </c>
      <c r="M100" s="344">
        <f t="shared" si="32"/>
        <v>34250000</v>
      </c>
      <c r="N100" s="337">
        <f t="shared" si="38"/>
        <v>427050000</v>
      </c>
      <c r="P100" s="340"/>
      <c r="S100" s="347"/>
      <c r="T100" s="346"/>
      <c r="U100" s="342"/>
    </row>
    <row r="101" spans="1:21" s="339" customFormat="1" ht="18" customHeight="1" x14ac:dyDescent="0.25">
      <c r="A101" s="334"/>
      <c r="B101" s="335"/>
      <c r="C101" s="335"/>
      <c r="D101" s="365" t="s">
        <v>240</v>
      </c>
      <c r="E101" s="335" t="s">
        <v>241</v>
      </c>
      <c r="F101" s="337">
        <f>+F102</f>
        <v>757451250</v>
      </c>
      <c r="G101" s="344">
        <f>+G102</f>
        <v>0</v>
      </c>
      <c r="H101" s="344">
        <f>+H102</f>
        <v>0</v>
      </c>
      <c r="I101" s="344">
        <f>+G101+H101</f>
        <v>0</v>
      </c>
      <c r="J101" s="344">
        <f>+J102</f>
        <v>0</v>
      </c>
      <c r="K101" s="344">
        <f>+K102</f>
        <v>0</v>
      </c>
      <c r="L101" s="344">
        <f>+J101+K101</f>
        <v>0</v>
      </c>
      <c r="M101" s="344">
        <f t="shared" si="32"/>
        <v>0</v>
      </c>
      <c r="N101" s="337">
        <f>+F101-M101</f>
        <v>757451250</v>
      </c>
      <c r="P101" s="340"/>
      <c r="S101" s="347"/>
      <c r="T101" s="347"/>
      <c r="U101" s="342"/>
    </row>
    <row r="102" spans="1:21" s="339" customFormat="1" ht="18" customHeight="1" x14ac:dyDescent="0.25">
      <c r="A102" s="334"/>
      <c r="B102" s="335"/>
      <c r="C102" s="335"/>
      <c r="D102" s="365" t="s">
        <v>242</v>
      </c>
      <c r="E102" s="335" t="s">
        <v>409</v>
      </c>
      <c r="F102" s="337">
        <f>SUM(F103:F112)</f>
        <v>757451250</v>
      </c>
      <c r="G102" s="344">
        <f>SUM(G103:G112)</f>
        <v>0</v>
      </c>
      <c r="H102" s="344">
        <f>SUM(H103:H112)</f>
        <v>0</v>
      </c>
      <c r="I102" s="344">
        <f>+G102+H102</f>
        <v>0</v>
      </c>
      <c r="J102" s="344">
        <f>SUM(J103:J112)</f>
        <v>0</v>
      </c>
      <c r="K102" s="344">
        <f>SUM(K103:K112)</f>
        <v>0</v>
      </c>
      <c r="L102" s="344">
        <f>+J102+K102</f>
        <v>0</v>
      </c>
      <c r="M102" s="344">
        <f>+I102+L102</f>
        <v>0</v>
      </c>
      <c r="N102" s="337">
        <f>+F102-M102</f>
        <v>757451250</v>
      </c>
      <c r="P102" s="340"/>
      <c r="S102" s="347"/>
      <c r="T102" s="347"/>
      <c r="U102" s="342"/>
    </row>
    <row r="103" spans="1:21" s="339" customFormat="1" ht="18" customHeight="1" x14ac:dyDescent="0.25">
      <c r="A103" s="334"/>
      <c r="B103" s="335"/>
      <c r="C103" s="335"/>
      <c r="D103" s="365" t="s">
        <v>243</v>
      </c>
      <c r="E103" s="335" t="s">
        <v>331</v>
      </c>
      <c r="F103" s="337">
        <v>31387500</v>
      </c>
      <c r="G103" s="344"/>
      <c r="H103" s="344"/>
      <c r="I103" s="344">
        <f t="shared" ref="I103:I110" si="39">+G103+H103</f>
        <v>0</v>
      </c>
      <c r="J103" s="344"/>
      <c r="K103" s="344"/>
      <c r="L103" s="344">
        <f t="shared" si="22"/>
        <v>0</v>
      </c>
      <c r="M103" s="344">
        <f t="shared" ref="M103:M112" si="40">+I103+L103</f>
        <v>0</v>
      </c>
      <c r="N103" s="337">
        <f t="shared" ref="N103:N108" si="41">+F103-M103</f>
        <v>31387500</v>
      </c>
      <c r="P103" s="340"/>
      <c r="S103" s="347"/>
      <c r="T103" s="346"/>
      <c r="U103" s="342"/>
    </row>
    <row r="104" spans="1:21" s="339" customFormat="1" ht="18" customHeight="1" x14ac:dyDescent="0.25">
      <c r="A104" s="334"/>
      <c r="B104" s="335"/>
      <c r="C104" s="335"/>
      <c r="D104" s="365" t="s">
        <v>244</v>
      </c>
      <c r="E104" s="335" t="s">
        <v>245</v>
      </c>
      <c r="F104" s="337">
        <v>36450000</v>
      </c>
      <c r="G104" s="344"/>
      <c r="H104" s="344"/>
      <c r="I104" s="344">
        <f t="shared" si="39"/>
        <v>0</v>
      </c>
      <c r="J104" s="344"/>
      <c r="K104" s="344"/>
      <c r="L104" s="344">
        <f t="shared" si="22"/>
        <v>0</v>
      </c>
      <c r="M104" s="344">
        <f t="shared" si="40"/>
        <v>0</v>
      </c>
      <c r="N104" s="337">
        <f t="shared" si="41"/>
        <v>36450000</v>
      </c>
      <c r="P104" s="340"/>
      <c r="S104" s="347"/>
      <c r="T104" s="346"/>
      <c r="U104" s="342"/>
    </row>
    <row r="105" spans="1:21" s="339" customFormat="1" ht="18" customHeight="1" x14ac:dyDescent="0.25">
      <c r="A105" s="334"/>
      <c r="B105" s="335"/>
      <c r="C105" s="335"/>
      <c r="D105" s="365" t="s">
        <v>246</v>
      </c>
      <c r="E105" s="335" t="s">
        <v>247</v>
      </c>
      <c r="F105" s="337">
        <v>4050000</v>
      </c>
      <c r="G105" s="344"/>
      <c r="H105" s="344"/>
      <c r="I105" s="344">
        <f t="shared" si="39"/>
        <v>0</v>
      </c>
      <c r="J105" s="344"/>
      <c r="K105" s="344"/>
      <c r="L105" s="344">
        <f t="shared" si="22"/>
        <v>0</v>
      </c>
      <c r="M105" s="344">
        <f t="shared" si="40"/>
        <v>0</v>
      </c>
      <c r="N105" s="337">
        <f t="shared" si="41"/>
        <v>4050000</v>
      </c>
      <c r="P105" s="340"/>
      <c r="S105" s="347"/>
      <c r="T105" s="346"/>
      <c r="U105" s="342"/>
    </row>
    <row r="106" spans="1:21" s="339" customFormat="1" ht="18" customHeight="1" x14ac:dyDescent="0.25">
      <c r="A106" s="334"/>
      <c r="B106" s="335"/>
      <c r="C106" s="335"/>
      <c r="D106" s="365" t="s">
        <v>248</v>
      </c>
      <c r="E106" s="335" t="s">
        <v>249</v>
      </c>
      <c r="F106" s="337">
        <v>22275000</v>
      </c>
      <c r="G106" s="344"/>
      <c r="H106" s="344"/>
      <c r="I106" s="344">
        <f t="shared" si="39"/>
        <v>0</v>
      </c>
      <c r="J106" s="344"/>
      <c r="K106" s="344"/>
      <c r="L106" s="344">
        <f t="shared" si="22"/>
        <v>0</v>
      </c>
      <c r="M106" s="344">
        <f t="shared" si="40"/>
        <v>0</v>
      </c>
      <c r="N106" s="337">
        <f t="shared" si="41"/>
        <v>22275000</v>
      </c>
      <c r="P106" s="340"/>
      <c r="S106" s="347"/>
      <c r="T106" s="346"/>
      <c r="U106" s="342"/>
    </row>
    <row r="107" spans="1:21" s="339" customFormat="1" ht="18" customHeight="1" x14ac:dyDescent="0.25">
      <c r="A107" s="334"/>
      <c r="B107" s="335"/>
      <c r="C107" s="335"/>
      <c r="D107" s="365" t="s">
        <v>250</v>
      </c>
      <c r="E107" s="335" t="s">
        <v>251</v>
      </c>
      <c r="F107" s="337">
        <v>273375000</v>
      </c>
      <c r="G107" s="344"/>
      <c r="H107" s="344"/>
      <c r="I107" s="344">
        <f t="shared" si="39"/>
        <v>0</v>
      </c>
      <c r="J107" s="344"/>
      <c r="K107" s="344"/>
      <c r="L107" s="344">
        <f t="shared" si="22"/>
        <v>0</v>
      </c>
      <c r="M107" s="344">
        <f t="shared" si="40"/>
        <v>0</v>
      </c>
      <c r="N107" s="337">
        <f t="shared" si="41"/>
        <v>273375000</v>
      </c>
      <c r="P107" s="340"/>
      <c r="S107" s="347"/>
      <c r="T107" s="346"/>
      <c r="U107" s="342"/>
    </row>
    <row r="108" spans="1:21" s="339" customFormat="1" ht="18" customHeight="1" x14ac:dyDescent="0.25">
      <c r="A108" s="334"/>
      <c r="B108" s="335"/>
      <c r="C108" s="335"/>
      <c r="D108" s="365" t="s">
        <v>252</v>
      </c>
      <c r="E108" s="335" t="s">
        <v>253</v>
      </c>
      <c r="F108" s="337">
        <v>1215000</v>
      </c>
      <c r="G108" s="344"/>
      <c r="H108" s="344"/>
      <c r="I108" s="344">
        <f t="shared" si="39"/>
        <v>0</v>
      </c>
      <c r="J108" s="344"/>
      <c r="K108" s="344"/>
      <c r="L108" s="344">
        <f t="shared" si="22"/>
        <v>0</v>
      </c>
      <c r="M108" s="344">
        <f t="shared" si="40"/>
        <v>0</v>
      </c>
      <c r="N108" s="337">
        <f t="shared" si="41"/>
        <v>1215000</v>
      </c>
      <c r="P108" s="340"/>
      <c r="S108" s="347"/>
      <c r="T108" s="346"/>
      <c r="U108" s="342"/>
    </row>
    <row r="109" spans="1:21" s="339" customFormat="1" ht="18" customHeight="1" x14ac:dyDescent="0.25">
      <c r="A109" s="334"/>
      <c r="B109" s="335"/>
      <c r="C109" s="335"/>
      <c r="D109" s="365" t="s">
        <v>254</v>
      </c>
      <c r="E109" s="335" t="s">
        <v>255</v>
      </c>
      <c r="F109" s="337">
        <v>11137500</v>
      </c>
      <c r="G109" s="344"/>
      <c r="H109" s="344"/>
      <c r="I109" s="344">
        <f t="shared" si="39"/>
        <v>0</v>
      </c>
      <c r="J109" s="344"/>
      <c r="K109" s="344"/>
      <c r="L109" s="344">
        <f t="shared" si="22"/>
        <v>0</v>
      </c>
      <c r="M109" s="344">
        <f t="shared" si="40"/>
        <v>0</v>
      </c>
      <c r="N109" s="337">
        <f>+F109-M109</f>
        <v>11137500</v>
      </c>
      <c r="P109" s="340"/>
      <c r="S109" s="347"/>
      <c r="T109" s="346"/>
      <c r="U109" s="342"/>
    </row>
    <row r="110" spans="1:21" s="339" customFormat="1" ht="32.25" customHeight="1" x14ac:dyDescent="0.25">
      <c r="A110" s="366"/>
      <c r="B110" s="367"/>
      <c r="C110" s="367"/>
      <c r="D110" s="368" t="s">
        <v>256</v>
      </c>
      <c r="E110" s="369" t="s">
        <v>257</v>
      </c>
      <c r="F110" s="370">
        <v>202500</v>
      </c>
      <c r="G110" s="371"/>
      <c r="H110" s="371"/>
      <c r="I110" s="371">
        <f t="shared" si="39"/>
        <v>0</v>
      </c>
      <c r="J110" s="371"/>
      <c r="K110" s="371"/>
      <c r="L110" s="371">
        <f t="shared" si="22"/>
        <v>0</v>
      </c>
      <c r="M110" s="371">
        <f t="shared" si="40"/>
        <v>0</v>
      </c>
      <c r="N110" s="370">
        <f>+F110-M110</f>
        <v>202500</v>
      </c>
      <c r="P110" s="340"/>
      <c r="S110" s="347"/>
      <c r="T110" s="346"/>
      <c r="U110" s="342"/>
    </row>
    <row r="111" spans="1:21" s="339" customFormat="1" ht="31.5" x14ac:dyDescent="0.25">
      <c r="A111" s="366"/>
      <c r="B111" s="367"/>
      <c r="C111" s="367"/>
      <c r="D111" s="368" t="s">
        <v>258</v>
      </c>
      <c r="E111" s="369" t="s">
        <v>259</v>
      </c>
      <c r="F111" s="370">
        <v>101958750</v>
      </c>
      <c r="G111" s="371"/>
      <c r="H111" s="371"/>
      <c r="I111" s="371">
        <f>+G111+H111</f>
        <v>0</v>
      </c>
      <c r="J111" s="371"/>
      <c r="K111" s="371"/>
      <c r="L111" s="371">
        <f t="shared" si="22"/>
        <v>0</v>
      </c>
      <c r="M111" s="371">
        <f t="shared" si="40"/>
        <v>0</v>
      </c>
      <c r="N111" s="370">
        <f>+F111-M111</f>
        <v>101958750</v>
      </c>
      <c r="P111" s="340"/>
      <c r="S111" s="347"/>
      <c r="T111" s="346"/>
      <c r="U111" s="342"/>
    </row>
    <row r="112" spans="1:21" s="153" customFormat="1" ht="31.5" x14ac:dyDescent="0.25">
      <c r="A112" s="372"/>
      <c r="B112" s="373"/>
      <c r="C112" s="373"/>
      <c r="D112" s="374" t="s">
        <v>260</v>
      </c>
      <c r="E112" s="375" t="s">
        <v>261</v>
      </c>
      <c r="F112" s="376">
        <v>275400000</v>
      </c>
      <c r="G112" s="377"/>
      <c r="H112" s="377"/>
      <c r="I112" s="377">
        <f t="shared" ref="I112" si="42">+G112+H112</f>
        <v>0</v>
      </c>
      <c r="J112" s="377"/>
      <c r="K112" s="377"/>
      <c r="L112" s="377">
        <f t="shared" si="22"/>
        <v>0</v>
      </c>
      <c r="M112" s="377">
        <f t="shared" si="40"/>
        <v>0</v>
      </c>
      <c r="N112" s="376">
        <f>+F112-M112</f>
        <v>275400000</v>
      </c>
      <c r="P112" s="200"/>
      <c r="S112" s="221"/>
      <c r="T112" s="358"/>
      <c r="U112" s="254"/>
    </row>
    <row r="113" spans="1:21" s="319" customFormat="1" ht="18" customHeight="1" x14ac:dyDescent="0.25">
      <c r="A113" s="276">
        <v>4</v>
      </c>
      <c r="B113" s="305"/>
      <c r="C113" s="305" t="s">
        <v>84</v>
      </c>
      <c r="D113" s="363"/>
      <c r="E113" s="364" t="s">
        <v>85</v>
      </c>
      <c r="F113" s="307">
        <f>+F114</f>
        <v>31153000</v>
      </c>
      <c r="G113" s="308">
        <f t="shared" ref="F113:H114" si="43">+G114</f>
        <v>0</v>
      </c>
      <c r="H113" s="308">
        <f t="shared" si="43"/>
        <v>0</v>
      </c>
      <c r="I113" s="308">
        <f>+G113+H113</f>
        <v>0</v>
      </c>
      <c r="J113" s="308">
        <f>+J114</f>
        <v>0</v>
      </c>
      <c r="K113" s="308">
        <f>+K114</f>
        <v>0</v>
      </c>
      <c r="L113" s="308">
        <f>+J113+K113</f>
        <v>0</v>
      </c>
      <c r="M113" s="308">
        <f>+I113+L113</f>
        <v>0</v>
      </c>
      <c r="N113" s="307">
        <f>+F113-M113</f>
        <v>31153000</v>
      </c>
      <c r="P113" s="320"/>
      <c r="R113" s="321"/>
      <c r="S113" s="349"/>
      <c r="T113" s="349"/>
      <c r="U113" s="350"/>
    </row>
    <row r="114" spans="1:21" s="329" customFormat="1" ht="18" customHeight="1" x14ac:dyDescent="0.25">
      <c r="A114" s="323"/>
      <c r="B114" s="324"/>
      <c r="C114" s="324"/>
      <c r="D114" s="325" t="s">
        <v>207</v>
      </c>
      <c r="E114" s="326" t="s">
        <v>262</v>
      </c>
      <c r="F114" s="327">
        <f t="shared" si="43"/>
        <v>31153000</v>
      </c>
      <c r="G114" s="328">
        <f t="shared" si="43"/>
        <v>0</v>
      </c>
      <c r="H114" s="328">
        <f t="shared" si="43"/>
        <v>0</v>
      </c>
      <c r="I114" s="328">
        <f>+G114+H114</f>
        <v>0</v>
      </c>
      <c r="J114" s="328">
        <f t="shared" ref="J114:K116" si="44">+J115</f>
        <v>0</v>
      </c>
      <c r="K114" s="328">
        <f t="shared" si="44"/>
        <v>0</v>
      </c>
      <c r="L114" s="328">
        <f>+J114+K114</f>
        <v>0</v>
      </c>
      <c r="M114" s="328">
        <f t="shared" ref="M114:M120" si="45">+I114+L114</f>
        <v>0</v>
      </c>
      <c r="N114" s="327">
        <f t="shared" ref="N114:N117" si="46">+F114-M114</f>
        <v>31153000</v>
      </c>
      <c r="P114" s="330"/>
      <c r="R114" s="331"/>
      <c r="S114" s="351"/>
      <c r="T114" s="351"/>
      <c r="U114" s="333"/>
    </row>
    <row r="115" spans="1:21" s="339" customFormat="1" ht="18" customHeight="1" x14ac:dyDescent="0.25">
      <c r="A115" s="334"/>
      <c r="B115" s="378"/>
      <c r="C115" s="378"/>
      <c r="D115" s="335" t="s">
        <v>63</v>
      </c>
      <c r="E115" s="335" t="s">
        <v>30</v>
      </c>
      <c r="F115" s="337">
        <f>F116</f>
        <v>31153000</v>
      </c>
      <c r="G115" s="344">
        <f>+G116</f>
        <v>0</v>
      </c>
      <c r="H115" s="344">
        <f>+H116</f>
        <v>0</v>
      </c>
      <c r="I115" s="344">
        <f>+G115+H115</f>
        <v>0</v>
      </c>
      <c r="J115" s="344">
        <f>+J116</f>
        <v>0</v>
      </c>
      <c r="K115" s="344">
        <f t="shared" si="44"/>
        <v>0</v>
      </c>
      <c r="L115" s="344">
        <f>+J115+K115</f>
        <v>0</v>
      </c>
      <c r="M115" s="344">
        <f t="shared" si="45"/>
        <v>0</v>
      </c>
      <c r="N115" s="337">
        <f t="shared" si="46"/>
        <v>31153000</v>
      </c>
      <c r="P115" s="340"/>
      <c r="S115" s="347"/>
      <c r="T115" s="347"/>
      <c r="U115" s="342"/>
    </row>
    <row r="116" spans="1:21" s="339" customFormat="1" ht="18" customHeight="1" x14ac:dyDescent="0.25">
      <c r="A116" s="334"/>
      <c r="B116" s="335"/>
      <c r="C116" s="335"/>
      <c r="D116" s="335" t="s">
        <v>263</v>
      </c>
      <c r="E116" s="336" t="s">
        <v>264</v>
      </c>
      <c r="F116" s="337">
        <f>+F117</f>
        <v>31153000</v>
      </c>
      <c r="G116" s="338">
        <f>+G117</f>
        <v>0</v>
      </c>
      <c r="H116" s="338">
        <f>+H117</f>
        <v>0</v>
      </c>
      <c r="I116" s="338">
        <f>+G116+H116</f>
        <v>0</v>
      </c>
      <c r="J116" s="338">
        <f t="shared" si="44"/>
        <v>0</v>
      </c>
      <c r="K116" s="338">
        <f t="shared" si="44"/>
        <v>0</v>
      </c>
      <c r="L116" s="338">
        <f>+J116+K116</f>
        <v>0</v>
      </c>
      <c r="M116" s="338">
        <f t="shared" si="45"/>
        <v>0</v>
      </c>
      <c r="N116" s="337">
        <f t="shared" si="46"/>
        <v>31153000</v>
      </c>
      <c r="P116" s="340"/>
      <c r="S116" s="347"/>
      <c r="T116" s="347"/>
      <c r="U116" s="342"/>
    </row>
    <row r="117" spans="1:21" s="339" customFormat="1" ht="18" customHeight="1" x14ac:dyDescent="0.25">
      <c r="A117" s="334"/>
      <c r="B117" s="378"/>
      <c r="C117" s="378"/>
      <c r="D117" s="335" t="s">
        <v>64</v>
      </c>
      <c r="E117" s="335" t="s">
        <v>65</v>
      </c>
      <c r="F117" s="337">
        <f>F118+F119+F120</f>
        <v>31153000</v>
      </c>
      <c r="G117" s="344">
        <f>SUM(G118:G120)</f>
        <v>0</v>
      </c>
      <c r="H117" s="344">
        <f>SUM(H118:H120)</f>
        <v>0</v>
      </c>
      <c r="I117" s="344">
        <f>+G117+H117</f>
        <v>0</v>
      </c>
      <c r="J117" s="344">
        <f>SUM(J118:J120)</f>
        <v>0</v>
      </c>
      <c r="K117" s="344">
        <f>SUM(K118:K120)</f>
        <v>0</v>
      </c>
      <c r="L117" s="344">
        <f>+J117+K117</f>
        <v>0</v>
      </c>
      <c r="M117" s="344">
        <f t="shared" si="45"/>
        <v>0</v>
      </c>
      <c r="N117" s="337">
        <f t="shared" si="46"/>
        <v>31153000</v>
      </c>
      <c r="P117" s="340"/>
      <c r="S117" s="347"/>
      <c r="T117" s="347"/>
      <c r="U117" s="342"/>
    </row>
    <row r="118" spans="1:21" s="339" customFormat="1" ht="18" customHeight="1" x14ac:dyDescent="0.25">
      <c r="A118" s="334"/>
      <c r="B118" s="378"/>
      <c r="C118" s="378"/>
      <c r="D118" s="335" t="s">
        <v>66</v>
      </c>
      <c r="E118" s="335" t="s">
        <v>67</v>
      </c>
      <c r="F118" s="337">
        <v>1447000</v>
      </c>
      <c r="G118" s="344"/>
      <c r="H118" s="344"/>
      <c r="I118" s="344">
        <f t="shared" ref="I118:I120" si="47">+G118+H118</f>
        <v>0</v>
      </c>
      <c r="J118" s="344"/>
      <c r="K118" s="344"/>
      <c r="L118" s="344">
        <f t="shared" ref="L118:L120" si="48">+J118+K118</f>
        <v>0</v>
      </c>
      <c r="M118" s="344">
        <f t="shared" si="45"/>
        <v>0</v>
      </c>
      <c r="N118" s="337">
        <f>+F118-M118</f>
        <v>1447000</v>
      </c>
      <c r="P118" s="340"/>
      <c r="S118" s="347"/>
      <c r="T118" s="347"/>
      <c r="U118" s="342"/>
    </row>
    <row r="119" spans="1:21" s="339" customFormat="1" ht="18" customHeight="1" x14ac:dyDescent="0.25">
      <c r="A119" s="334"/>
      <c r="B119" s="378"/>
      <c r="C119" s="378"/>
      <c r="D119" s="335" t="s">
        <v>337</v>
      </c>
      <c r="E119" s="335" t="s">
        <v>338</v>
      </c>
      <c r="F119" s="337">
        <v>3792000</v>
      </c>
      <c r="G119" s="344"/>
      <c r="H119" s="344"/>
      <c r="I119" s="344">
        <f t="shared" si="47"/>
        <v>0</v>
      </c>
      <c r="J119" s="344"/>
      <c r="K119" s="344"/>
      <c r="L119" s="344">
        <f t="shared" si="48"/>
        <v>0</v>
      </c>
      <c r="M119" s="344">
        <f t="shared" si="45"/>
        <v>0</v>
      </c>
      <c r="N119" s="337">
        <f t="shared" ref="N119:N120" si="49">+F119-M119</f>
        <v>3792000</v>
      </c>
      <c r="P119" s="340"/>
      <c r="S119" s="347"/>
      <c r="T119" s="347"/>
      <c r="U119" s="342"/>
    </row>
    <row r="120" spans="1:21" s="339" customFormat="1" ht="18" customHeight="1" x14ac:dyDescent="0.25">
      <c r="A120" s="334"/>
      <c r="B120" s="378"/>
      <c r="C120" s="378"/>
      <c r="D120" s="335" t="s">
        <v>68</v>
      </c>
      <c r="E120" s="335" t="s">
        <v>69</v>
      </c>
      <c r="F120" s="337">
        <v>25914000</v>
      </c>
      <c r="G120" s="344"/>
      <c r="H120" s="344"/>
      <c r="I120" s="344">
        <f t="shared" si="47"/>
        <v>0</v>
      </c>
      <c r="J120" s="344"/>
      <c r="K120" s="344"/>
      <c r="L120" s="344">
        <f t="shared" si="48"/>
        <v>0</v>
      </c>
      <c r="M120" s="344">
        <f t="shared" si="45"/>
        <v>0</v>
      </c>
      <c r="N120" s="337">
        <f t="shared" si="49"/>
        <v>25914000</v>
      </c>
      <c r="P120" s="340"/>
      <c r="S120" s="347"/>
      <c r="T120" s="347"/>
      <c r="U120" s="342"/>
    </row>
    <row r="121" spans="1:21" s="153" customFormat="1" ht="18" customHeight="1" x14ac:dyDescent="0.25">
      <c r="A121" s="353"/>
      <c r="B121" s="354"/>
      <c r="C121" s="354"/>
      <c r="D121" s="355"/>
      <c r="E121" s="355"/>
      <c r="F121" s="356"/>
      <c r="G121" s="357"/>
      <c r="H121" s="357"/>
      <c r="I121" s="357"/>
      <c r="J121" s="357"/>
      <c r="K121" s="357"/>
      <c r="L121" s="357"/>
      <c r="M121" s="357"/>
      <c r="N121" s="356"/>
      <c r="P121" s="200"/>
      <c r="S121" s="221"/>
      <c r="T121" s="221"/>
      <c r="U121" s="254"/>
    </row>
    <row r="122" spans="1:21" s="319" customFormat="1" ht="18" customHeight="1" x14ac:dyDescent="0.25">
      <c r="A122" s="276"/>
      <c r="B122" s="305" t="s">
        <v>405</v>
      </c>
      <c r="C122" s="305"/>
      <c r="D122" s="305"/>
      <c r="E122" s="305" t="s">
        <v>406</v>
      </c>
      <c r="F122" s="359">
        <f t="shared" ref="F122:G124" si="50">+F123</f>
        <v>654671250</v>
      </c>
      <c r="G122" s="360">
        <f t="shared" si="50"/>
        <v>0</v>
      </c>
      <c r="H122" s="360">
        <f>+H123</f>
        <v>0</v>
      </c>
      <c r="I122" s="360">
        <f t="shared" ref="I122:I136" si="51">+G122+H122</f>
        <v>0</v>
      </c>
      <c r="J122" s="360">
        <f>+J124</f>
        <v>0</v>
      </c>
      <c r="K122" s="360">
        <f>+K123</f>
        <v>0</v>
      </c>
      <c r="L122" s="360">
        <f>+J122+K122</f>
        <v>0</v>
      </c>
      <c r="M122" s="360">
        <f t="shared" ref="M122" si="52">+I122+L122</f>
        <v>0</v>
      </c>
      <c r="N122" s="359">
        <f t="shared" ref="N122:N130" si="53">+F122-M122</f>
        <v>654671250</v>
      </c>
      <c r="P122" s="361"/>
      <c r="R122" s="321"/>
      <c r="S122" s="362"/>
      <c r="T122" s="362"/>
      <c r="U122" s="350"/>
    </row>
    <row r="123" spans="1:21" s="319" customFormat="1" ht="18" customHeight="1" x14ac:dyDescent="0.25">
      <c r="A123" s="277">
        <v>5</v>
      </c>
      <c r="B123" s="305"/>
      <c r="C123" s="305" t="s">
        <v>86</v>
      </c>
      <c r="D123" s="363"/>
      <c r="E123" s="364" t="s">
        <v>87</v>
      </c>
      <c r="F123" s="307">
        <f t="shared" si="50"/>
        <v>654671250</v>
      </c>
      <c r="G123" s="308">
        <f t="shared" si="50"/>
        <v>0</v>
      </c>
      <c r="H123" s="308">
        <f>+H124</f>
        <v>0</v>
      </c>
      <c r="I123" s="308">
        <f t="shared" si="51"/>
        <v>0</v>
      </c>
      <c r="J123" s="308">
        <f>+J124</f>
        <v>0</v>
      </c>
      <c r="K123" s="308">
        <f>+K124</f>
        <v>0</v>
      </c>
      <c r="L123" s="308">
        <f>+J123+K123</f>
        <v>0</v>
      </c>
      <c r="M123" s="308">
        <f>+I123+L123</f>
        <v>0</v>
      </c>
      <c r="N123" s="307">
        <f t="shared" si="53"/>
        <v>654671250</v>
      </c>
      <c r="P123" s="320"/>
      <c r="R123" s="321"/>
      <c r="S123" s="349"/>
      <c r="T123" s="349"/>
      <c r="U123" s="350"/>
    </row>
    <row r="124" spans="1:21" s="329" customFormat="1" ht="18" customHeight="1" x14ac:dyDescent="0.25">
      <c r="A124" s="323"/>
      <c r="B124" s="324"/>
      <c r="C124" s="324"/>
      <c r="D124" s="325" t="s">
        <v>207</v>
      </c>
      <c r="E124" s="326" t="s">
        <v>262</v>
      </c>
      <c r="F124" s="327">
        <f t="shared" si="50"/>
        <v>654671250</v>
      </c>
      <c r="G124" s="328">
        <f t="shared" si="50"/>
        <v>0</v>
      </c>
      <c r="H124" s="328">
        <f>+H125</f>
        <v>0</v>
      </c>
      <c r="I124" s="328">
        <f t="shared" si="51"/>
        <v>0</v>
      </c>
      <c r="J124" s="328">
        <f>+J125</f>
        <v>0</v>
      </c>
      <c r="K124" s="328">
        <f>+K125</f>
        <v>0</v>
      </c>
      <c r="L124" s="328">
        <f t="shared" ref="L124:L136" si="54">+J124+K124</f>
        <v>0</v>
      </c>
      <c r="M124" s="328">
        <f t="shared" ref="M124:M127" si="55">+I124+L124</f>
        <v>0</v>
      </c>
      <c r="N124" s="327">
        <f t="shared" si="53"/>
        <v>654671250</v>
      </c>
      <c r="P124" s="330"/>
      <c r="R124" s="331"/>
      <c r="S124" s="351"/>
      <c r="T124" s="351"/>
      <c r="U124" s="333"/>
    </row>
    <row r="125" spans="1:21" s="339" customFormat="1" ht="18" customHeight="1" x14ac:dyDescent="0.25">
      <c r="A125" s="334"/>
      <c r="B125" s="335"/>
      <c r="C125" s="335"/>
      <c r="D125" s="365" t="s">
        <v>63</v>
      </c>
      <c r="E125" s="335" t="s">
        <v>30</v>
      </c>
      <c r="F125" s="337">
        <f>F131+F126</f>
        <v>654671250</v>
      </c>
      <c r="G125" s="344">
        <f>+G126+G131</f>
        <v>0</v>
      </c>
      <c r="H125" s="344">
        <f>+H126+H131</f>
        <v>0</v>
      </c>
      <c r="I125" s="344">
        <f t="shared" si="51"/>
        <v>0</v>
      </c>
      <c r="J125" s="344">
        <f>+J126+J131</f>
        <v>0</v>
      </c>
      <c r="K125" s="344">
        <f>+K131+K126</f>
        <v>0</v>
      </c>
      <c r="L125" s="344">
        <f t="shared" si="54"/>
        <v>0</v>
      </c>
      <c r="M125" s="344">
        <f t="shared" si="55"/>
        <v>0</v>
      </c>
      <c r="N125" s="337">
        <f t="shared" si="53"/>
        <v>654671250</v>
      </c>
      <c r="P125" s="340"/>
      <c r="S125" s="347"/>
      <c r="T125" s="347"/>
      <c r="U125" s="342"/>
    </row>
    <row r="126" spans="1:21" s="339" customFormat="1" ht="18" customHeight="1" x14ac:dyDescent="0.25">
      <c r="A126" s="334"/>
      <c r="B126" s="335"/>
      <c r="C126" s="335"/>
      <c r="D126" s="365" t="s">
        <v>263</v>
      </c>
      <c r="E126" s="336" t="s">
        <v>264</v>
      </c>
      <c r="F126" s="337">
        <f>+F127</f>
        <v>137486250</v>
      </c>
      <c r="G126" s="344">
        <f>+G127</f>
        <v>0</v>
      </c>
      <c r="H126" s="344">
        <f>+H127</f>
        <v>0</v>
      </c>
      <c r="I126" s="344">
        <f t="shared" si="51"/>
        <v>0</v>
      </c>
      <c r="J126" s="344">
        <f>+J127</f>
        <v>0</v>
      </c>
      <c r="K126" s="344">
        <f>+K127</f>
        <v>0</v>
      </c>
      <c r="L126" s="344">
        <f t="shared" si="54"/>
        <v>0</v>
      </c>
      <c r="M126" s="344">
        <f t="shared" si="55"/>
        <v>0</v>
      </c>
      <c r="N126" s="337">
        <f t="shared" si="53"/>
        <v>137486250</v>
      </c>
      <c r="P126" s="340"/>
      <c r="S126" s="347"/>
      <c r="T126" s="347"/>
      <c r="U126" s="342"/>
    </row>
    <row r="127" spans="1:21" s="339" customFormat="1" ht="18" customHeight="1" x14ac:dyDescent="0.25">
      <c r="A127" s="334"/>
      <c r="B127" s="335"/>
      <c r="C127" s="335"/>
      <c r="D127" s="365" t="s">
        <v>64</v>
      </c>
      <c r="E127" s="335" t="s">
        <v>65</v>
      </c>
      <c r="F127" s="337">
        <f>+F128+F129+F130</f>
        <v>137486250</v>
      </c>
      <c r="G127" s="344">
        <f>SUM(G128:G129)</f>
        <v>0</v>
      </c>
      <c r="H127" s="344">
        <f>SUM(H128:H129)</f>
        <v>0</v>
      </c>
      <c r="I127" s="344">
        <f t="shared" si="51"/>
        <v>0</v>
      </c>
      <c r="J127" s="344">
        <f>SUM(J128:J130)</f>
        <v>0</v>
      </c>
      <c r="K127" s="344">
        <f>SUM(K128:K130)</f>
        <v>0</v>
      </c>
      <c r="L127" s="344">
        <f t="shared" si="54"/>
        <v>0</v>
      </c>
      <c r="M127" s="344">
        <f t="shared" si="55"/>
        <v>0</v>
      </c>
      <c r="N127" s="337">
        <f t="shared" si="53"/>
        <v>137486250</v>
      </c>
      <c r="P127" s="340"/>
      <c r="S127" s="347"/>
      <c r="T127" s="347"/>
      <c r="U127" s="342"/>
    </row>
    <row r="128" spans="1:21" s="339" customFormat="1" ht="18" customHeight="1" x14ac:dyDescent="0.25">
      <c r="A128" s="334"/>
      <c r="B128" s="335"/>
      <c r="C128" s="335"/>
      <c r="D128" s="365" t="s">
        <v>66</v>
      </c>
      <c r="E128" s="335" t="s">
        <v>67</v>
      </c>
      <c r="F128" s="337">
        <v>2756250</v>
      </c>
      <c r="G128" s="344"/>
      <c r="H128" s="344"/>
      <c r="I128" s="344">
        <f t="shared" si="51"/>
        <v>0</v>
      </c>
      <c r="J128" s="344"/>
      <c r="K128" s="344"/>
      <c r="L128" s="344">
        <f t="shared" si="54"/>
        <v>0</v>
      </c>
      <c r="M128" s="344">
        <f>+I128+L128</f>
        <v>0</v>
      </c>
      <c r="N128" s="337">
        <f t="shared" si="53"/>
        <v>2756250</v>
      </c>
      <c r="P128" s="340"/>
      <c r="S128" s="346"/>
      <c r="T128" s="347"/>
      <c r="U128" s="342"/>
    </row>
    <row r="129" spans="1:21" s="339" customFormat="1" ht="18" customHeight="1" x14ac:dyDescent="0.25">
      <c r="A129" s="334"/>
      <c r="B129" s="335"/>
      <c r="C129" s="335"/>
      <c r="D129" s="365" t="s">
        <v>369</v>
      </c>
      <c r="E129" s="335" t="s">
        <v>370</v>
      </c>
      <c r="F129" s="337">
        <v>7230000</v>
      </c>
      <c r="G129" s="344"/>
      <c r="H129" s="344"/>
      <c r="I129" s="344">
        <f t="shared" si="51"/>
        <v>0</v>
      </c>
      <c r="J129" s="344"/>
      <c r="K129" s="344"/>
      <c r="L129" s="344">
        <f t="shared" si="54"/>
        <v>0</v>
      </c>
      <c r="M129" s="344">
        <f>+I129+L129</f>
        <v>0</v>
      </c>
      <c r="N129" s="337">
        <f t="shared" si="53"/>
        <v>7230000</v>
      </c>
      <c r="P129" s="340"/>
      <c r="S129" s="347"/>
      <c r="T129" s="347"/>
      <c r="U129" s="342"/>
    </row>
    <row r="130" spans="1:21" s="339" customFormat="1" ht="18" customHeight="1" x14ac:dyDescent="0.25">
      <c r="A130" s="334"/>
      <c r="B130" s="335"/>
      <c r="C130" s="335"/>
      <c r="D130" s="365" t="s">
        <v>447</v>
      </c>
      <c r="E130" s="335" t="s">
        <v>448</v>
      </c>
      <c r="F130" s="337">
        <v>127500000</v>
      </c>
      <c r="G130" s="344"/>
      <c r="H130" s="344"/>
      <c r="I130" s="344">
        <f t="shared" si="51"/>
        <v>0</v>
      </c>
      <c r="J130" s="344"/>
      <c r="K130" s="344"/>
      <c r="L130" s="344">
        <f t="shared" si="54"/>
        <v>0</v>
      </c>
      <c r="M130" s="344">
        <f>+I130+L130</f>
        <v>0</v>
      </c>
      <c r="N130" s="337">
        <f t="shared" si="53"/>
        <v>127500000</v>
      </c>
      <c r="P130" s="340"/>
      <c r="S130" s="347"/>
      <c r="T130" s="347"/>
      <c r="U130" s="342"/>
    </row>
    <row r="131" spans="1:21" s="339" customFormat="1" ht="18" customHeight="1" x14ac:dyDescent="0.25">
      <c r="A131" s="334"/>
      <c r="B131" s="335"/>
      <c r="C131" s="335"/>
      <c r="D131" s="365" t="s">
        <v>265</v>
      </c>
      <c r="E131" s="335" t="s">
        <v>266</v>
      </c>
      <c r="F131" s="337">
        <f>+F132</f>
        <v>517185000</v>
      </c>
      <c r="G131" s="344">
        <f>+G132</f>
        <v>0</v>
      </c>
      <c r="H131" s="344">
        <f>+H132</f>
        <v>0</v>
      </c>
      <c r="I131" s="344">
        <f t="shared" si="51"/>
        <v>0</v>
      </c>
      <c r="J131" s="344">
        <f>+J132</f>
        <v>0</v>
      </c>
      <c r="K131" s="344">
        <f>+K132</f>
        <v>0</v>
      </c>
      <c r="L131" s="344">
        <f t="shared" si="54"/>
        <v>0</v>
      </c>
      <c r="M131" s="344">
        <f t="shared" ref="M131:M132" si="56">+I131+L131</f>
        <v>0</v>
      </c>
      <c r="N131" s="337">
        <f>+F131-M131</f>
        <v>517185000</v>
      </c>
      <c r="P131" s="340"/>
      <c r="S131" s="347"/>
      <c r="T131" s="347"/>
      <c r="U131" s="342"/>
    </row>
    <row r="132" spans="1:21" s="339" customFormat="1" ht="18" customHeight="1" x14ac:dyDescent="0.25">
      <c r="A132" s="334"/>
      <c r="B132" s="335"/>
      <c r="C132" s="335"/>
      <c r="D132" s="365" t="s">
        <v>71</v>
      </c>
      <c r="E132" s="335" t="s">
        <v>72</v>
      </c>
      <c r="F132" s="337">
        <f>SUM(F133:F136)</f>
        <v>517185000</v>
      </c>
      <c r="G132" s="344">
        <f>SUM(G133:G134)</f>
        <v>0</v>
      </c>
      <c r="H132" s="344">
        <f>SUM(H133:H134)</f>
        <v>0</v>
      </c>
      <c r="I132" s="344">
        <f t="shared" si="51"/>
        <v>0</v>
      </c>
      <c r="J132" s="344">
        <f>SUM(J133:J136)</f>
        <v>0</v>
      </c>
      <c r="K132" s="344">
        <f>SUM(K133:K136)</f>
        <v>0</v>
      </c>
      <c r="L132" s="344">
        <f>+J132+K132</f>
        <v>0</v>
      </c>
      <c r="M132" s="344">
        <f t="shared" si="56"/>
        <v>0</v>
      </c>
      <c r="N132" s="337">
        <f>+F132-M132</f>
        <v>517185000</v>
      </c>
      <c r="P132" s="340"/>
      <c r="S132" s="347"/>
      <c r="T132" s="347"/>
      <c r="U132" s="342"/>
    </row>
    <row r="133" spans="1:21" s="339" customFormat="1" ht="18" customHeight="1" x14ac:dyDescent="0.25">
      <c r="A133" s="334"/>
      <c r="B133" s="335"/>
      <c r="C133" s="335"/>
      <c r="D133" s="365" t="s">
        <v>73</v>
      </c>
      <c r="E133" s="335" t="s">
        <v>74</v>
      </c>
      <c r="F133" s="337">
        <v>128100000</v>
      </c>
      <c r="G133" s="344"/>
      <c r="H133" s="344"/>
      <c r="I133" s="344">
        <f t="shared" si="51"/>
        <v>0</v>
      </c>
      <c r="J133" s="344"/>
      <c r="K133" s="344"/>
      <c r="L133" s="344">
        <f t="shared" si="54"/>
        <v>0</v>
      </c>
      <c r="M133" s="344">
        <f>+I133+L133</f>
        <v>0</v>
      </c>
      <c r="N133" s="337">
        <f t="shared" ref="N133:N136" si="57">+F133-M133</f>
        <v>128100000</v>
      </c>
      <c r="P133" s="340"/>
      <c r="S133" s="346"/>
      <c r="T133" s="346"/>
      <c r="U133" s="342"/>
    </row>
    <row r="134" spans="1:21" s="339" customFormat="1" ht="18" customHeight="1" x14ac:dyDescent="0.25">
      <c r="A134" s="334"/>
      <c r="B134" s="335"/>
      <c r="C134" s="335"/>
      <c r="D134" s="365" t="s">
        <v>88</v>
      </c>
      <c r="E134" s="335" t="s">
        <v>89</v>
      </c>
      <c r="F134" s="337">
        <v>79635000</v>
      </c>
      <c r="G134" s="344"/>
      <c r="H134" s="344"/>
      <c r="I134" s="344">
        <f t="shared" si="51"/>
        <v>0</v>
      </c>
      <c r="J134" s="344"/>
      <c r="K134" s="344"/>
      <c r="L134" s="344">
        <f t="shared" si="54"/>
        <v>0</v>
      </c>
      <c r="M134" s="344">
        <f t="shared" ref="M134" si="58">+I134+L134</f>
        <v>0</v>
      </c>
      <c r="N134" s="337">
        <f t="shared" si="57"/>
        <v>79635000</v>
      </c>
      <c r="P134" s="340"/>
      <c r="S134" s="346"/>
      <c r="T134" s="347"/>
      <c r="U134" s="342"/>
    </row>
    <row r="135" spans="1:21" s="339" customFormat="1" ht="18" customHeight="1" x14ac:dyDescent="0.25">
      <c r="A135" s="334"/>
      <c r="B135" s="335"/>
      <c r="C135" s="335"/>
      <c r="D135" s="365" t="s">
        <v>445</v>
      </c>
      <c r="E135" s="335" t="s">
        <v>446</v>
      </c>
      <c r="F135" s="337">
        <v>241950000</v>
      </c>
      <c r="G135" s="344"/>
      <c r="H135" s="344"/>
      <c r="I135" s="344">
        <f t="shared" si="51"/>
        <v>0</v>
      </c>
      <c r="J135" s="344"/>
      <c r="K135" s="344"/>
      <c r="L135" s="344">
        <f t="shared" si="54"/>
        <v>0</v>
      </c>
      <c r="M135" s="344">
        <f>+I135+L135</f>
        <v>0</v>
      </c>
      <c r="N135" s="337">
        <f t="shared" si="57"/>
        <v>241950000</v>
      </c>
      <c r="P135" s="340"/>
      <c r="S135" s="347"/>
      <c r="T135" s="347"/>
      <c r="U135" s="342"/>
    </row>
    <row r="136" spans="1:21" s="339" customFormat="1" ht="18" customHeight="1" x14ac:dyDescent="0.25">
      <c r="A136" s="334"/>
      <c r="B136" s="335"/>
      <c r="C136" s="335"/>
      <c r="D136" s="365" t="s">
        <v>107</v>
      </c>
      <c r="E136" s="335" t="s">
        <v>108</v>
      </c>
      <c r="F136" s="337">
        <v>67500000</v>
      </c>
      <c r="G136" s="344"/>
      <c r="H136" s="344"/>
      <c r="I136" s="344">
        <f t="shared" si="51"/>
        <v>0</v>
      </c>
      <c r="J136" s="344"/>
      <c r="K136" s="344"/>
      <c r="L136" s="344">
        <f t="shared" si="54"/>
        <v>0</v>
      </c>
      <c r="M136" s="344">
        <f>+I136+L136</f>
        <v>0</v>
      </c>
      <c r="N136" s="337">
        <f t="shared" si="57"/>
        <v>67500000</v>
      </c>
      <c r="P136" s="340"/>
      <c r="S136" s="347"/>
      <c r="T136" s="347"/>
      <c r="U136" s="342"/>
    </row>
    <row r="137" spans="1:21" s="153" customFormat="1" ht="18" customHeight="1" x14ac:dyDescent="0.25">
      <c r="A137" s="353"/>
      <c r="B137" s="355"/>
      <c r="C137" s="355"/>
      <c r="D137" s="355"/>
      <c r="E137" s="355"/>
      <c r="F137" s="356"/>
      <c r="G137" s="357"/>
      <c r="H137" s="357"/>
      <c r="I137" s="357"/>
      <c r="J137" s="357"/>
      <c r="K137" s="357"/>
      <c r="L137" s="357"/>
      <c r="M137" s="357"/>
      <c r="N137" s="356"/>
      <c r="P137" s="200"/>
      <c r="S137" s="221"/>
      <c r="T137" s="221"/>
      <c r="U137" s="254"/>
    </row>
    <row r="138" spans="1:21" s="319" customFormat="1" ht="18" customHeight="1" x14ac:dyDescent="0.25">
      <c r="A138" s="276"/>
      <c r="B138" s="305" t="s">
        <v>380</v>
      </c>
      <c r="C138" s="305"/>
      <c r="D138" s="305"/>
      <c r="E138" s="305" t="s">
        <v>381</v>
      </c>
      <c r="F138" s="359">
        <f>+F139+F165+F173+F184+F206</f>
        <v>4317651500</v>
      </c>
      <c r="G138" s="360">
        <f>+G139+G165+G173+G184+G206</f>
        <v>0</v>
      </c>
      <c r="H138" s="360">
        <f>+H139+H165+H173+H184+H206</f>
        <v>0</v>
      </c>
      <c r="I138" s="360">
        <f t="shared" ref="I138:I164" si="59">+G138+H138</f>
        <v>0</v>
      </c>
      <c r="J138" s="360">
        <f>+J139+J165+J173+J184+J206</f>
        <v>0</v>
      </c>
      <c r="K138" s="360">
        <f>+K139+K165+K173+K184+K206</f>
        <v>7840000</v>
      </c>
      <c r="L138" s="360">
        <f t="shared" ref="L138:L146" si="60">+J138+K138</f>
        <v>7840000</v>
      </c>
      <c r="M138" s="360">
        <f t="shared" ref="M138" si="61">+I138+L138</f>
        <v>7840000</v>
      </c>
      <c r="N138" s="359">
        <f t="shared" ref="N138:N146" si="62">+F138-M138</f>
        <v>4309811500</v>
      </c>
      <c r="P138" s="361"/>
      <c r="R138" s="321"/>
      <c r="S138" s="362"/>
      <c r="T138" s="362"/>
      <c r="U138" s="350"/>
    </row>
    <row r="139" spans="1:21" s="319" customFormat="1" ht="18" customHeight="1" x14ac:dyDescent="0.25">
      <c r="A139" s="276">
        <v>6</v>
      </c>
      <c r="B139" s="305"/>
      <c r="C139" s="305" t="s">
        <v>90</v>
      </c>
      <c r="D139" s="363"/>
      <c r="E139" s="364" t="s">
        <v>91</v>
      </c>
      <c r="F139" s="307">
        <f>+F140+F147</f>
        <v>1165936000</v>
      </c>
      <c r="G139" s="308">
        <f>+G140+G147</f>
        <v>0</v>
      </c>
      <c r="H139" s="308">
        <f>+H140+H147</f>
        <v>0</v>
      </c>
      <c r="I139" s="308">
        <f t="shared" si="59"/>
        <v>0</v>
      </c>
      <c r="J139" s="308">
        <f>+J140+J147</f>
        <v>0</v>
      </c>
      <c r="K139" s="308">
        <f>+K140+K147</f>
        <v>0</v>
      </c>
      <c r="L139" s="308">
        <f t="shared" si="60"/>
        <v>0</v>
      </c>
      <c r="M139" s="308">
        <f>+I139+L139</f>
        <v>0</v>
      </c>
      <c r="N139" s="307">
        <f t="shared" si="62"/>
        <v>1165936000</v>
      </c>
      <c r="P139" s="320"/>
      <c r="R139" s="321"/>
      <c r="S139" s="349"/>
      <c r="T139" s="349"/>
      <c r="U139" s="350"/>
    </row>
    <row r="140" spans="1:21" s="329" customFormat="1" ht="18" customHeight="1" x14ac:dyDescent="0.25">
      <c r="A140" s="323"/>
      <c r="B140" s="324"/>
      <c r="C140" s="379"/>
      <c r="D140" s="325" t="s">
        <v>207</v>
      </c>
      <c r="E140" s="326" t="s">
        <v>262</v>
      </c>
      <c r="F140" s="327">
        <f>+F141</f>
        <v>39736000</v>
      </c>
      <c r="G140" s="328">
        <f>+G141</f>
        <v>0</v>
      </c>
      <c r="H140" s="328">
        <f>+H141</f>
        <v>0</v>
      </c>
      <c r="I140" s="328">
        <f t="shared" si="59"/>
        <v>0</v>
      </c>
      <c r="J140" s="328">
        <f t="shared" ref="J140:K142" si="63">+J141</f>
        <v>0</v>
      </c>
      <c r="K140" s="328">
        <f t="shared" si="63"/>
        <v>0</v>
      </c>
      <c r="L140" s="328">
        <f t="shared" si="60"/>
        <v>0</v>
      </c>
      <c r="M140" s="328">
        <f t="shared" ref="M140:M164" si="64">+I140+L140</f>
        <v>0</v>
      </c>
      <c r="N140" s="327">
        <f t="shared" si="62"/>
        <v>39736000</v>
      </c>
      <c r="P140" s="330"/>
      <c r="R140" s="331"/>
      <c r="S140" s="351"/>
      <c r="T140" s="351"/>
      <c r="U140" s="333"/>
    </row>
    <row r="141" spans="1:21" s="381" customFormat="1" ht="18" customHeight="1" x14ac:dyDescent="0.25">
      <c r="A141" s="380"/>
      <c r="B141" s="352"/>
      <c r="C141" s="334"/>
      <c r="D141" s="335" t="s">
        <v>63</v>
      </c>
      <c r="E141" s="335" t="s">
        <v>30</v>
      </c>
      <c r="F141" s="337">
        <f>+F142</f>
        <v>39736000</v>
      </c>
      <c r="G141" s="344">
        <f t="shared" ref="G141:H142" si="65">+G142</f>
        <v>0</v>
      </c>
      <c r="H141" s="344">
        <f t="shared" si="65"/>
        <v>0</v>
      </c>
      <c r="I141" s="344">
        <f t="shared" si="59"/>
        <v>0</v>
      </c>
      <c r="J141" s="344">
        <f t="shared" si="63"/>
        <v>0</v>
      </c>
      <c r="K141" s="344">
        <f t="shared" si="63"/>
        <v>0</v>
      </c>
      <c r="L141" s="344">
        <f t="shared" si="60"/>
        <v>0</v>
      </c>
      <c r="M141" s="344">
        <f t="shared" si="64"/>
        <v>0</v>
      </c>
      <c r="N141" s="337">
        <f t="shared" si="62"/>
        <v>39736000</v>
      </c>
      <c r="P141" s="340"/>
      <c r="S141" s="347"/>
      <c r="T141" s="347"/>
      <c r="U141" s="382"/>
    </row>
    <row r="142" spans="1:21" s="339" customFormat="1" ht="18" customHeight="1" x14ac:dyDescent="0.25">
      <c r="A142" s="334"/>
      <c r="B142" s="335"/>
      <c r="C142" s="334"/>
      <c r="D142" s="365" t="s">
        <v>263</v>
      </c>
      <c r="E142" s="335" t="s">
        <v>264</v>
      </c>
      <c r="F142" s="337">
        <f>+F143</f>
        <v>39736000</v>
      </c>
      <c r="G142" s="344">
        <f t="shared" si="65"/>
        <v>0</v>
      </c>
      <c r="H142" s="344">
        <f t="shared" si="65"/>
        <v>0</v>
      </c>
      <c r="I142" s="344">
        <f t="shared" si="59"/>
        <v>0</v>
      </c>
      <c r="J142" s="344">
        <f t="shared" si="63"/>
        <v>0</v>
      </c>
      <c r="K142" s="344">
        <f t="shared" si="63"/>
        <v>0</v>
      </c>
      <c r="L142" s="344">
        <f t="shared" si="60"/>
        <v>0</v>
      </c>
      <c r="M142" s="344">
        <f t="shared" si="64"/>
        <v>0</v>
      </c>
      <c r="N142" s="337">
        <f t="shared" si="62"/>
        <v>39736000</v>
      </c>
      <c r="P142" s="340"/>
      <c r="S142" s="347"/>
      <c r="T142" s="347"/>
      <c r="U142" s="342"/>
    </row>
    <row r="143" spans="1:21" s="381" customFormat="1" ht="18" customHeight="1" x14ac:dyDescent="0.25">
      <c r="A143" s="380"/>
      <c r="B143" s="352"/>
      <c r="C143" s="334"/>
      <c r="D143" s="335" t="s">
        <v>64</v>
      </c>
      <c r="E143" s="335" t="s">
        <v>65</v>
      </c>
      <c r="F143" s="337">
        <f>F145+F144+F146</f>
        <v>39736000</v>
      </c>
      <c r="G143" s="344">
        <f>+G145</f>
        <v>0</v>
      </c>
      <c r="H143" s="344">
        <f>+H145</f>
        <v>0</v>
      </c>
      <c r="I143" s="344">
        <f t="shared" si="59"/>
        <v>0</v>
      </c>
      <c r="J143" s="344">
        <f>+J145</f>
        <v>0</v>
      </c>
      <c r="K143" s="344">
        <f>+K145</f>
        <v>0</v>
      </c>
      <c r="L143" s="344">
        <f t="shared" si="60"/>
        <v>0</v>
      </c>
      <c r="M143" s="344">
        <f t="shared" si="64"/>
        <v>0</v>
      </c>
      <c r="N143" s="337">
        <f t="shared" si="62"/>
        <v>39736000</v>
      </c>
      <c r="P143" s="340"/>
      <c r="S143" s="347"/>
      <c r="T143" s="347"/>
      <c r="U143" s="382"/>
    </row>
    <row r="144" spans="1:21" s="381" customFormat="1" ht="18" customHeight="1" x14ac:dyDescent="0.25">
      <c r="A144" s="380"/>
      <c r="B144" s="352"/>
      <c r="C144" s="334"/>
      <c r="D144" s="335" t="s">
        <v>66</v>
      </c>
      <c r="E144" s="335" t="s">
        <v>67</v>
      </c>
      <c r="F144" s="337">
        <v>13500</v>
      </c>
      <c r="G144" s="344"/>
      <c r="H144" s="344"/>
      <c r="I144" s="344">
        <f t="shared" si="59"/>
        <v>0</v>
      </c>
      <c r="J144" s="344"/>
      <c r="K144" s="344"/>
      <c r="L144" s="344">
        <f t="shared" si="60"/>
        <v>0</v>
      </c>
      <c r="M144" s="344">
        <f t="shared" si="64"/>
        <v>0</v>
      </c>
      <c r="N144" s="337">
        <f t="shared" si="62"/>
        <v>13500</v>
      </c>
      <c r="P144" s="340"/>
      <c r="S144" s="347"/>
      <c r="T144" s="347"/>
      <c r="U144" s="382"/>
    </row>
    <row r="145" spans="1:21" s="381" customFormat="1" ht="18" customHeight="1" x14ac:dyDescent="0.25">
      <c r="A145" s="380"/>
      <c r="B145" s="352"/>
      <c r="C145" s="334"/>
      <c r="D145" s="335" t="s">
        <v>339</v>
      </c>
      <c r="E145" s="335" t="s">
        <v>340</v>
      </c>
      <c r="F145" s="337">
        <v>29175000</v>
      </c>
      <c r="G145" s="344"/>
      <c r="H145" s="344"/>
      <c r="I145" s="344">
        <f t="shared" si="59"/>
        <v>0</v>
      </c>
      <c r="J145" s="344"/>
      <c r="K145" s="344"/>
      <c r="L145" s="344">
        <f t="shared" si="60"/>
        <v>0</v>
      </c>
      <c r="M145" s="344">
        <f t="shared" si="64"/>
        <v>0</v>
      </c>
      <c r="N145" s="337">
        <f t="shared" si="62"/>
        <v>29175000</v>
      </c>
      <c r="P145" s="340"/>
      <c r="S145" s="347"/>
      <c r="T145" s="347"/>
      <c r="U145" s="382"/>
    </row>
    <row r="146" spans="1:21" s="381" customFormat="1" ht="18" customHeight="1" x14ac:dyDescent="0.25">
      <c r="A146" s="380"/>
      <c r="B146" s="352"/>
      <c r="C146" s="334"/>
      <c r="D146" s="335" t="s">
        <v>371</v>
      </c>
      <c r="E146" s="335" t="s">
        <v>372</v>
      </c>
      <c r="F146" s="337">
        <v>10547500</v>
      </c>
      <c r="G146" s="344"/>
      <c r="H146" s="344"/>
      <c r="I146" s="344">
        <f t="shared" si="59"/>
        <v>0</v>
      </c>
      <c r="J146" s="344"/>
      <c r="K146" s="344"/>
      <c r="L146" s="344">
        <f t="shared" si="60"/>
        <v>0</v>
      </c>
      <c r="M146" s="344">
        <f t="shared" si="64"/>
        <v>0</v>
      </c>
      <c r="N146" s="337">
        <f t="shared" si="62"/>
        <v>10547500</v>
      </c>
      <c r="P146" s="340"/>
      <c r="S146" s="347"/>
      <c r="T146" s="347"/>
      <c r="U146" s="382"/>
    </row>
    <row r="147" spans="1:21" s="381" customFormat="1" ht="18" customHeight="1" x14ac:dyDescent="0.25">
      <c r="A147" s="380"/>
      <c r="B147" s="383"/>
      <c r="C147" s="384"/>
      <c r="D147" s="365" t="s">
        <v>267</v>
      </c>
      <c r="E147" s="335" t="s">
        <v>268</v>
      </c>
      <c r="F147" s="337">
        <f>+F148</f>
        <v>1126200000</v>
      </c>
      <c r="G147" s="344">
        <f>+G148</f>
        <v>0</v>
      </c>
      <c r="H147" s="344">
        <f>+H148</f>
        <v>0</v>
      </c>
      <c r="I147" s="344">
        <f>+G147+H147</f>
        <v>0</v>
      </c>
      <c r="J147" s="344">
        <f>+J148</f>
        <v>0</v>
      </c>
      <c r="K147" s="344">
        <f>+K148</f>
        <v>0</v>
      </c>
      <c r="L147" s="344">
        <f>+J147+K147</f>
        <v>0</v>
      </c>
      <c r="M147" s="344">
        <f t="shared" si="64"/>
        <v>0</v>
      </c>
      <c r="N147" s="337">
        <f>+F147-M147</f>
        <v>1126200000</v>
      </c>
      <c r="P147" s="340"/>
      <c r="R147" s="385"/>
      <c r="S147" s="347"/>
      <c r="T147" s="347"/>
      <c r="U147" s="382"/>
    </row>
    <row r="148" spans="1:21" s="381" customFormat="1" ht="18" customHeight="1" x14ac:dyDescent="0.25">
      <c r="A148" s="380"/>
      <c r="B148" s="352"/>
      <c r="C148" s="334"/>
      <c r="D148" s="335" t="s">
        <v>78</v>
      </c>
      <c r="E148" s="335" t="s">
        <v>75</v>
      </c>
      <c r="F148" s="337">
        <f>+F149+F159+F156</f>
        <v>1126200000</v>
      </c>
      <c r="G148" s="344">
        <f>+G149+G159</f>
        <v>0</v>
      </c>
      <c r="H148" s="344">
        <f>+H149+H159</f>
        <v>0</v>
      </c>
      <c r="I148" s="344">
        <f>+G148+H148</f>
        <v>0</v>
      </c>
      <c r="J148" s="344">
        <f>+J149+J159</f>
        <v>0</v>
      </c>
      <c r="K148" s="344">
        <f>+K149+K159</f>
        <v>0</v>
      </c>
      <c r="L148" s="344">
        <f>+J148+K148</f>
        <v>0</v>
      </c>
      <c r="M148" s="344">
        <f t="shared" si="64"/>
        <v>0</v>
      </c>
      <c r="N148" s="337">
        <f>+F148-M148</f>
        <v>1126200000</v>
      </c>
      <c r="P148" s="340"/>
      <c r="S148" s="347"/>
      <c r="T148" s="347"/>
      <c r="U148" s="382"/>
    </row>
    <row r="149" spans="1:21" s="339" customFormat="1" ht="18" customHeight="1" x14ac:dyDescent="0.25">
      <c r="A149" s="334"/>
      <c r="B149" s="335"/>
      <c r="C149" s="334"/>
      <c r="D149" s="365" t="s">
        <v>269</v>
      </c>
      <c r="E149" s="335" t="s">
        <v>270</v>
      </c>
      <c r="F149" s="337">
        <f>+F153+F150</f>
        <v>385400000</v>
      </c>
      <c r="G149" s="344">
        <f>+G153</f>
        <v>0</v>
      </c>
      <c r="H149" s="344">
        <f>+H153</f>
        <v>0</v>
      </c>
      <c r="I149" s="344">
        <f>+G149+H149</f>
        <v>0</v>
      </c>
      <c r="J149" s="344">
        <f>+J153</f>
        <v>0</v>
      </c>
      <c r="K149" s="344">
        <f>+K153+K150</f>
        <v>0</v>
      </c>
      <c r="L149" s="344">
        <f>+J149+K149</f>
        <v>0</v>
      </c>
      <c r="M149" s="344">
        <f t="shared" si="64"/>
        <v>0</v>
      </c>
      <c r="N149" s="337">
        <f>+F149-M149</f>
        <v>385400000</v>
      </c>
      <c r="P149" s="340"/>
      <c r="S149" s="347"/>
      <c r="T149" s="347"/>
      <c r="U149" s="342"/>
    </row>
    <row r="150" spans="1:21" s="381" customFormat="1" ht="18" customHeight="1" x14ac:dyDescent="0.25">
      <c r="A150" s="380"/>
      <c r="B150" s="352"/>
      <c r="C150" s="334"/>
      <c r="D150" s="335" t="s">
        <v>76</v>
      </c>
      <c r="E150" s="335" t="s">
        <v>484</v>
      </c>
      <c r="F150" s="337">
        <f>F151+F152</f>
        <v>180100000</v>
      </c>
      <c r="G150" s="344">
        <f>G151</f>
        <v>0</v>
      </c>
      <c r="H150" s="344">
        <f>+H151</f>
        <v>0</v>
      </c>
      <c r="I150" s="344">
        <f>+G150+H150</f>
        <v>0</v>
      </c>
      <c r="J150" s="344">
        <f>J151</f>
        <v>0</v>
      </c>
      <c r="K150" s="344">
        <f>+K151</f>
        <v>0</v>
      </c>
      <c r="L150" s="344">
        <f>+J150+K150</f>
        <v>0</v>
      </c>
      <c r="M150" s="344">
        <f t="shared" si="64"/>
        <v>0</v>
      </c>
      <c r="N150" s="337">
        <f>+F150-M150</f>
        <v>180100000</v>
      </c>
      <c r="P150" s="340"/>
      <c r="S150" s="347"/>
      <c r="T150" s="347"/>
      <c r="U150" s="382"/>
    </row>
    <row r="151" spans="1:21" s="381" customFormat="1" ht="18" customHeight="1" x14ac:dyDescent="0.25">
      <c r="A151" s="380"/>
      <c r="B151" s="352"/>
      <c r="C151" s="334"/>
      <c r="D151" s="335" t="s">
        <v>393</v>
      </c>
      <c r="E151" s="335" t="s">
        <v>394</v>
      </c>
      <c r="F151" s="337">
        <v>99600000</v>
      </c>
      <c r="G151" s="344"/>
      <c r="H151" s="344"/>
      <c r="I151" s="344">
        <f t="shared" ref="I151:I152" si="66">+G151+H151</f>
        <v>0</v>
      </c>
      <c r="J151" s="344"/>
      <c r="K151" s="344"/>
      <c r="L151" s="344">
        <f t="shared" ref="L151:L152" si="67">+J151+K151</f>
        <v>0</v>
      </c>
      <c r="M151" s="344">
        <f t="shared" si="64"/>
        <v>0</v>
      </c>
      <c r="N151" s="337">
        <f t="shared" ref="N151:N152" si="68">+F151-M151</f>
        <v>99600000</v>
      </c>
      <c r="P151" s="340"/>
      <c r="S151" s="346"/>
      <c r="T151" s="347"/>
      <c r="U151" s="382"/>
    </row>
    <row r="152" spans="1:21" s="381" customFormat="1" ht="18" customHeight="1" x14ac:dyDescent="0.25">
      <c r="A152" s="380"/>
      <c r="B152" s="352"/>
      <c r="C152" s="334"/>
      <c r="D152" s="335" t="s">
        <v>117</v>
      </c>
      <c r="E152" s="335" t="s">
        <v>118</v>
      </c>
      <c r="F152" s="337">
        <v>80500000</v>
      </c>
      <c r="G152" s="344"/>
      <c r="H152" s="344"/>
      <c r="I152" s="344">
        <f t="shared" si="66"/>
        <v>0</v>
      </c>
      <c r="J152" s="344"/>
      <c r="K152" s="344"/>
      <c r="L152" s="344">
        <f t="shared" si="67"/>
        <v>0</v>
      </c>
      <c r="M152" s="344">
        <f t="shared" si="64"/>
        <v>0</v>
      </c>
      <c r="N152" s="337">
        <f t="shared" si="68"/>
        <v>80500000</v>
      </c>
      <c r="P152" s="340"/>
      <c r="S152" s="346"/>
      <c r="T152" s="347"/>
      <c r="U152" s="382"/>
    </row>
    <row r="153" spans="1:21" s="381" customFormat="1" ht="18" customHeight="1" x14ac:dyDescent="0.25">
      <c r="A153" s="380"/>
      <c r="B153" s="352"/>
      <c r="C153" s="334"/>
      <c r="D153" s="335" t="s">
        <v>92</v>
      </c>
      <c r="E153" s="335" t="s">
        <v>94</v>
      </c>
      <c r="F153" s="337">
        <f>F154+F155</f>
        <v>205300000</v>
      </c>
      <c r="G153" s="344">
        <f>+G154+G155</f>
        <v>0</v>
      </c>
      <c r="H153" s="344">
        <f>+H154+H155</f>
        <v>0</v>
      </c>
      <c r="I153" s="344">
        <f>+G153+H153</f>
        <v>0</v>
      </c>
      <c r="J153" s="344">
        <f>J154+J155</f>
        <v>0</v>
      </c>
      <c r="K153" s="344">
        <f>+K154+K155</f>
        <v>0</v>
      </c>
      <c r="L153" s="344">
        <f>+J153+K153</f>
        <v>0</v>
      </c>
      <c r="M153" s="344">
        <f t="shared" si="64"/>
        <v>0</v>
      </c>
      <c r="N153" s="337">
        <f>+F153-M153</f>
        <v>205300000</v>
      </c>
      <c r="P153" s="340"/>
      <c r="S153" s="347"/>
      <c r="T153" s="347"/>
      <c r="U153" s="382"/>
    </row>
    <row r="154" spans="1:21" s="381" customFormat="1" ht="18" customHeight="1" x14ac:dyDescent="0.25">
      <c r="A154" s="380"/>
      <c r="B154" s="352"/>
      <c r="C154" s="334"/>
      <c r="D154" s="335" t="s">
        <v>93</v>
      </c>
      <c r="E154" s="335" t="s">
        <v>95</v>
      </c>
      <c r="F154" s="337">
        <v>180000000</v>
      </c>
      <c r="G154" s="344"/>
      <c r="H154" s="344"/>
      <c r="I154" s="344">
        <f t="shared" ref="I154:I155" si="69">+G154+H154</f>
        <v>0</v>
      </c>
      <c r="J154" s="344"/>
      <c r="K154" s="344"/>
      <c r="L154" s="344">
        <f t="shared" ref="L154:L164" si="70">+J154+K154</f>
        <v>0</v>
      </c>
      <c r="M154" s="344">
        <f t="shared" si="64"/>
        <v>0</v>
      </c>
      <c r="N154" s="337">
        <f t="shared" ref="N154:N155" si="71">+F154-M154</f>
        <v>180000000</v>
      </c>
      <c r="P154" s="340"/>
      <c r="S154" s="347"/>
      <c r="T154" s="347"/>
      <c r="U154" s="382"/>
    </row>
    <row r="155" spans="1:21" s="381" customFormat="1" ht="18" customHeight="1" x14ac:dyDescent="0.25">
      <c r="A155" s="380"/>
      <c r="B155" s="352"/>
      <c r="C155" s="334"/>
      <c r="D155" s="335" t="s">
        <v>397</v>
      </c>
      <c r="E155" s="335" t="s">
        <v>398</v>
      </c>
      <c r="F155" s="337">
        <v>25300000</v>
      </c>
      <c r="G155" s="344"/>
      <c r="H155" s="344"/>
      <c r="I155" s="344">
        <f t="shared" si="69"/>
        <v>0</v>
      </c>
      <c r="J155" s="344"/>
      <c r="K155" s="344"/>
      <c r="L155" s="344">
        <f t="shared" si="70"/>
        <v>0</v>
      </c>
      <c r="M155" s="344">
        <f t="shared" si="64"/>
        <v>0</v>
      </c>
      <c r="N155" s="337">
        <f t="shared" si="71"/>
        <v>25300000</v>
      </c>
      <c r="P155" s="340"/>
      <c r="S155" s="347"/>
      <c r="T155" s="347"/>
      <c r="U155" s="382"/>
    </row>
    <row r="156" spans="1:21" s="339" customFormat="1" ht="18" customHeight="1" x14ac:dyDescent="0.25">
      <c r="A156" s="334"/>
      <c r="B156" s="335"/>
      <c r="C156" s="334"/>
      <c r="D156" s="365" t="s">
        <v>399</v>
      </c>
      <c r="E156" s="335" t="s">
        <v>400</v>
      </c>
      <c r="F156" s="337">
        <f>+F157</f>
        <v>200000000</v>
      </c>
      <c r="G156" s="344">
        <f>+G160</f>
        <v>0</v>
      </c>
      <c r="H156" s="344">
        <f>+H160</f>
        <v>0</v>
      </c>
      <c r="I156" s="344">
        <f>+G156+H156</f>
        <v>0</v>
      </c>
      <c r="J156" s="344">
        <f>+J160</f>
        <v>0</v>
      </c>
      <c r="K156" s="344">
        <f>+K160+K157</f>
        <v>0</v>
      </c>
      <c r="L156" s="344">
        <f>+J156+K156</f>
        <v>0</v>
      </c>
      <c r="M156" s="344">
        <f t="shared" si="64"/>
        <v>0</v>
      </c>
      <c r="N156" s="337">
        <f>+F156-M156</f>
        <v>200000000</v>
      </c>
      <c r="P156" s="340"/>
      <c r="S156" s="347"/>
      <c r="T156" s="347"/>
      <c r="U156" s="342"/>
    </row>
    <row r="157" spans="1:21" s="381" customFormat="1" ht="18" customHeight="1" x14ac:dyDescent="0.25">
      <c r="A157" s="380"/>
      <c r="B157" s="352"/>
      <c r="C157" s="334"/>
      <c r="D157" s="335" t="s">
        <v>401</v>
      </c>
      <c r="E157" s="335" t="s">
        <v>402</v>
      </c>
      <c r="F157" s="337">
        <f>+F158</f>
        <v>200000000</v>
      </c>
      <c r="G157" s="344">
        <f>G158</f>
        <v>0</v>
      </c>
      <c r="H157" s="344">
        <f>+H158</f>
        <v>0</v>
      </c>
      <c r="I157" s="344">
        <f>+G157+H157</f>
        <v>0</v>
      </c>
      <c r="J157" s="344">
        <f>J158</f>
        <v>0</v>
      </c>
      <c r="K157" s="344">
        <f>+K158</f>
        <v>0</v>
      </c>
      <c r="L157" s="344">
        <f>+J157+K157</f>
        <v>0</v>
      </c>
      <c r="M157" s="344">
        <f t="shared" si="64"/>
        <v>0</v>
      </c>
      <c r="N157" s="337">
        <f>+F157-M157</f>
        <v>200000000</v>
      </c>
      <c r="P157" s="340"/>
      <c r="S157" s="347"/>
      <c r="T157" s="347"/>
      <c r="U157" s="382"/>
    </row>
    <row r="158" spans="1:21" s="381" customFormat="1" ht="18" customHeight="1" x14ac:dyDescent="0.25">
      <c r="A158" s="380"/>
      <c r="B158" s="352"/>
      <c r="C158" s="334"/>
      <c r="D158" s="335" t="s">
        <v>459</v>
      </c>
      <c r="E158" s="335" t="s">
        <v>460</v>
      </c>
      <c r="F158" s="337">
        <v>200000000</v>
      </c>
      <c r="G158" s="344"/>
      <c r="H158" s="344"/>
      <c r="I158" s="344">
        <f t="shared" ref="I158" si="72">+G158+H158</f>
        <v>0</v>
      </c>
      <c r="J158" s="344"/>
      <c r="K158" s="344"/>
      <c r="L158" s="344">
        <f t="shared" ref="L158" si="73">+J158+K158</f>
        <v>0</v>
      </c>
      <c r="M158" s="344">
        <f t="shared" si="64"/>
        <v>0</v>
      </c>
      <c r="N158" s="337">
        <f t="shared" ref="N158" si="74">+F158-M158</f>
        <v>200000000</v>
      </c>
      <c r="P158" s="340"/>
      <c r="S158" s="346"/>
      <c r="T158" s="347"/>
      <c r="U158" s="382"/>
    </row>
    <row r="159" spans="1:21" s="339" customFormat="1" ht="18" customHeight="1" x14ac:dyDescent="0.25">
      <c r="A159" s="334"/>
      <c r="B159" s="335"/>
      <c r="C159" s="334"/>
      <c r="D159" s="365" t="s">
        <v>273</v>
      </c>
      <c r="E159" s="335" t="s">
        <v>274</v>
      </c>
      <c r="F159" s="337">
        <f>+F160+F162</f>
        <v>540800000</v>
      </c>
      <c r="G159" s="344">
        <f>+G160+G162</f>
        <v>0</v>
      </c>
      <c r="H159" s="344">
        <f>+H160+H162</f>
        <v>0</v>
      </c>
      <c r="I159" s="344">
        <f>+G159+H159</f>
        <v>0</v>
      </c>
      <c r="J159" s="344">
        <f t="shared" ref="J159:K160" si="75">+J160</f>
        <v>0</v>
      </c>
      <c r="K159" s="344">
        <f t="shared" si="75"/>
        <v>0</v>
      </c>
      <c r="L159" s="344">
        <f t="shared" si="70"/>
        <v>0</v>
      </c>
      <c r="M159" s="344">
        <f t="shared" si="64"/>
        <v>0</v>
      </c>
      <c r="N159" s="337">
        <f>+F159-M159</f>
        <v>540800000</v>
      </c>
      <c r="P159" s="340"/>
      <c r="S159" s="347"/>
      <c r="T159" s="347"/>
      <c r="U159" s="342"/>
    </row>
    <row r="160" spans="1:21" s="381" customFormat="1" ht="18" customHeight="1" x14ac:dyDescent="0.25">
      <c r="A160" s="380"/>
      <c r="B160" s="352"/>
      <c r="C160" s="334"/>
      <c r="D160" s="335" t="s">
        <v>96</v>
      </c>
      <c r="E160" s="335" t="s">
        <v>98</v>
      </c>
      <c r="F160" s="337">
        <f>F161</f>
        <v>335000000</v>
      </c>
      <c r="G160" s="344">
        <f>+G161</f>
        <v>0</v>
      </c>
      <c r="H160" s="344">
        <f>+H161</f>
        <v>0</v>
      </c>
      <c r="I160" s="344">
        <f>+G160+H160</f>
        <v>0</v>
      </c>
      <c r="J160" s="344">
        <f>+J161</f>
        <v>0</v>
      </c>
      <c r="K160" s="344">
        <f t="shared" si="75"/>
        <v>0</v>
      </c>
      <c r="L160" s="344">
        <f t="shared" si="70"/>
        <v>0</v>
      </c>
      <c r="M160" s="344">
        <f t="shared" si="64"/>
        <v>0</v>
      </c>
      <c r="N160" s="337">
        <f>+F160-M160</f>
        <v>335000000</v>
      </c>
      <c r="P160" s="340"/>
      <c r="S160" s="347"/>
      <c r="T160" s="347"/>
      <c r="U160" s="382"/>
    </row>
    <row r="161" spans="1:21" s="381" customFormat="1" ht="18" customHeight="1" x14ac:dyDescent="0.25">
      <c r="A161" s="380"/>
      <c r="B161" s="352"/>
      <c r="C161" s="334"/>
      <c r="D161" s="335" t="s">
        <v>97</v>
      </c>
      <c r="E161" s="335" t="s">
        <v>99</v>
      </c>
      <c r="F161" s="337">
        <v>335000000</v>
      </c>
      <c r="G161" s="344"/>
      <c r="H161" s="344"/>
      <c r="I161" s="344">
        <f t="shared" si="59"/>
        <v>0</v>
      </c>
      <c r="J161" s="344"/>
      <c r="K161" s="344"/>
      <c r="L161" s="344">
        <f t="shared" si="70"/>
        <v>0</v>
      </c>
      <c r="M161" s="344">
        <f t="shared" si="64"/>
        <v>0</v>
      </c>
      <c r="N161" s="337">
        <f t="shared" ref="N161" si="76">+F161-M161</f>
        <v>335000000</v>
      </c>
      <c r="P161" s="340"/>
      <c r="S161" s="347"/>
      <c r="T161" s="347"/>
      <c r="U161" s="382"/>
    </row>
    <row r="162" spans="1:21" s="381" customFormat="1" ht="18" customHeight="1" x14ac:dyDescent="0.25">
      <c r="A162" s="380"/>
      <c r="B162" s="352"/>
      <c r="C162" s="334"/>
      <c r="D162" s="335" t="s">
        <v>382</v>
      </c>
      <c r="E162" s="335" t="s">
        <v>383</v>
      </c>
      <c r="F162" s="337">
        <f>SUM(F163:F164)</f>
        <v>205800000</v>
      </c>
      <c r="G162" s="344">
        <f>SUM(G163:G164)</f>
        <v>0</v>
      </c>
      <c r="H162" s="344">
        <f>SUM(H163:H164)</f>
        <v>0</v>
      </c>
      <c r="I162" s="344">
        <f>+G162+H162</f>
        <v>0</v>
      </c>
      <c r="J162" s="344">
        <f>SUM(J163:J164)</f>
        <v>0</v>
      </c>
      <c r="K162" s="344">
        <f>SUM(K163:K164)</f>
        <v>0</v>
      </c>
      <c r="L162" s="344">
        <f>+J162+K162</f>
        <v>0</v>
      </c>
      <c r="M162" s="344">
        <f t="shared" si="64"/>
        <v>0</v>
      </c>
      <c r="N162" s="337">
        <f>+F162-M162</f>
        <v>205800000</v>
      </c>
      <c r="P162" s="340"/>
      <c r="S162" s="347"/>
      <c r="T162" s="347"/>
      <c r="U162" s="382"/>
    </row>
    <row r="163" spans="1:21" s="381" customFormat="1" ht="18" customHeight="1" x14ac:dyDescent="0.25">
      <c r="A163" s="380"/>
      <c r="B163" s="352"/>
      <c r="C163" s="334"/>
      <c r="D163" s="335" t="s">
        <v>384</v>
      </c>
      <c r="E163" s="335" t="s">
        <v>385</v>
      </c>
      <c r="F163" s="337">
        <v>170400000</v>
      </c>
      <c r="G163" s="344"/>
      <c r="H163" s="344"/>
      <c r="I163" s="344">
        <f t="shared" si="59"/>
        <v>0</v>
      </c>
      <c r="J163" s="344"/>
      <c r="K163" s="344"/>
      <c r="L163" s="344">
        <f t="shared" si="70"/>
        <v>0</v>
      </c>
      <c r="M163" s="344">
        <f t="shared" si="64"/>
        <v>0</v>
      </c>
      <c r="N163" s="337">
        <f t="shared" ref="N163:N164" si="77">+F163-M163</f>
        <v>170400000</v>
      </c>
      <c r="P163" s="340"/>
      <c r="S163" s="347"/>
      <c r="T163" s="347"/>
      <c r="U163" s="382"/>
    </row>
    <row r="164" spans="1:21" s="388" customFormat="1" ht="18" customHeight="1" x14ac:dyDescent="0.25">
      <c r="A164" s="386"/>
      <c r="B164" s="387"/>
      <c r="C164" s="353"/>
      <c r="D164" s="355" t="s">
        <v>386</v>
      </c>
      <c r="E164" s="355" t="s">
        <v>387</v>
      </c>
      <c r="F164" s="356">
        <v>35400000</v>
      </c>
      <c r="G164" s="357"/>
      <c r="H164" s="357"/>
      <c r="I164" s="357">
        <f t="shared" si="59"/>
        <v>0</v>
      </c>
      <c r="J164" s="357"/>
      <c r="K164" s="357"/>
      <c r="L164" s="357">
        <f t="shared" si="70"/>
        <v>0</v>
      </c>
      <c r="M164" s="357">
        <f t="shared" si="64"/>
        <v>0</v>
      </c>
      <c r="N164" s="356">
        <f t="shared" si="77"/>
        <v>35400000</v>
      </c>
      <c r="P164" s="200"/>
      <c r="S164" s="221"/>
      <c r="T164" s="221"/>
      <c r="U164" s="389"/>
    </row>
    <row r="165" spans="1:21" s="319" customFormat="1" ht="18" customHeight="1" x14ac:dyDescent="0.25">
      <c r="A165" s="276">
        <v>7</v>
      </c>
      <c r="B165" s="305"/>
      <c r="C165" s="390" t="s">
        <v>102</v>
      </c>
      <c r="D165" s="363"/>
      <c r="E165" s="364" t="s">
        <v>103</v>
      </c>
      <c r="F165" s="307">
        <f t="shared" ref="F165:H168" si="78">+F166</f>
        <v>540210000</v>
      </c>
      <c r="G165" s="308">
        <f t="shared" si="78"/>
        <v>0</v>
      </c>
      <c r="H165" s="308">
        <f t="shared" si="78"/>
        <v>0</v>
      </c>
      <c r="I165" s="308">
        <f>+G165+H165</f>
        <v>0</v>
      </c>
      <c r="J165" s="308">
        <f>+J166</f>
        <v>0</v>
      </c>
      <c r="K165" s="308">
        <f t="shared" ref="J165:K168" si="79">+K166</f>
        <v>0</v>
      </c>
      <c r="L165" s="308">
        <f>+J165+K165</f>
        <v>0</v>
      </c>
      <c r="M165" s="308">
        <f>+I165+L165</f>
        <v>0</v>
      </c>
      <c r="N165" s="307">
        <f>+F165-M165</f>
        <v>540210000</v>
      </c>
      <c r="P165" s="320"/>
      <c r="R165" s="321"/>
      <c r="S165" s="349"/>
      <c r="T165" s="349"/>
      <c r="U165" s="350"/>
    </row>
    <row r="166" spans="1:21" s="329" customFormat="1" ht="18" customHeight="1" x14ac:dyDescent="0.25">
      <c r="A166" s="323"/>
      <c r="B166" s="324"/>
      <c r="C166" s="379"/>
      <c r="D166" s="325" t="s">
        <v>207</v>
      </c>
      <c r="E166" s="326" t="s">
        <v>262</v>
      </c>
      <c r="F166" s="327">
        <f t="shared" si="78"/>
        <v>540210000</v>
      </c>
      <c r="G166" s="328">
        <f t="shared" si="78"/>
        <v>0</v>
      </c>
      <c r="H166" s="328">
        <f t="shared" si="78"/>
        <v>0</v>
      </c>
      <c r="I166" s="328">
        <f>+G166+H166</f>
        <v>0</v>
      </c>
      <c r="J166" s="328">
        <f t="shared" si="79"/>
        <v>0</v>
      </c>
      <c r="K166" s="328">
        <f t="shared" si="79"/>
        <v>0</v>
      </c>
      <c r="L166" s="328">
        <f>+J166+K166</f>
        <v>0</v>
      </c>
      <c r="M166" s="328">
        <f t="shared" ref="M166:M169" si="80">+I166+L166</f>
        <v>0</v>
      </c>
      <c r="N166" s="327">
        <f>+F166-M166</f>
        <v>540210000</v>
      </c>
      <c r="P166" s="330"/>
      <c r="R166" s="331"/>
      <c r="S166" s="351"/>
      <c r="T166" s="351"/>
      <c r="U166" s="333"/>
    </row>
    <row r="167" spans="1:21" s="381" customFormat="1" ht="18" customHeight="1" x14ac:dyDescent="0.25">
      <c r="A167" s="380"/>
      <c r="B167" s="352"/>
      <c r="C167" s="334"/>
      <c r="D167" s="335" t="s">
        <v>63</v>
      </c>
      <c r="E167" s="335" t="s">
        <v>30</v>
      </c>
      <c r="F167" s="337">
        <f t="shared" si="78"/>
        <v>540210000</v>
      </c>
      <c r="G167" s="344">
        <f t="shared" si="78"/>
        <v>0</v>
      </c>
      <c r="H167" s="344">
        <f t="shared" si="78"/>
        <v>0</v>
      </c>
      <c r="I167" s="344">
        <f>+G167+H167</f>
        <v>0</v>
      </c>
      <c r="J167" s="344">
        <f t="shared" si="79"/>
        <v>0</v>
      </c>
      <c r="K167" s="344">
        <f t="shared" si="79"/>
        <v>0</v>
      </c>
      <c r="L167" s="344">
        <f>+J167+K167</f>
        <v>0</v>
      </c>
      <c r="M167" s="344">
        <f t="shared" si="80"/>
        <v>0</v>
      </c>
      <c r="N167" s="337">
        <f>+F167-M167</f>
        <v>540210000</v>
      </c>
      <c r="P167" s="340"/>
      <c r="S167" s="347"/>
      <c r="T167" s="347"/>
      <c r="U167" s="382"/>
    </row>
    <row r="168" spans="1:21" s="339" customFormat="1" ht="18" customHeight="1" x14ac:dyDescent="0.25">
      <c r="A168" s="334"/>
      <c r="B168" s="335"/>
      <c r="C168" s="334"/>
      <c r="D168" s="365" t="s">
        <v>263</v>
      </c>
      <c r="E168" s="335" t="s">
        <v>264</v>
      </c>
      <c r="F168" s="337">
        <f t="shared" si="78"/>
        <v>540210000</v>
      </c>
      <c r="G168" s="344">
        <f>+G169</f>
        <v>0</v>
      </c>
      <c r="H168" s="344">
        <f>+H169</f>
        <v>0</v>
      </c>
      <c r="I168" s="344">
        <f>+G168+H168</f>
        <v>0</v>
      </c>
      <c r="J168" s="344">
        <f t="shared" si="79"/>
        <v>0</v>
      </c>
      <c r="K168" s="344">
        <f t="shared" si="79"/>
        <v>0</v>
      </c>
      <c r="L168" s="344">
        <f>+J168+K168</f>
        <v>0</v>
      </c>
      <c r="M168" s="344">
        <f t="shared" si="80"/>
        <v>0</v>
      </c>
      <c r="N168" s="337">
        <f>+F168-M168</f>
        <v>540210000</v>
      </c>
      <c r="P168" s="340"/>
      <c r="S168" s="347"/>
      <c r="T168" s="347"/>
      <c r="U168" s="342"/>
    </row>
    <row r="169" spans="1:21" s="381" customFormat="1" ht="18" customHeight="1" x14ac:dyDescent="0.25">
      <c r="A169" s="380"/>
      <c r="B169" s="352"/>
      <c r="C169" s="334"/>
      <c r="D169" s="335" t="s">
        <v>64</v>
      </c>
      <c r="E169" s="335" t="s">
        <v>65</v>
      </c>
      <c r="F169" s="337">
        <f>SUM(F170:F172)</f>
        <v>540210000</v>
      </c>
      <c r="G169" s="344">
        <f>SUM(G170:G172)</f>
        <v>0</v>
      </c>
      <c r="H169" s="344">
        <f>SUM(H170:H172)</f>
        <v>0</v>
      </c>
      <c r="I169" s="344">
        <f>+G169+H169</f>
        <v>0</v>
      </c>
      <c r="J169" s="344">
        <f>SUM(J170:J172)</f>
        <v>0</v>
      </c>
      <c r="K169" s="344">
        <f>SUM(K170:K172)</f>
        <v>0</v>
      </c>
      <c r="L169" s="344">
        <f>+J169+K169</f>
        <v>0</v>
      </c>
      <c r="M169" s="344">
        <f t="shared" si="80"/>
        <v>0</v>
      </c>
      <c r="N169" s="337">
        <f>+F169-M169</f>
        <v>540210000</v>
      </c>
      <c r="P169" s="340"/>
      <c r="S169" s="347"/>
      <c r="T169" s="347"/>
      <c r="U169" s="382"/>
    </row>
    <row r="170" spans="1:21" s="381" customFormat="1" ht="18" customHeight="1" x14ac:dyDescent="0.25">
      <c r="A170" s="380"/>
      <c r="B170" s="352"/>
      <c r="C170" s="334"/>
      <c r="D170" s="335" t="s">
        <v>388</v>
      </c>
      <c r="E170" s="335" t="s">
        <v>389</v>
      </c>
      <c r="F170" s="337">
        <v>57760000</v>
      </c>
      <c r="G170" s="344"/>
      <c r="H170" s="344"/>
      <c r="I170" s="344">
        <f t="shared" ref="I170" si="81">+G170+H170</f>
        <v>0</v>
      </c>
      <c r="J170" s="344"/>
      <c r="K170" s="344"/>
      <c r="L170" s="344">
        <f t="shared" ref="L170:L172" si="82">+J170+K170</f>
        <v>0</v>
      </c>
      <c r="M170" s="344">
        <f>+I170+L170</f>
        <v>0</v>
      </c>
      <c r="N170" s="337">
        <f t="shared" ref="N170:N172" si="83">+F170-M170</f>
        <v>57760000</v>
      </c>
      <c r="P170" s="340"/>
      <c r="S170" s="346"/>
      <c r="T170" s="347"/>
      <c r="U170" s="382"/>
    </row>
    <row r="171" spans="1:21" s="381" customFormat="1" ht="18" customHeight="1" x14ac:dyDescent="0.25">
      <c r="A171" s="380"/>
      <c r="B171" s="352"/>
      <c r="C171" s="334"/>
      <c r="D171" s="335" t="s">
        <v>70</v>
      </c>
      <c r="E171" s="335" t="s">
        <v>33</v>
      </c>
      <c r="F171" s="337">
        <v>382450000</v>
      </c>
      <c r="G171" s="344"/>
      <c r="H171" s="344"/>
      <c r="I171" s="344">
        <f>+G171+H171</f>
        <v>0</v>
      </c>
      <c r="J171" s="344"/>
      <c r="K171" s="344"/>
      <c r="L171" s="344">
        <f t="shared" si="82"/>
        <v>0</v>
      </c>
      <c r="M171" s="344">
        <f t="shared" ref="M171:M172" si="84">+I171+L171</f>
        <v>0</v>
      </c>
      <c r="N171" s="337">
        <f t="shared" si="83"/>
        <v>382450000</v>
      </c>
      <c r="P171" s="340"/>
      <c r="S171" s="346"/>
      <c r="T171" s="347"/>
      <c r="U171" s="382"/>
    </row>
    <row r="172" spans="1:21" s="388" customFormat="1" ht="18" customHeight="1" x14ac:dyDescent="0.25">
      <c r="A172" s="386"/>
      <c r="B172" s="387"/>
      <c r="C172" s="353"/>
      <c r="D172" s="355" t="s">
        <v>104</v>
      </c>
      <c r="E172" s="355" t="s">
        <v>390</v>
      </c>
      <c r="F172" s="356">
        <v>100000000</v>
      </c>
      <c r="G172" s="357"/>
      <c r="H172" s="357"/>
      <c r="I172" s="357"/>
      <c r="J172" s="357">
        <v>0</v>
      </c>
      <c r="K172" s="357"/>
      <c r="L172" s="357">
        <f t="shared" si="82"/>
        <v>0</v>
      </c>
      <c r="M172" s="357">
        <f t="shared" si="84"/>
        <v>0</v>
      </c>
      <c r="N172" s="356">
        <f t="shared" si="83"/>
        <v>100000000</v>
      </c>
      <c r="P172" s="200"/>
      <c r="S172" s="221"/>
      <c r="T172" s="221"/>
      <c r="U172" s="389"/>
    </row>
    <row r="173" spans="1:21" s="319" customFormat="1" ht="18" customHeight="1" x14ac:dyDescent="0.25">
      <c r="A173" s="276">
        <v>8</v>
      </c>
      <c r="B173" s="305"/>
      <c r="C173" s="390" t="s">
        <v>105</v>
      </c>
      <c r="D173" s="363"/>
      <c r="E173" s="364" t="s">
        <v>106</v>
      </c>
      <c r="F173" s="307">
        <f t="shared" ref="F173:H180" si="85">+F174</f>
        <v>1600450000</v>
      </c>
      <c r="G173" s="308">
        <f t="shared" si="85"/>
        <v>0</v>
      </c>
      <c r="H173" s="308">
        <f>+H174</f>
        <v>0</v>
      </c>
      <c r="I173" s="308">
        <f>+G173+H173</f>
        <v>0</v>
      </c>
      <c r="J173" s="308">
        <f t="shared" ref="J173:K180" si="86">+J174</f>
        <v>0</v>
      </c>
      <c r="K173" s="308">
        <f t="shared" si="86"/>
        <v>0</v>
      </c>
      <c r="L173" s="308">
        <f>+J173+K173</f>
        <v>0</v>
      </c>
      <c r="M173" s="308">
        <f>+I173+L173</f>
        <v>0</v>
      </c>
      <c r="N173" s="307">
        <f>+F173-M173</f>
        <v>1600450000</v>
      </c>
      <c r="P173" s="320"/>
      <c r="R173" s="321"/>
      <c r="S173" s="349"/>
      <c r="T173" s="349"/>
      <c r="U173" s="350"/>
    </row>
    <row r="174" spans="1:21" s="329" customFormat="1" ht="18" customHeight="1" x14ac:dyDescent="0.25">
      <c r="A174" s="323"/>
      <c r="B174" s="324"/>
      <c r="C174" s="379"/>
      <c r="D174" s="325" t="s">
        <v>207</v>
      </c>
      <c r="E174" s="326" t="s">
        <v>262</v>
      </c>
      <c r="F174" s="327">
        <f>+F175</f>
        <v>1600450000</v>
      </c>
      <c r="G174" s="328">
        <f t="shared" si="85"/>
        <v>0</v>
      </c>
      <c r="H174" s="328">
        <f t="shared" si="85"/>
        <v>0</v>
      </c>
      <c r="I174" s="328">
        <f>+G174+H174</f>
        <v>0</v>
      </c>
      <c r="J174" s="328">
        <f t="shared" si="86"/>
        <v>0</v>
      </c>
      <c r="K174" s="328">
        <f t="shared" si="86"/>
        <v>0</v>
      </c>
      <c r="L174" s="328">
        <f>+J174+K174</f>
        <v>0</v>
      </c>
      <c r="M174" s="328">
        <f t="shared" ref="M174:M182" si="87">+I174+L174</f>
        <v>0</v>
      </c>
      <c r="N174" s="327">
        <f>+F174-M174</f>
        <v>1600450000</v>
      </c>
      <c r="P174" s="330"/>
      <c r="R174" s="331"/>
      <c r="S174" s="351"/>
      <c r="T174" s="351"/>
      <c r="U174" s="333"/>
    </row>
    <row r="175" spans="1:21" s="381" customFormat="1" ht="18" customHeight="1" x14ac:dyDescent="0.25">
      <c r="A175" s="380"/>
      <c r="B175" s="352"/>
      <c r="C175" s="334"/>
      <c r="D175" s="335" t="s">
        <v>63</v>
      </c>
      <c r="E175" s="335" t="s">
        <v>30</v>
      </c>
      <c r="F175" s="337">
        <f>+F180+F176</f>
        <v>1600450000</v>
      </c>
      <c r="G175" s="344">
        <f>+G180</f>
        <v>0</v>
      </c>
      <c r="H175" s="344">
        <f>+H180+H176</f>
        <v>0</v>
      </c>
      <c r="I175" s="344">
        <f>+G175+H175</f>
        <v>0</v>
      </c>
      <c r="J175" s="344">
        <f>+J180+J176</f>
        <v>0</v>
      </c>
      <c r="K175" s="344">
        <f>+K180+K176</f>
        <v>0</v>
      </c>
      <c r="L175" s="344">
        <f>+J175+K175</f>
        <v>0</v>
      </c>
      <c r="M175" s="344">
        <f t="shared" si="87"/>
        <v>0</v>
      </c>
      <c r="N175" s="337">
        <f>+F175-M175</f>
        <v>1600450000</v>
      </c>
      <c r="P175" s="340"/>
      <c r="S175" s="347"/>
      <c r="T175" s="347"/>
      <c r="U175" s="382"/>
    </row>
    <row r="176" spans="1:21" s="339" customFormat="1" ht="18" customHeight="1" x14ac:dyDescent="0.25">
      <c r="A176" s="334"/>
      <c r="B176" s="335"/>
      <c r="C176" s="334"/>
      <c r="D176" s="365" t="s">
        <v>263</v>
      </c>
      <c r="E176" s="335" t="s">
        <v>264</v>
      </c>
      <c r="F176" s="337">
        <f>+F177</f>
        <v>32500000</v>
      </c>
      <c r="G176" s="344">
        <f>+G177</f>
        <v>0</v>
      </c>
      <c r="H176" s="344">
        <f>+H177</f>
        <v>0</v>
      </c>
      <c r="I176" s="344">
        <f>+G176+H176</f>
        <v>0</v>
      </c>
      <c r="J176" s="344">
        <f t="shared" si="86"/>
        <v>0</v>
      </c>
      <c r="K176" s="344">
        <f t="shared" si="86"/>
        <v>0</v>
      </c>
      <c r="L176" s="344">
        <f>+J176+K176</f>
        <v>0</v>
      </c>
      <c r="M176" s="344">
        <f t="shared" si="87"/>
        <v>0</v>
      </c>
      <c r="N176" s="337">
        <f>+F176-M176</f>
        <v>32500000</v>
      </c>
      <c r="P176" s="340"/>
      <c r="S176" s="347"/>
      <c r="T176" s="347"/>
      <c r="U176" s="342"/>
    </row>
    <row r="177" spans="1:21" s="381" customFormat="1" ht="18" customHeight="1" x14ac:dyDescent="0.25">
      <c r="A177" s="380"/>
      <c r="B177" s="352"/>
      <c r="C177" s="334"/>
      <c r="D177" s="335" t="s">
        <v>64</v>
      </c>
      <c r="E177" s="335" t="s">
        <v>65</v>
      </c>
      <c r="F177" s="337">
        <f>+F179+F178</f>
        <v>32500000</v>
      </c>
      <c r="G177" s="344">
        <f>+G179</f>
        <v>0</v>
      </c>
      <c r="H177" s="344">
        <f>SUM(H179)</f>
        <v>0</v>
      </c>
      <c r="I177" s="344">
        <f>+G177+H177</f>
        <v>0</v>
      </c>
      <c r="J177" s="344">
        <f>+J179</f>
        <v>0</v>
      </c>
      <c r="K177" s="344">
        <f>+K179</f>
        <v>0</v>
      </c>
      <c r="L177" s="344">
        <f>+J177+K177</f>
        <v>0</v>
      </c>
      <c r="M177" s="344">
        <f t="shared" si="87"/>
        <v>0</v>
      </c>
      <c r="N177" s="337">
        <f>+F177-M177</f>
        <v>32500000</v>
      </c>
      <c r="P177" s="340"/>
      <c r="S177" s="347"/>
      <c r="T177" s="347"/>
      <c r="U177" s="382"/>
    </row>
    <row r="178" spans="1:21" s="381" customFormat="1" ht="18" customHeight="1" x14ac:dyDescent="0.25">
      <c r="A178" s="380"/>
      <c r="B178" s="352"/>
      <c r="C178" s="334"/>
      <c r="D178" s="335" t="s">
        <v>443</v>
      </c>
      <c r="E178" s="335" t="s">
        <v>444</v>
      </c>
      <c r="F178" s="337">
        <v>17500000</v>
      </c>
      <c r="G178" s="344"/>
      <c r="H178" s="344"/>
      <c r="I178" s="344">
        <f t="shared" ref="I178:I179" si="88">+G178+H178</f>
        <v>0</v>
      </c>
      <c r="J178" s="344"/>
      <c r="K178" s="344"/>
      <c r="L178" s="344">
        <f t="shared" ref="L178:L179" si="89">+J178+K178</f>
        <v>0</v>
      </c>
      <c r="M178" s="344">
        <f t="shared" si="87"/>
        <v>0</v>
      </c>
      <c r="N178" s="337">
        <f t="shared" ref="N178:N179" si="90">+F178-M178</f>
        <v>17500000</v>
      </c>
      <c r="P178" s="340"/>
      <c r="S178" s="347"/>
      <c r="T178" s="347"/>
      <c r="U178" s="382"/>
    </row>
    <row r="179" spans="1:21" s="381" customFormat="1" ht="18" customHeight="1" x14ac:dyDescent="0.25">
      <c r="A179" s="380"/>
      <c r="B179" s="352"/>
      <c r="C179" s="334"/>
      <c r="D179" s="335" t="s">
        <v>447</v>
      </c>
      <c r="E179" s="335" t="s">
        <v>448</v>
      </c>
      <c r="F179" s="337">
        <v>15000000</v>
      </c>
      <c r="G179" s="344"/>
      <c r="H179" s="344"/>
      <c r="I179" s="344">
        <f t="shared" si="88"/>
        <v>0</v>
      </c>
      <c r="J179" s="344"/>
      <c r="K179" s="344"/>
      <c r="L179" s="344">
        <f t="shared" si="89"/>
        <v>0</v>
      </c>
      <c r="M179" s="344">
        <f t="shared" si="87"/>
        <v>0</v>
      </c>
      <c r="N179" s="337">
        <f t="shared" si="90"/>
        <v>15000000</v>
      </c>
      <c r="P179" s="340"/>
      <c r="S179" s="347"/>
      <c r="T179" s="347"/>
      <c r="U179" s="382"/>
    </row>
    <row r="180" spans="1:21" s="339" customFormat="1" ht="18" customHeight="1" x14ac:dyDescent="0.25">
      <c r="A180" s="334"/>
      <c r="B180" s="335"/>
      <c r="C180" s="334"/>
      <c r="D180" s="365" t="s">
        <v>265</v>
      </c>
      <c r="E180" s="335" t="s">
        <v>266</v>
      </c>
      <c r="F180" s="337">
        <f t="shared" si="85"/>
        <v>1567950000</v>
      </c>
      <c r="G180" s="344">
        <f>+G181</f>
        <v>0</v>
      </c>
      <c r="H180" s="344">
        <f>+H181</f>
        <v>0</v>
      </c>
      <c r="I180" s="344">
        <f>+G180+H180</f>
        <v>0</v>
      </c>
      <c r="J180" s="344">
        <f t="shared" si="86"/>
        <v>0</v>
      </c>
      <c r="K180" s="344">
        <f t="shared" si="86"/>
        <v>0</v>
      </c>
      <c r="L180" s="344">
        <f>+J180+K180</f>
        <v>0</v>
      </c>
      <c r="M180" s="344">
        <f t="shared" si="87"/>
        <v>0</v>
      </c>
      <c r="N180" s="337">
        <f>+F180-M180</f>
        <v>1567950000</v>
      </c>
      <c r="P180" s="340"/>
      <c r="S180" s="347"/>
      <c r="T180" s="347"/>
      <c r="U180" s="342"/>
    </row>
    <row r="181" spans="1:21" s="381" customFormat="1" ht="18" customHeight="1" x14ac:dyDescent="0.25">
      <c r="A181" s="380"/>
      <c r="B181" s="352"/>
      <c r="C181" s="334"/>
      <c r="D181" s="335" t="s">
        <v>71</v>
      </c>
      <c r="E181" s="335" t="s">
        <v>72</v>
      </c>
      <c r="F181" s="337">
        <f>SUM(F182:F183)</f>
        <v>1567950000</v>
      </c>
      <c r="G181" s="344">
        <f>SUM(G182:G183)</f>
        <v>0</v>
      </c>
      <c r="H181" s="344">
        <f>SUM(H182:H183)</f>
        <v>0</v>
      </c>
      <c r="I181" s="344">
        <f>+G181+H181</f>
        <v>0</v>
      </c>
      <c r="J181" s="344">
        <f>SUM(J182:J183)</f>
        <v>0</v>
      </c>
      <c r="K181" s="344">
        <f>SUM(K182:K183)</f>
        <v>0</v>
      </c>
      <c r="L181" s="344">
        <f>+J181+K181</f>
        <v>0</v>
      </c>
      <c r="M181" s="344">
        <f t="shared" si="87"/>
        <v>0</v>
      </c>
      <c r="N181" s="337">
        <f>+F181-M181</f>
        <v>1567950000</v>
      </c>
      <c r="P181" s="340"/>
      <c r="S181" s="347"/>
      <c r="T181" s="347"/>
      <c r="U181" s="382"/>
    </row>
    <row r="182" spans="1:21" s="381" customFormat="1" ht="18" customHeight="1" x14ac:dyDescent="0.25">
      <c r="A182" s="380"/>
      <c r="B182" s="352"/>
      <c r="C182" s="334"/>
      <c r="D182" s="335" t="s">
        <v>73</v>
      </c>
      <c r="E182" s="335" t="s">
        <v>74</v>
      </c>
      <c r="F182" s="337">
        <v>1501270000</v>
      </c>
      <c r="G182" s="344"/>
      <c r="H182" s="344"/>
      <c r="I182" s="344">
        <f t="shared" ref="I182" si="91">+G182+H182</f>
        <v>0</v>
      </c>
      <c r="J182" s="344"/>
      <c r="K182" s="344"/>
      <c r="L182" s="344">
        <f t="shared" ref="L182:L193" si="92">+J182+K182</f>
        <v>0</v>
      </c>
      <c r="M182" s="344">
        <f t="shared" si="87"/>
        <v>0</v>
      </c>
      <c r="N182" s="337">
        <f t="shared" ref="N182:N183" si="93">+F182-M182</f>
        <v>1501270000</v>
      </c>
      <c r="P182" s="340"/>
      <c r="S182" s="346"/>
      <c r="T182" s="346"/>
      <c r="U182" s="382"/>
    </row>
    <row r="183" spans="1:21" s="388" customFormat="1" ht="18" customHeight="1" x14ac:dyDescent="0.25">
      <c r="A183" s="386"/>
      <c r="B183" s="387"/>
      <c r="C183" s="353"/>
      <c r="D183" s="355" t="s">
        <v>88</v>
      </c>
      <c r="E183" s="355" t="s">
        <v>89</v>
      </c>
      <c r="F183" s="356">
        <v>66680000</v>
      </c>
      <c r="G183" s="357"/>
      <c r="H183" s="357"/>
      <c r="I183" s="357"/>
      <c r="J183" s="357"/>
      <c r="K183" s="357"/>
      <c r="L183" s="357">
        <f t="shared" si="92"/>
        <v>0</v>
      </c>
      <c r="M183" s="357">
        <f>+I183+L183</f>
        <v>0</v>
      </c>
      <c r="N183" s="356">
        <f t="shared" si="93"/>
        <v>66680000</v>
      </c>
      <c r="P183" s="200"/>
      <c r="S183" s="358"/>
      <c r="T183" s="221"/>
      <c r="U183" s="389"/>
    </row>
    <row r="184" spans="1:21" s="319" customFormat="1" ht="18" customHeight="1" x14ac:dyDescent="0.25">
      <c r="A184" s="276">
        <v>9</v>
      </c>
      <c r="B184" s="305"/>
      <c r="C184" s="390" t="s">
        <v>109</v>
      </c>
      <c r="D184" s="363"/>
      <c r="E184" s="364" t="s">
        <v>110</v>
      </c>
      <c r="F184" s="307">
        <f>+F185+F201</f>
        <v>200844000</v>
      </c>
      <c r="G184" s="308">
        <f>+G185+G201</f>
        <v>0</v>
      </c>
      <c r="H184" s="308">
        <f>+H185+H201</f>
        <v>0</v>
      </c>
      <c r="I184" s="308">
        <f>+G184+H184</f>
        <v>0</v>
      </c>
      <c r="J184" s="308">
        <f>+J185+J201</f>
        <v>0</v>
      </c>
      <c r="K184" s="308">
        <f>+K185+K201</f>
        <v>6240000</v>
      </c>
      <c r="L184" s="308">
        <f t="shared" si="92"/>
        <v>6240000</v>
      </c>
      <c r="M184" s="308">
        <f>+I184+L184</f>
        <v>6240000</v>
      </c>
      <c r="N184" s="307">
        <f>+F184-M184</f>
        <v>194604000</v>
      </c>
      <c r="P184" s="320"/>
      <c r="R184" s="321"/>
      <c r="S184" s="349"/>
      <c r="T184" s="349"/>
      <c r="U184" s="350"/>
    </row>
    <row r="185" spans="1:21" s="329" customFormat="1" ht="18" customHeight="1" x14ac:dyDescent="0.25">
      <c r="A185" s="323"/>
      <c r="B185" s="324"/>
      <c r="C185" s="379"/>
      <c r="D185" s="325" t="s">
        <v>207</v>
      </c>
      <c r="E185" s="326" t="s">
        <v>262</v>
      </c>
      <c r="F185" s="327">
        <f>+F186</f>
        <v>174844000</v>
      </c>
      <c r="G185" s="328">
        <f>+G186</f>
        <v>0</v>
      </c>
      <c r="H185" s="328">
        <f>+H186</f>
        <v>0</v>
      </c>
      <c r="I185" s="328">
        <f>+G185+H185</f>
        <v>0</v>
      </c>
      <c r="J185" s="328">
        <f>+J186</f>
        <v>0</v>
      </c>
      <c r="K185" s="328">
        <f>+K186</f>
        <v>6240000</v>
      </c>
      <c r="L185" s="328">
        <f t="shared" si="92"/>
        <v>6240000</v>
      </c>
      <c r="M185" s="328">
        <f>+I185+L185</f>
        <v>6240000</v>
      </c>
      <c r="N185" s="327">
        <f>+F185-M185</f>
        <v>168604000</v>
      </c>
      <c r="P185" s="330"/>
      <c r="R185" s="331"/>
      <c r="S185" s="351"/>
      <c r="T185" s="351"/>
      <c r="U185" s="333"/>
    </row>
    <row r="186" spans="1:21" s="381" customFormat="1" ht="18" customHeight="1" x14ac:dyDescent="0.25">
      <c r="A186" s="380"/>
      <c r="B186" s="352"/>
      <c r="C186" s="334"/>
      <c r="D186" s="335" t="s">
        <v>63</v>
      </c>
      <c r="E186" s="335" t="s">
        <v>30</v>
      </c>
      <c r="F186" s="337">
        <f>+F187+F194+F198</f>
        <v>174844000</v>
      </c>
      <c r="G186" s="344">
        <f>+G187+G194</f>
        <v>0</v>
      </c>
      <c r="H186" s="344">
        <f>+H187+H194</f>
        <v>0</v>
      </c>
      <c r="I186" s="344">
        <f>+G186+H186</f>
        <v>0</v>
      </c>
      <c r="J186" s="344">
        <f>+J187+J194</f>
        <v>0</v>
      </c>
      <c r="K186" s="344">
        <f>+K187+K194</f>
        <v>6240000</v>
      </c>
      <c r="L186" s="344">
        <f t="shared" si="92"/>
        <v>6240000</v>
      </c>
      <c r="M186" s="344">
        <f t="shared" ref="M186:M196" si="94">+I186+L186</f>
        <v>6240000</v>
      </c>
      <c r="N186" s="337">
        <f>+F186-M186</f>
        <v>168604000</v>
      </c>
      <c r="P186" s="340"/>
      <c r="S186" s="347"/>
      <c r="T186" s="347"/>
      <c r="U186" s="382"/>
    </row>
    <row r="187" spans="1:21" s="339" customFormat="1" ht="18" customHeight="1" x14ac:dyDescent="0.25">
      <c r="A187" s="334"/>
      <c r="B187" s="335"/>
      <c r="C187" s="334"/>
      <c r="D187" s="365" t="s">
        <v>263</v>
      </c>
      <c r="E187" s="335" t="s">
        <v>264</v>
      </c>
      <c r="F187" s="337">
        <f t="shared" ref="F187" si="95">+F188</f>
        <v>44044000</v>
      </c>
      <c r="G187" s="344">
        <f>+G188</f>
        <v>0</v>
      </c>
      <c r="H187" s="344">
        <f>+H188</f>
        <v>0</v>
      </c>
      <c r="I187" s="344">
        <f>+G187+H187</f>
        <v>0</v>
      </c>
      <c r="J187" s="344">
        <f>+J188</f>
        <v>0</v>
      </c>
      <c r="K187" s="344">
        <f>+K188</f>
        <v>0</v>
      </c>
      <c r="L187" s="344">
        <f t="shared" si="92"/>
        <v>0</v>
      </c>
      <c r="M187" s="344">
        <f t="shared" si="94"/>
        <v>0</v>
      </c>
      <c r="N187" s="337">
        <f>+F187-M187</f>
        <v>44044000</v>
      </c>
      <c r="P187" s="340"/>
      <c r="S187" s="347"/>
      <c r="T187" s="347"/>
      <c r="U187" s="342"/>
    </row>
    <row r="188" spans="1:21" s="381" customFormat="1" ht="18" customHeight="1" x14ac:dyDescent="0.25">
      <c r="A188" s="380"/>
      <c r="B188" s="352"/>
      <c r="C188" s="334"/>
      <c r="D188" s="335" t="s">
        <v>64</v>
      </c>
      <c r="E188" s="335" t="s">
        <v>65</v>
      </c>
      <c r="F188" s="337">
        <f>SUM(F189:F193)</f>
        <v>44044000</v>
      </c>
      <c r="G188" s="344">
        <f>SUM(G189:G193)</f>
        <v>0</v>
      </c>
      <c r="H188" s="344">
        <f>SUM(H189:H193)</f>
        <v>0</v>
      </c>
      <c r="I188" s="344">
        <f>+G188+H188</f>
        <v>0</v>
      </c>
      <c r="J188" s="344">
        <f>SUM(J189:J193)</f>
        <v>0</v>
      </c>
      <c r="K188" s="344">
        <f>SUM(K189:K193)</f>
        <v>0</v>
      </c>
      <c r="L188" s="344">
        <f t="shared" si="92"/>
        <v>0</v>
      </c>
      <c r="M188" s="344">
        <f t="shared" si="94"/>
        <v>0</v>
      </c>
      <c r="N188" s="337">
        <f>+F188-M188</f>
        <v>44044000</v>
      </c>
      <c r="P188" s="340"/>
      <c r="S188" s="347"/>
      <c r="T188" s="347"/>
      <c r="U188" s="382"/>
    </row>
    <row r="189" spans="1:21" s="381" customFormat="1" ht="18" customHeight="1" x14ac:dyDescent="0.25">
      <c r="A189" s="380"/>
      <c r="B189" s="352"/>
      <c r="C189" s="334"/>
      <c r="D189" s="335" t="s">
        <v>66</v>
      </c>
      <c r="E189" s="335" t="s">
        <v>67</v>
      </c>
      <c r="F189" s="337">
        <v>24037500</v>
      </c>
      <c r="G189" s="344"/>
      <c r="H189" s="344"/>
      <c r="I189" s="344">
        <f t="shared" ref="I189" si="96">+G189+H189</f>
        <v>0</v>
      </c>
      <c r="J189" s="344"/>
      <c r="K189" s="344"/>
      <c r="L189" s="344">
        <f t="shared" si="92"/>
        <v>0</v>
      </c>
      <c r="M189" s="357">
        <f t="shared" si="94"/>
        <v>0</v>
      </c>
      <c r="N189" s="337">
        <f t="shared" ref="N189:N193" si="97">+F189-M189</f>
        <v>24037500</v>
      </c>
      <c r="P189" s="340"/>
      <c r="S189" s="347"/>
      <c r="T189" s="347"/>
      <c r="U189" s="382"/>
    </row>
    <row r="190" spans="1:21" s="381" customFormat="1" ht="18" customHeight="1" x14ac:dyDescent="0.25">
      <c r="A190" s="380"/>
      <c r="B190" s="352"/>
      <c r="C190" s="334"/>
      <c r="D190" s="335" t="s">
        <v>337</v>
      </c>
      <c r="E190" s="335" t="s">
        <v>338</v>
      </c>
      <c r="F190" s="337">
        <v>12104000</v>
      </c>
      <c r="G190" s="344"/>
      <c r="H190" s="344"/>
      <c r="I190" s="344"/>
      <c r="J190" s="344"/>
      <c r="K190" s="344"/>
      <c r="L190" s="344">
        <f t="shared" si="92"/>
        <v>0</v>
      </c>
      <c r="M190" s="357">
        <f t="shared" si="94"/>
        <v>0</v>
      </c>
      <c r="N190" s="337">
        <f t="shared" si="97"/>
        <v>12104000</v>
      </c>
      <c r="P190" s="340"/>
      <c r="S190" s="347"/>
      <c r="T190" s="347"/>
      <c r="U190" s="382"/>
    </row>
    <row r="191" spans="1:21" s="381" customFormat="1" ht="18" customHeight="1" x14ac:dyDescent="0.25">
      <c r="A191" s="380"/>
      <c r="B191" s="352"/>
      <c r="C191" s="334"/>
      <c r="D191" s="335" t="s">
        <v>367</v>
      </c>
      <c r="E191" s="335" t="s">
        <v>368</v>
      </c>
      <c r="F191" s="337">
        <v>3142500</v>
      </c>
      <c r="G191" s="344"/>
      <c r="H191" s="344"/>
      <c r="I191" s="344"/>
      <c r="J191" s="344"/>
      <c r="K191" s="344"/>
      <c r="L191" s="344">
        <f t="shared" si="92"/>
        <v>0</v>
      </c>
      <c r="M191" s="357">
        <f t="shared" si="94"/>
        <v>0</v>
      </c>
      <c r="N191" s="337">
        <f t="shared" si="97"/>
        <v>3142500</v>
      </c>
      <c r="P191" s="340"/>
      <c r="S191" s="347"/>
      <c r="T191" s="347"/>
      <c r="U191" s="382"/>
    </row>
    <row r="192" spans="1:21" s="381" customFormat="1" ht="18" customHeight="1" x14ac:dyDescent="0.25">
      <c r="A192" s="380"/>
      <c r="B192" s="352"/>
      <c r="C192" s="334"/>
      <c r="D192" s="335" t="s">
        <v>373</v>
      </c>
      <c r="E192" s="335" t="s">
        <v>392</v>
      </c>
      <c r="F192" s="337">
        <v>560000</v>
      </c>
      <c r="G192" s="344"/>
      <c r="H192" s="344"/>
      <c r="I192" s="344"/>
      <c r="J192" s="344"/>
      <c r="K192" s="344"/>
      <c r="L192" s="344">
        <f t="shared" si="92"/>
        <v>0</v>
      </c>
      <c r="M192" s="357">
        <f t="shared" si="94"/>
        <v>0</v>
      </c>
      <c r="N192" s="337">
        <f t="shared" si="97"/>
        <v>560000</v>
      </c>
      <c r="P192" s="340"/>
      <c r="S192" s="347"/>
      <c r="T192" s="347"/>
      <c r="U192" s="382"/>
    </row>
    <row r="193" spans="1:21" s="381" customFormat="1" ht="18" customHeight="1" x14ac:dyDescent="0.25">
      <c r="A193" s="380"/>
      <c r="B193" s="352"/>
      <c r="C193" s="334"/>
      <c r="D193" s="335" t="s">
        <v>70</v>
      </c>
      <c r="E193" s="335" t="s">
        <v>33</v>
      </c>
      <c r="F193" s="337">
        <v>4200000</v>
      </c>
      <c r="G193" s="344"/>
      <c r="H193" s="344"/>
      <c r="I193" s="344"/>
      <c r="J193" s="344"/>
      <c r="K193" s="344"/>
      <c r="L193" s="344">
        <f t="shared" si="92"/>
        <v>0</v>
      </c>
      <c r="M193" s="357">
        <f t="shared" si="94"/>
        <v>0</v>
      </c>
      <c r="N193" s="337">
        <f t="shared" si="97"/>
        <v>4200000</v>
      </c>
      <c r="P193" s="340"/>
      <c r="S193" s="347"/>
      <c r="T193" s="347"/>
      <c r="U193" s="382"/>
    </row>
    <row r="194" spans="1:21" s="339" customFormat="1" ht="18" customHeight="1" x14ac:dyDescent="0.25">
      <c r="A194" s="334"/>
      <c r="B194" s="335"/>
      <c r="C194" s="334"/>
      <c r="D194" s="365" t="s">
        <v>271</v>
      </c>
      <c r="E194" s="335" t="s">
        <v>272</v>
      </c>
      <c r="F194" s="337">
        <f t="shared" ref="F194" si="98">+F195</f>
        <v>78300000</v>
      </c>
      <c r="G194" s="344">
        <f>+G195</f>
        <v>0</v>
      </c>
      <c r="H194" s="344">
        <f>+H195</f>
        <v>0</v>
      </c>
      <c r="I194" s="344">
        <f>+G194+H194</f>
        <v>0</v>
      </c>
      <c r="J194" s="344">
        <f>+J195</f>
        <v>0</v>
      </c>
      <c r="K194" s="344">
        <f>+K195</f>
        <v>6240000</v>
      </c>
      <c r="L194" s="344">
        <f>+J194+K194</f>
        <v>6240000</v>
      </c>
      <c r="M194" s="344">
        <f t="shared" si="94"/>
        <v>6240000</v>
      </c>
      <c r="N194" s="337">
        <f>+F194-M194</f>
        <v>72060000</v>
      </c>
      <c r="P194" s="340"/>
      <c r="S194" s="347"/>
      <c r="T194" s="347"/>
      <c r="U194" s="342"/>
    </row>
    <row r="195" spans="1:21" s="381" customFormat="1" ht="18" customHeight="1" x14ac:dyDescent="0.25">
      <c r="A195" s="380"/>
      <c r="B195" s="352"/>
      <c r="C195" s="334"/>
      <c r="D195" s="335" t="s">
        <v>81</v>
      </c>
      <c r="E195" s="335" t="s">
        <v>31</v>
      </c>
      <c r="F195" s="337">
        <f>SUM(F196:F197)</f>
        <v>78300000</v>
      </c>
      <c r="G195" s="344">
        <f>SUM(G197:G197)</f>
        <v>0</v>
      </c>
      <c r="H195" s="344">
        <f>+H197</f>
        <v>0</v>
      </c>
      <c r="I195" s="344">
        <f>+G195+H195</f>
        <v>0</v>
      </c>
      <c r="J195" s="344">
        <f>SUM(J197:J197)</f>
        <v>0</v>
      </c>
      <c r="K195" s="344">
        <f>+K197</f>
        <v>6240000</v>
      </c>
      <c r="L195" s="344">
        <f>+J195+K195</f>
        <v>6240000</v>
      </c>
      <c r="M195" s="344">
        <f t="shared" si="94"/>
        <v>6240000</v>
      </c>
      <c r="N195" s="337">
        <f>+F195-M195</f>
        <v>72060000</v>
      </c>
      <c r="P195" s="340"/>
      <c r="S195" s="347"/>
      <c r="T195" s="347"/>
      <c r="U195" s="382"/>
    </row>
    <row r="196" spans="1:21" s="381" customFormat="1" ht="18" customHeight="1" x14ac:dyDescent="0.25">
      <c r="A196" s="380"/>
      <c r="B196" s="352"/>
      <c r="C196" s="334"/>
      <c r="D196" s="335" t="s">
        <v>451</v>
      </c>
      <c r="E196" s="335" t="s">
        <v>452</v>
      </c>
      <c r="F196" s="337">
        <v>1500000</v>
      </c>
      <c r="G196" s="344"/>
      <c r="H196" s="344"/>
      <c r="I196" s="344">
        <f t="shared" ref="I196" si="99">+G196+H196</f>
        <v>0</v>
      </c>
      <c r="J196" s="344"/>
      <c r="K196" s="344"/>
      <c r="L196" s="344">
        <f t="shared" ref="L196" si="100">+J196+K196</f>
        <v>0</v>
      </c>
      <c r="M196" s="344">
        <f t="shared" si="94"/>
        <v>0</v>
      </c>
      <c r="N196" s="337">
        <f t="shared" ref="N196:N197" si="101">+F196-M196</f>
        <v>1500000</v>
      </c>
      <c r="P196" s="340"/>
      <c r="S196" s="347"/>
      <c r="T196" s="347"/>
      <c r="U196" s="382"/>
    </row>
    <row r="197" spans="1:21" s="381" customFormat="1" ht="18" customHeight="1" x14ac:dyDescent="0.25">
      <c r="A197" s="380"/>
      <c r="B197" s="352"/>
      <c r="C197" s="334"/>
      <c r="D197" s="335" t="s">
        <v>82</v>
      </c>
      <c r="E197" s="335" t="s">
        <v>83</v>
      </c>
      <c r="F197" s="337">
        <v>76800000</v>
      </c>
      <c r="G197" s="344"/>
      <c r="H197" s="344"/>
      <c r="I197" s="344">
        <f>+G197+H197</f>
        <v>0</v>
      </c>
      <c r="J197" s="344"/>
      <c r="K197" s="344">
        <v>6240000</v>
      </c>
      <c r="L197" s="344">
        <f>+J197+K197</f>
        <v>6240000</v>
      </c>
      <c r="M197" s="344">
        <f>+I197+L197</f>
        <v>6240000</v>
      </c>
      <c r="N197" s="337">
        <f t="shared" si="101"/>
        <v>70560000</v>
      </c>
      <c r="P197" s="340"/>
      <c r="S197" s="346"/>
      <c r="T197" s="347"/>
      <c r="U197" s="382"/>
    </row>
    <row r="198" spans="1:21" s="339" customFormat="1" ht="18" customHeight="1" x14ac:dyDescent="0.25">
      <c r="A198" s="334"/>
      <c r="B198" s="335"/>
      <c r="C198" s="334"/>
      <c r="D198" s="365" t="s">
        <v>275</v>
      </c>
      <c r="E198" s="335" t="s">
        <v>276</v>
      </c>
      <c r="F198" s="337">
        <f>+F199</f>
        <v>52500000</v>
      </c>
      <c r="G198" s="344">
        <f>+G199</f>
        <v>0</v>
      </c>
      <c r="H198" s="344">
        <f>+H199</f>
        <v>0</v>
      </c>
      <c r="I198" s="344">
        <f>+G198+H198</f>
        <v>0</v>
      </c>
      <c r="J198" s="344">
        <f>+J199</f>
        <v>0</v>
      </c>
      <c r="K198" s="344">
        <f>+K199</f>
        <v>0</v>
      </c>
      <c r="L198" s="344">
        <f>+J198+K198</f>
        <v>0</v>
      </c>
      <c r="M198" s="344">
        <f t="shared" ref="M198:M205" si="102">+I198+L198</f>
        <v>0</v>
      </c>
      <c r="N198" s="337">
        <f>+F198-M198</f>
        <v>52500000</v>
      </c>
      <c r="P198" s="340"/>
      <c r="S198" s="347"/>
      <c r="T198" s="347"/>
      <c r="U198" s="342"/>
    </row>
    <row r="199" spans="1:21" s="381" customFormat="1" ht="18" customHeight="1" x14ac:dyDescent="0.25">
      <c r="A199" s="380"/>
      <c r="B199" s="352"/>
      <c r="C199" s="334"/>
      <c r="D199" s="335" t="s">
        <v>150</v>
      </c>
      <c r="E199" s="335" t="s">
        <v>32</v>
      </c>
      <c r="F199" s="337">
        <f>+F200</f>
        <v>52500000</v>
      </c>
      <c r="G199" s="344">
        <f>SUM(G201:G201)</f>
        <v>0</v>
      </c>
      <c r="H199" s="344">
        <f>+H201</f>
        <v>0</v>
      </c>
      <c r="I199" s="344">
        <f>+G199+H199</f>
        <v>0</v>
      </c>
      <c r="J199" s="344">
        <f>SUM(J201:J201)</f>
        <v>0</v>
      </c>
      <c r="K199" s="344">
        <f>+K201</f>
        <v>0</v>
      </c>
      <c r="L199" s="344">
        <f>+J199+K199</f>
        <v>0</v>
      </c>
      <c r="M199" s="344">
        <f t="shared" si="102"/>
        <v>0</v>
      </c>
      <c r="N199" s="337">
        <f>+F199-M199</f>
        <v>52500000</v>
      </c>
      <c r="P199" s="340"/>
      <c r="S199" s="347"/>
      <c r="T199" s="347"/>
      <c r="U199" s="382"/>
    </row>
    <row r="200" spans="1:21" s="381" customFormat="1" ht="36" customHeight="1" x14ac:dyDescent="0.25">
      <c r="A200" s="380"/>
      <c r="B200" s="352"/>
      <c r="C200" s="334"/>
      <c r="D200" s="335" t="s">
        <v>462</v>
      </c>
      <c r="E200" s="391" t="s">
        <v>463</v>
      </c>
      <c r="F200" s="337">
        <v>52500000</v>
      </c>
      <c r="G200" s="344"/>
      <c r="H200" s="344"/>
      <c r="I200" s="344">
        <f t="shared" ref="I200" si="103">+G200+H200</f>
        <v>0</v>
      </c>
      <c r="J200" s="344"/>
      <c r="K200" s="344"/>
      <c r="L200" s="344">
        <f t="shared" ref="L200" si="104">+J200+K200</f>
        <v>0</v>
      </c>
      <c r="M200" s="344">
        <f t="shared" si="102"/>
        <v>0</v>
      </c>
      <c r="N200" s="337">
        <f t="shared" ref="N200" si="105">+F200-M200</f>
        <v>52500000</v>
      </c>
      <c r="P200" s="340"/>
      <c r="S200" s="347"/>
      <c r="T200" s="347"/>
      <c r="U200" s="382"/>
    </row>
    <row r="201" spans="1:21" s="381" customFormat="1" ht="18" customHeight="1" x14ac:dyDescent="0.25">
      <c r="A201" s="380"/>
      <c r="B201" s="383"/>
      <c r="C201" s="384"/>
      <c r="D201" s="365" t="s">
        <v>267</v>
      </c>
      <c r="E201" s="335" t="s">
        <v>268</v>
      </c>
      <c r="F201" s="337">
        <f t="shared" ref="F201:H203" si="106">+F202</f>
        <v>26000000</v>
      </c>
      <c r="G201" s="344">
        <f t="shared" si="106"/>
        <v>0</v>
      </c>
      <c r="H201" s="344">
        <f t="shared" si="106"/>
        <v>0</v>
      </c>
      <c r="I201" s="344">
        <f>+G201+H201</f>
        <v>0</v>
      </c>
      <c r="J201" s="344">
        <f t="shared" ref="J201:K204" si="107">+J202</f>
        <v>0</v>
      </c>
      <c r="K201" s="344">
        <f t="shared" si="107"/>
        <v>0</v>
      </c>
      <c r="L201" s="344">
        <f>+J201+K201</f>
        <v>0</v>
      </c>
      <c r="M201" s="344">
        <f t="shared" si="102"/>
        <v>0</v>
      </c>
      <c r="N201" s="337">
        <f>+F201-M201</f>
        <v>26000000</v>
      </c>
      <c r="P201" s="340"/>
      <c r="R201" s="385"/>
      <c r="S201" s="347"/>
      <c r="T201" s="347"/>
      <c r="U201" s="382"/>
    </row>
    <row r="202" spans="1:21" s="381" customFormat="1" ht="18" customHeight="1" x14ac:dyDescent="0.25">
      <c r="A202" s="380"/>
      <c r="B202" s="352"/>
      <c r="C202" s="334"/>
      <c r="D202" s="335" t="s">
        <v>78</v>
      </c>
      <c r="E202" s="335" t="s">
        <v>75</v>
      </c>
      <c r="F202" s="337">
        <f t="shared" si="106"/>
        <v>26000000</v>
      </c>
      <c r="G202" s="344">
        <f t="shared" si="106"/>
        <v>0</v>
      </c>
      <c r="H202" s="344">
        <f t="shared" si="106"/>
        <v>0</v>
      </c>
      <c r="I202" s="344">
        <f t="shared" ref="I202:I205" si="108">+G202+H202</f>
        <v>0</v>
      </c>
      <c r="J202" s="344">
        <f t="shared" si="107"/>
        <v>0</v>
      </c>
      <c r="K202" s="344">
        <f t="shared" si="107"/>
        <v>0</v>
      </c>
      <c r="L202" s="344">
        <f t="shared" ref="L202:L203" si="109">+J202+K202</f>
        <v>0</v>
      </c>
      <c r="M202" s="344">
        <f t="shared" si="102"/>
        <v>0</v>
      </c>
      <c r="N202" s="337">
        <f>+F202-M202</f>
        <v>26000000</v>
      </c>
      <c r="P202" s="340"/>
      <c r="S202" s="347"/>
      <c r="T202" s="347"/>
      <c r="U202" s="382"/>
    </row>
    <row r="203" spans="1:21" s="339" customFormat="1" ht="18" customHeight="1" x14ac:dyDescent="0.25">
      <c r="A203" s="334"/>
      <c r="B203" s="335"/>
      <c r="C203" s="334"/>
      <c r="D203" s="365" t="s">
        <v>269</v>
      </c>
      <c r="E203" s="335" t="s">
        <v>270</v>
      </c>
      <c r="F203" s="337">
        <f t="shared" si="106"/>
        <v>26000000</v>
      </c>
      <c r="G203" s="344">
        <f>+G204</f>
        <v>0</v>
      </c>
      <c r="H203" s="344">
        <f>+H204</f>
        <v>0</v>
      </c>
      <c r="I203" s="344">
        <f t="shared" si="108"/>
        <v>0</v>
      </c>
      <c r="J203" s="344">
        <f t="shared" si="107"/>
        <v>0</v>
      </c>
      <c r="K203" s="344">
        <f t="shared" si="107"/>
        <v>0</v>
      </c>
      <c r="L203" s="344">
        <f t="shared" si="109"/>
        <v>0</v>
      </c>
      <c r="M203" s="344">
        <f t="shared" si="102"/>
        <v>0</v>
      </c>
      <c r="N203" s="337">
        <f>+F203-M203</f>
        <v>26000000</v>
      </c>
      <c r="P203" s="340"/>
      <c r="S203" s="347"/>
      <c r="T203" s="347"/>
      <c r="U203" s="342"/>
    </row>
    <row r="204" spans="1:21" s="381" customFormat="1" ht="18" customHeight="1" x14ac:dyDescent="0.25">
      <c r="A204" s="380"/>
      <c r="B204" s="352"/>
      <c r="C204" s="334"/>
      <c r="D204" s="335" t="s">
        <v>76</v>
      </c>
      <c r="E204" s="335" t="s">
        <v>77</v>
      </c>
      <c r="F204" s="337">
        <f>SUM(F205)</f>
        <v>26000000</v>
      </c>
      <c r="G204" s="344">
        <f>+G205</f>
        <v>0</v>
      </c>
      <c r="H204" s="344">
        <f>+H205</f>
        <v>0</v>
      </c>
      <c r="I204" s="344">
        <f>+G204+H204</f>
        <v>0</v>
      </c>
      <c r="J204" s="344">
        <f t="shared" si="107"/>
        <v>0</v>
      </c>
      <c r="K204" s="344">
        <f t="shared" si="107"/>
        <v>0</v>
      </c>
      <c r="L204" s="344">
        <f>+J204+K204</f>
        <v>0</v>
      </c>
      <c r="M204" s="344">
        <f t="shared" si="102"/>
        <v>0</v>
      </c>
      <c r="N204" s="337">
        <f>+F204-M204</f>
        <v>26000000</v>
      </c>
      <c r="P204" s="340"/>
      <c r="S204" s="347"/>
      <c r="T204" s="347"/>
      <c r="U204" s="382"/>
    </row>
    <row r="205" spans="1:21" s="388" customFormat="1" ht="18" customHeight="1" x14ac:dyDescent="0.25">
      <c r="A205" s="386"/>
      <c r="B205" s="387"/>
      <c r="C205" s="353"/>
      <c r="D205" s="355" t="s">
        <v>393</v>
      </c>
      <c r="E205" s="355" t="s">
        <v>394</v>
      </c>
      <c r="F205" s="356">
        <v>26000000</v>
      </c>
      <c r="G205" s="357"/>
      <c r="H205" s="357"/>
      <c r="I205" s="357">
        <f t="shared" si="108"/>
        <v>0</v>
      </c>
      <c r="J205" s="357"/>
      <c r="K205" s="357"/>
      <c r="L205" s="357">
        <f t="shared" ref="L205" si="110">+J205+K205</f>
        <v>0</v>
      </c>
      <c r="M205" s="357">
        <f t="shared" si="102"/>
        <v>0</v>
      </c>
      <c r="N205" s="356">
        <f t="shared" ref="N205" si="111">+F205-M205</f>
        <v>26000000</v>
      </c>
      <c r="P205" s="200"/>
      <c r="S205" s="221"/>
      <c r="T205" s="221"/>
      <c r="U205" s="389"/>
    </row>
    <row r="206" spans="1:21" s="319" customFormat="1" ht="18" customHeight="1" x14ac:dyDescent="0.25">
      <c r="A206" s="276">
        <v>10</v>
      </c>
      <c r="B206" s="305"/>
      <c r="C206" s="390" t="s">
        <v>112</v>
      </c>
      <c r="D206" s="363"/>
      <c r="E206" s="364" t="s">
        <v>113</v>
      </c>
      <c r="F206" s="307">
        <f>+F207+F221</f>
        <v>810211500</v>
      </c>
      <c r="G206" s="308">
        <f>G207+G221</f>
        <v>0</v>
      </c>
      <c r="H206" s="308">
        <f>H207+H221</f>
        <v>0</v>
      </c>
      <c r="I206" s="308">
        <f>+G206+H206</f>
        <v>0</v>
      </c>
      <c r="J206" s="308">
        <f>J207+J221</f>
        <v>0</v>
      </c>
      <c r="K206" s="308">
        <f>K207+K221</f>
        <v>1600000</v>
      </c>
      <c r="L206" s="308">
        <f>+J206+K206</f>
        <v>1600000</v>
      </c>
      <c r="M206" s="308">
        <f>+I206+L206</f>
        <v>1600000</v>
      </c>
      <c r="N206" s="307">
        <f>+F206-M206</f>
        <v>808611500</v>
      </c>
      <c r="P206" s="320"/>
      <c r="R206" s="321"/>
      <c r="S206" s="349"/>
      <c r="T206" s="349"/>
      <c r="U206" s="350"/>
    </row>
    <row r="207" spans="1:21" s="329" customFormat="1" ht="18" customHeight="1" x14ac:dyDescent="0.25">
      <c r="A207" s="323"/>
      <c r="B207" s="324"/>
      <c r="C207" s="379"/>
      <c r="D207" s="325" t="s">
        <v>207</v>
      </c>
      <c r="E207" s="326" t="s">
        <v>262</v>
      </c>
      <c r="F207" s="327">
        <f>+F208</f>
        <v>441471500</v>
      </c>
      <c r="G207" s="328">
        <f>+G208</f>
        <v>0</v>
      </c>
      <c r="H207" s="328">
        <f>+H208</f>
        <v>0</v>
      </c>
      <c r="I207" s="328">
        <f>+G207+H207</f>
        <v>0</v>
      </c>
      <c r="J207" s="328">
        <f>+J208</f>
        <v>0</v>
      </c>
      <c r="K207" s="328">
        <f>+K208</f>
        <v>1600000</v>
      </c>
      <c r="L207" s="328">
        <f>+J207+K207</f>
        <v>1600000</v>
      </c>
      <c r="M207" s="328">
        <f t="shared" ref="M207:M220" si="112">+I207+L207</f>
        <v>1600000</v>
      </c>
      <c r="N207" s="327">
        <f>+F207-M207</f>
        <v>439871500</v>
      </c>
      <c r="P207" s="330"/>
      <c r="R207" s="331"/>
      <c r="S207" s="351"/>
      <c r="T207" s="351"/>
      <c r="U207" s="333"/>
    </row>
    <row r="208" spans="1:21" s="381" customFormat="1" ht="18" customHeight="1" x14ac:dyDescent="0.25">
      <c r="A208" s="380"/>
      <c r="B208" s="352"/>
      <c r="C208" s="334"/>
      <c r="D208" s="335" t="s">
        <v>63</v>
      </c>
      <c r="E208" s="335" t="s">
        <v>30</v>
      </c>
      <c r="F208" s="337">
        <f>+F209+F212+F216</f>
        <v>441471500</v>
      </c>
      <c r="G208" s="344">
        <f>+G209+G212+G216</f>
        <v>0</v>
      </c>
      <c r="H208" s="344">
        <f>+H209+H212+H216</f>
        <v>0</v>
      </c>
      <c r="I208" s="344">
        <f t="shared" ref="I208:I218" si="113">+G208+H208</f>
        <v>0</v>
      </c>
      <c r="J208" s="344">
        <f>+J209+J212+J216</f>
        <v>0</v>
      </c>
      <c r="K208" s="344">
        <f>+K209+K212+K216</f>
        <v>1600000</v>
      </c>
      <c r="L208" s="344">
        <f t="shared" ref="L208:L209" si="114">+J208+K208</f>
        <v>1600000</v>
      </c>
      <c r="M208" s="344">
        <f t="shared" si="112"/>
        <v>1600000</v>
      </c>
      <c r="N208" s="337">
        <f>+F208-M208</f>
        <v>439871500</v>
      </c>
      <c r="P208" s="340"/>
      <c r="S208" s="347"/>
      <c r="T208" s="347"/>
      <c r="U208" s="382"/>
    </row>
    <row r="209" spans="1:21" s="339" customFormat="1" ht="18" customHeight="1" x14ac:dyDescent="0.25">
      <c r="A209" s="334"/>
      <c r="B209" s="335"/>
      <c r="C209" s="334"/>
      <c r="D209" s="365" t="s">
        <v>263</v>
      </c>
      <c r="E209" s="335" t="s">
        <v>264</v>
      </c>
      <c r="F209" s="337">
        <f t="shared" ref="F209:H209" si="115">+F210</f>
        <v>4031500</v>
      </c>
      <c r="G209" s="344">
        <f>+G210</f>
        <v>0</v>
      </c>
      <c r="H209" s="344">
        <f t="shared" si="115"/>
        <v>0</v>
      </c>
      <c r="I209" s="344">
        <f t="shared" si="113"/>
        <v>0</v>
      </c>
      <c r="J209" s="344">
        <f>+J210</f>
        <v>0</v>
      </c>
      <c r="K209" s="344">
        <f t="shared" ref="K209" si="116">+K210</f>
        <v>0</v>
      </c>
      <c r="L209" s="344">
        <f t="shared" si="114"/>
        <v>0</v>
      </c>
      <c r="M209" s="344">
        <f t="shared" si="112"/>
        <v>0</v>
      </c>
      <c r="N209" s="337">
        <f>+F209-M209</f>
        <v>4031500</v>
      </c>
      <c r="P209" s="340"/>
      <c r="S209" s="347"/>
      <c r="T209" s="347"/>
      <c r="U209" s="342"/>
    </row>
    <row r="210" spans="1:21" s="381" customFormat="1" ht="18" customHeight="1" x14ac:dyDescent="0.25">
      <c r="A210" s="380"/>
      <c r="B210" s="352"/>
      <c r="C210" s="334"/>
      <c r="D210" s="335" t="s">
        <v>64</v>
      </c>
      <c r="E210" s="335" t="s">
        <v>65</v>
      </c>
      <c r="F210" s="337">
        <f>F211</f>
        <v>4031500</v>
      </c>
      <c r="G210" s="344">
        <f>SUM(G211:G211)</f>
        <v>0</v>
      </c>
      <c r="H210" s="344">
        <f>SUM(H211:H211)</f>
        <v>0</v>
      </c>
      <c r="I210" s="344">
        <f>+G210+H210</f>
        <v>0</v>
      </c>
      <c r="J210" s="344">
        <f>SUM(J211:J211)</f>
        <v>0</v>
      </c>
      <c r="K210" s="344">
        <f>SUM(K211:K211)</f>
        <v>0</v>
      </c>
      <c r="L210" s="344">
        <f>+J210+K210</f>
        <v>0</v>
      </c>
      <c r="M210" s="344">
        <f t="shared" si="112"/>
        <v>0</v>
      </c>
      <c r="N210" s="337">
        <f>+F210-M210</f>
        <v>4031500</v>
      </c>
      <c r="P210" s="340"/>
      <c r="S210" s="347"/>
      <c r="T210" s="347"/>
      <c r="U210" s="382"/>
    </row>
    <row r="211" spans="1:21" s="381" customFormat="1" ht="18" customHeight="1" x14ac:dyDescent="0.25">
      <c r="A211" s="380"/>
      <c r="B211" s="352"/>
      <c r="C211" s="334"/>
      <c r="D211" s="335" t="s">
        <v>339</v>
      </c>
      <c r="E211" s="335" t="s">
        <v>340</v>
      </c>
      <c r="F211" s="337">
        <v>4031500</v>
      </c>
      <c r="G211" s="344"/>
      <c r="H211" s="344"/>
      <c r="I211" s="344">
        <f t="shared" si="113"/>
        <v>0</v>
      </c>
      <c r="J211" s="344"/>
      <c r="K211" s="344"/>
      <c r="L211" s="344">
        <f t="shared" ref="L211" si="117">+J211+K211</f>
        <v>0</v>
      </c>
      <c r="M211" s="344">
        <f t="shared" si="112"/>
        <v>0</v>
      </c>
      <c r="N211" s="337">
        <f t="shared" ref="N211" si="118">+F211-M211</f>
        <v>4031500</v>
      </c>
      <c r="P211" s="340"/>
      <c r="S211" s="347"/>
      <c r="T211" s="347"/>
      <c r="U211" s="382"/>
    </row>
    <row r="212" spans="1:21" s="339" customFormat="1" ht="18" customHeight="1" x14ac:dyDescent="0.25">
      <c r="A212" s="334"/>
      <c r="B212" s="335"/>
      <c r="C212" s="334"/>
      <c r="D212" s="365" t="s">
        <v>271</v>
      </c>
      <c r="E212" s="335" t="s">
        <v>272</v>
      </c>
      <c r="F212" s="337">
        <f t="shared" ref="F212:H212" si="119">+F213</f>
        <v>98700000</v>
      </c>
      <c r="G212" s="344">
        <f>+G213</f>
        <v>0</v>
      </c>
      <c r="H212" s="344">
        <f t="shared" si="119"/>
        <v>0</v>
      </c>
      <c r="I212" s="344">
        <f t="shared" si="113"/>
        <v>0</v>
      </c>
      <c r="J212" s="344">
        <f>+J213</f>
        <v>0</v>
      </c>
      <c r="K212" s="344">
        <f t="shared" ref="K212" si="120">+K213</f>
        <v>1600000</v>
      </c>
      <c r="L212" s="344">
        <f>+J212+K212</f>
        <v>1600000</v>
      </c>
      <c r="M212" s="344">
        <f t="shared" si="112"/>
        <v>1600000</v>
      </c>
      <c r="N212" s="337">
        <f>+F212-M212</f>
        <v>97100000</v>
      </c>
      <c r="P212" s="340"/>
      <c r="S212" s="347"/>
      <c r="T212" s="347"/>
      <c r="U212" s="342"/>
    </row>
    <row r="213" spans="1:21" s="381" customFormat="1" ht="18" customHeight="1" x14ac:dyDescent="0.25">
      <c r="A213" s="380"/>
      <c r="B213" s="352"/>
      <c r="C213" s="334"/>
      <c r="D213" s="335" t="s">
        <v>81</v>
      </c>
      <c r="E213" s="335" t="s">
        <v>31</v>
      </c>
      <c r="F213" s="337">
        <f>SUM(F214:F215)</f>
        <v>98700000</v>
      </c>
      <c r="G213" s="344">
        <f>SUM(G214:G215)</f>
        <v>0</v>
      </c>
      <c r="H213" s="344">
        <f>SUM(H214:H215)</f>
        <v>0</v>
      </c>
      <c r="I213" s="344">
        <f t="shared" si="113"/>
        <v>0</v>
      </c>
      <c r="J213" s="344">
        <f>SUM(J214:J215)</f>
        <v>0</v>
      </c>
      <c r="K213" s="344">
        <f>SUM(K214:K215)</f>
        <v>1600000</v>
      </c>
      <c r="L213" s="344">
        <f>+J213+K213</f>
        <v>1600000</v>
      </c>
      <c r="M213" s="344">
        <f t="shared" si="112"/>
        <v>1600000</v>
      </c>
      <c r="N213" s="337">
        <f>+F213-M213</f>
        <v>97100000</v>
      </c>
      <c r="P213" s="340"/>
      <c r="S213" s="347"/>
      <c r="T213" s="347"/>
      <c r="U213" s="382"/>
    </row>
    <row r="214" spans="1:21" s="381" customFormat="1" ht="18" customHeight="1" x14ac:dyDescent="0.25">
      <c r="A214" s="392"/>
      <c r="B214" s="339"/>
      <c r="C214" s="366"/>
      <c r="D214" s="367" t="s">
        <v>82</v>
      </c>
      <c r="E214" s="367" t="s">
        <v>83</v>
      </c>
      <c r="F214" s="370">
        <v>38400000</v>
      </c>
      <c r="G214" s="371"/>
      <c r="H214" s="371"/>
      <c r="I214" s="371">
        <f t="shared" si="113"/>
        <v>0</v>
      </c>
      <c r="J214" s="371"/>
      <c r="K214" s="371">
        <v>1600000</v>
      </c>
      <c r="L214" s="371">
        <f>+J214+K214</f>
        <v>1600000</v>
      </c>
      <c r="M214" s="371">
        <f>+I214+L214</f>
        <v>1600000</v>
      </c>
      <c r="N214" s="370">
        <f>+F214-M214</f>
        <v>36800000</v>
      </c>
      <c r="P214" s="340"/>
      <c r="S214" s="346"/>
      <c r="T214" s="347"/>
      <c r="U214" s="382"/>
    </row>
    <row r="215" spans="1:21" s="381" customFormat="1" ht="18" customHeight="1" x14ac:dyDescent="0.25">
      <c r="A215" s="392"/>
      <c r="B215" s="339"/>
      <c r="C215" s="366"/>
      <c r="D215" s="367" t="s">
        <v>111</v>
      </c>
      <c r="E215" s="367" t="s">
        <v>44</v>
      </c>
      <c r="F215" s="370">
        <v>60300000</v>
      </c>
      <c r="G215" s="371"/>
      <c r="H215" s="371"/>
      <c r="I215" s="371">
        <f t="shared" si="113"/>
        <v>0</v>
      </c>
      <c r="J215" s="371"/>
      <c r="K215" s="371"/>
      <c r="L215" s="371">
        <f t="shared" ref="L215" si="121">+J215+K215</f>
        <v>0</v>
      </c>
      <c r="M215" s="371">
        <f t="shared" si="112"/>
        <v>0</v>
      </c>
      <c r="N215" s="370">
        <f t="shared" ref="N215" si="122">+F215-M215</f>
        <v>60300000</v>
      </c>
      <c r="P215" s="340"/>
      <c r="S215" s="346"/>
      <c r="T215" s="347"/>
      <c r="U215" s="382"/>
    </row>
    <row r="216" spans="1:21" s="339" customFormat="1" ht="18" customHeight="1" x14ac:dyDescent="0.25">
      <c r="A216" s="334"/>
      <c r="B216" s="335"/>
      <c r="C216" s="334"/>
      <c r="D216" s="365" t="s">
        <v>275</v>
      </c>
      <c r="E216" s="335" t="s">
        <v>276</v>
      </c>
      <c r="F216" s="337">
        <f t="shared" ref="F216:H216" si="123">+F217</f>
        <v>338740000</v>
      </c>
      <c r="G216" s="344">
        <f>+G217</f>
        <v>0</v>
      </c>
      <c r="H216" s="344">
        <f t="shared" si="123"/>
        <v>0</v>
      </c>
      <c r="I216" s="344">
        <f t="shared" si="113"/>
        <v>0</v>
      </c>
      <c r="J216" s="344">
        <f>+J217</f>
        <v>0</v>
      </c>
      <c r="K216" s="344">
        <f t="shared" ref="K216" si="124">+K217</f>
        <v>0</v>
      </c>
      <c r="L216" s="344">
        <f>+J216+K216</f>
        <v>0</v>
      </c>
      <c r="M216" s="344">
        <f t="shared" si="112"/>
        <v>0</v>
      </c>
      <c r="N216" s="337">
        <f>+F216-M216</f>
        <v>338740000</v>
      </c>
      <c r="P216" s="340"/>
      <c r="S216" s="346"/>
      <c r="T216" s="347"/>
      <c r="U216" s="342"/>
    </row>
    <row r="217" spans="1:21" s="381" customFormat="1" ht="18" customHeight="1" x14ac:dyDescent="0.25">
      <c r="A217" s="380"/>
      <c r="B217" s="352"/>
      <c r="C217" s="334"/>
      <c r="D217" s="335" t="s">
        <v>114</v>
      </c>
      <c r="E217" s="335" t="s">
        <v>43</v>
      </c>
      <c r="F217" s="337">
        <f>SUM(F218:F220)</f>
        <v>338740000</v>
      </c>
      <c r="G217" s="344">
        <f>SUM(G218:G220)</f>
        <v>0</v>
      </c>
      <c r="H217" s="344">
        <f>SUM(H218:H220)</f>
        <v>0</v>
      </c>
      <c r="I217" s="344">
        <f t="shared" si="113"/>
        <v>0</v>
      </c>
      <c r="J217" s="344">
        <f>SUM(J218:J220)</f>
        <v>0</v>
      </c>
      <c r="K217" s="344">
        <f>SUM(K218:K220)</f>
        <v>0</v>
      </c>
      <c r="L217" s="344">
        <f>+J217+K217</f>
        <v>0</v>
      </c>
      <c r="M217" s="344">
        <f t="shared" si="112"/>
        <v>0</v>
      </c>
      <c r="N217" s="337">
        <f>+F217-M217</f>
        <v>338740000</v>
      </c>
      <c r="P217" s="340"/>
      <c r="S217" s="346"/>
      <c r="T217" s="347"/>
      <c r="U217" s="382"/>
    </row>
    <row r="218" spans="1:21" s="381" customFormat="1" ht="21" customHeight="1" x14ac:dyDescent="0.25">
      <c r="A218" s="392"/>
      <c r="B218" s="339"/>
      <c r="C218" s="366"/>
      <c r="D218" s="367" t="s">
        <v>349</v>
      </c>
      <c r="E218" s="369" t="s">
        <v>350</v>
      </c>
      <c r="F218" s="370">
        <v>21240000</v>
      </c>
      <c r="G218" s="371"/>
      <c r="H218" s="371"/>
      <c r="I218" s="371">
        <f t="shared" si="113"/>
        <v>0</v>
      </c>
      <c r="J218" s="371"/>
      <c r="K218" s="371"/>
      <c r="L218" s="371">
        <f t="shared" ref="L218" si="125">+J218+K218</f>
        <v>0</v>
      </c>
      <c r="M218" s="371">
        <f t="shared" si="112"/>
        <v>0</v>
      </c>
      <c r="N218" s="370">
        <f>+F218-M218</f>
        <v>21240000</v>
      </c>
      <c r="P218" s="340"/>
      <c r="S218" s="346"/>
      <c r="T218" s="347"/>
      <c r="U218" s="382"/>
    </row>
    <row r="219" spans="1:21" s="381" customFormat="1" ht="30.75" customHeight="1" x14ac:dyDescent="0.25">
      <c r="A219" s="392"/>
      <c r="B219" s="339"/>
      <c r="C219" s="366"/>
      <c r="D219" s="367" t="s">
        <v>395</v>
      </c>
      <c r="E219" s="369" t="s">
        <v>396</v>
      </c>
      <c r="F219" s="370">
        <v>2500000</v>
      </c>
      <c r="G219" s="371"/>
      <c r="H219" s="371"/>
      <c r="I219" s="371"/>
      <c r="J219" s="371"/>
      <c r="K219" s="371"/>
      <c r="L219" s="371">
        <f>+J219+K219</f>
        <v>0</v>
      </c>
      <c r="M219" s="371">
        <f t="shared" si="112"/>
        <v>0</v>
      </c>
      <c r="N219" s="370">
        <f>+F219-M219</f>
        <v>2500000</v>
      </c>
      <c r="P219" s="340"/>
      <c r="S219" s="347"/>
      <c r="T219" s="347"/>
      <c r="U219" s="382"/>
    </row>
    <row r="220" spans="1:21" s="381" customFormat="1" ht="18" customHeight="1" x14ac:dyDescent="0.25">
      <c r="A220" s="392"/>
      <c r="B220" s="339"/>
      <c r="C220" s="366"/>
      <c r="D220" s="367" t="s">
        <v>354</v>
      </c>
      <c r="E220" s="369" t="s">
        <v>355</v>
      </c>
      <c r="F220" s="370">
        <v>315000000</v>
      </c>
      <c r="G220" s="371"/>
      <c r="H220" s="371"/>
      <c r="I220" s="371">
        <f>+G220+H220</f>
        <v>0</v>
      </c>
      <c r="J220" s="371"/>
      <c r="K220" s="371"/>
      <c r="L220" s="371"/>
      <c r="M220" s="371">
        <f t="shared" si="112"/>
        <v>0</v>
      </c>
      <c r="N220" s="370">
        <f t="shared" ref="N220" si="126">+F220-M220</f>
        <v>315000000</v>
      </c>
      <c r="P220" s="340"/>
      <c r="S220" s="347"/>
      <c r="T220" s="346"/>
      <c r="U220" s="382"/>
    </row>
    <row r="221" spans="1:21" s="381" customFormat="1" ht="18" customHeight="1" x14ac:dyDescent="0.25">
      <c r="A221" s="380"/>
      <c r="B221" s="383"/>
      <c r="C221" s="384"/>
      <c r="D221" s="365" t="s">
        <v>267</v>
      </c>
      <c r="E221" s="335" t="s">
        <v>268</v>
      </c>
      <c r="F221" s="337">
        <f>+F222+F234</f>
        <v>368740000</v>
      </c>
      <c r="G221" s="344">
        <f>+G222+G234</f>
        <v>0</v>
      </c>
      <c r="H221" s="344">
        <f>+H222+H234</f>
        <v>0</v>
      </c>
      <c r="I221" s="344">
        <f>+G221+H221</f>
        <v>0</v>
      </c>
      <c r="J221" s="344">
        <f>+J222</f>
        <v>0</v>
      </c>
      <c r="K221" s="344">
        <f>+K222</f>
        <v>0</v>
      </c>
      <c r="L221" s="344">
        <f>+J221+K221</f>
        <v>0</v>
      </c>
      <c r="M221" s="344">
        <f>+I221+L221</f>
        <v>0</v>
      </c>
      <c r="N221" s="337">
        <f>+F221-M221</f>
        <v>368740000</v>
      </c>
      <c r="P221" s="340"/>
      <c r="R221" s="385"/>
      <c r="S221" s="347"/>
      <c r="T221" s="347"/>
      <c r="U221" s="382"/>
    </row>
    <row r="222" spans="1:21" s="381" customFormat="1" ht="18" customHeight="1" x14ac:dyDescent="0.25">
      <c r="A222" s="380"/>
      <c r="B222" s="352"/>
      <c r="C222" s="334"/>
      <c r="D222" s="335" t="s">
        <v>78</v>
      </c>
      <c r="E222" s="335" t="s">
        <v>75</v>
      </c>
      <c r="F222" s="337">
        <f>+F223+F226+F231</f>
        <v>268740000</v>
      </c>
      <c r="G222" s="344">
        <f>+G223+G226</f>
        <v>0</v>
      </c>
      <c r="H222" s="344">
        <f>+H223+H226</f>
        <v>0</v>
      </c>
      <c r="I222" s="344">
        <f t="shared" ref="I222:I235" si="127">+G222+H222</f>
        <v>0</v>
      </c>
      <c r="J222" s="344">
        <f>+J223+J226</f>
        <v>0</v>
      </c>
      <c r="K222" s="344">
        <f t="shared" ref="K222:K223" si="128">+K223</f>
        <v>0</v>
      </c>
      <c r="L222" s="344">
        <f t="shared" ref="L222:L223" si="129">+J222+K222</f>
        <v>0</v>
      </c>
      <c r="M222" s="344">
        <f t="shared" ref="M222:M226" si="130">+I222+L222</f>
        <v>0</v>
      </c>
      <c r="N222" s="337">
        <f>+F222-M222</f>
        <v>268740000</v>
      </c>
      <c r="P222" s="340"/>
      <c r="S222" s="347"/>
      <c r="T222" s="347"/>
      <c r="U222" s="382"/>
    </row>
    <row r="223" spans="1:21" s="339" customFormat="1" ht="18" customHeight="1" x14ac:dyDescent="0.25">
      <c r="A223" s="334"/>
      <c r="B223" s="335"/>
      <c r="C223" s="334"/>
      <c r="D223" s="365" t="s">
        <v>269</v>
      </c>
      <c r="E223" s="335" t="s">
        <v>270</v>
      </c>
      <c r="F223" s="337">
        <f t="shared" ref="F223:H223" si="131">+F224</f>
        <v>32340000</v>
      </c>
      <c r="G223" s="344">
        <f>+G224</f>
        <v>0</v>
      </c>
      <c r="H223" s="344">
        <f t="shared" si="131"/>
        <v>0</v>
      </c>
      <c r="I223" s="344">
        <f t="shared" si="127"/>
        <v>0</v>
      </c>
      <c r="J223" s="344">
        <f>+J224</f>
        <v>0</v>
      </c>
      <c r="K223" s="344">
        <f t="shared" si="128"/>
        <v>0</v>
      </c>
      <c r="L223" s="344">
        <f t="shared" si="129"/>
        <v>0</v>
      </c>
      <c r="M223" s="344">
        <f t="shared" si="130"/>
        <v>0</v>
      </c>
      <c r="N223" s="337">
        <f>+F223-M223</f>
        <v>32340000</v>
      </c>
      <c r="P223" s="340"/>
      <c r="S223" s="347"/>
      <c r="T223" s="347"/>
      <c r="U223" s="342"/>
    </row>
    <row r="224" spans="1:21" s="381" customFormat="1" ht="18" customHeight="1" x14ac:dyDescent="0.25">
      <c r="A224" s="380"/>
      <c r="B224" s="352"/>
      <c r="C224" s="334"/>
      <c r="D224" s="335" t="s">
        <v>92</v>
      </c>
      <c r="E224" s="335" t="s">
        <v>94</v>
      </c>
      <c r="F224" s="337">
        <f>SUM(F225)</f>
        <v>32340000</v>
      </c>
      <c r="G224" s="344">
        <f>+G225</f>
        <v>0</v>
      </c>
      <c r="H224" s="344">
        <f>+H225</f>
        <v>0</v>
      </c>
      <c r="I224" s="344">
        <f>+G224+H224</f>
        <v>0</v>
      </c>
      <c r="J224" s="344">
        <f>+J225</f>
        <v>0</v>
      </c>
      <c r="K224" s="344">
        <f>+K225</f>
        <v>0</v>
      </c>
      <c r="L224" s="344">
        <f>+J224+K224</f>
        <v>0</v>
      </c>
      <c r="M224" s="344">
        <f t="shared" si="130"/>
        <v>0</v>
      </c>
      <c r="N224" s="337">
        <f>+F224-M224</f>
        <v>32340000</v>
      </c>
      <c r="P224" s="340"/>
      <c r="S224" s="347"/>
      <c r="T224" s="347"/>
      <c r="U224" s="382"/>
    </row>
    <row r="225" spans="1:21" s="381" customFormat="1" ht="18" customHeight="1" x14ac:dyDescent="0.25">
      <c r="A225" s="380"/>
      <c r="B225" s="352"/>
      <c r="C225" s="334"/>
      <c r="D225" s="335" t="s">
        <v>397</v>
      </c>
      <c r="E225" s="335" t="s">
        <v>398</v>
      </c>
      <c r="F225" s="337">
        <v>32340000</v>
      </c>
      <c r="G225" s="344"/>
      <c r="H225" s="344"/>
      <c r="I225" s="344">
        <f t="shared" si="127"/>
        <v>0</v>
      </c>
      <c r="J225" s="344"/>
      <c r="K225" s="344"/>
      <c r="L225" s="344">
        <f t="shared" ref="L225:L235" si="132">+J225+K225</f>
        <v>0</v>
      </c>
      <c r="M225" s="344">
        <f t="shared" si="130"/>
        <v>0</v>
      </c>
      <c r="N225" s="337">
        <f t="shared" ref="N225:N237" si="133">+F225-M225</f>
        <v>32340000</v>
      </c>
      <c r="P225" s="340"/>
      <c r="S225" s="347"/>
      <c r="T225" s="347"/>
      <c r="U225" s="382"/>
    </row>
    <row r="226" spans="1:21" s="339" customFormat="1" ht="18" customHeight="1" x14ac:dyDescent="0.25">
      <c r="A226" s="334"/>
      <c r="B226" s="335"/>
      <c r="C226" s="334"/>
      <c r="D226" s="365" t="s">
        <v>399</v>
      </c>
      <c r="E226" s="335" t="s">
        <v>400</v>
      </c>
      <c r="F226" s="337">
        <f t="shared" ref="F226:H226" si="134">+F227</f>
        <v>234600000</v>
      </c>
      <c r="G226" s="344">
        <f>+G227</f>
        <v>0</v>
      </c>
      <c r="H226" s="344">
        <f t="shared" si="134"/>
        <v>0</v>
      </c>
      <c r="I226" s="344">
        <f t="shared" si="127"/>
        <v>0</v>
      </c>
      <c r="J226" s="344">
        <f>+J227</f>
        <v>0</v>
      </c>
      <c r="K226" s="344">
        <f t="shared" ref="K226" si="135">+K227</f>
        <v>0</v>
      </c>
      <c r="L226" s="344">
        <f t="shared" si="132"/>
        <v>0</v>
      </c>
      <c r="M226" s="344">
        <f t="shared" si="130"/>
        <v>0</v>
      </c>
      <c r="N226" s="337">
        <f t="shared" si="133"/>
        <v>234600000</v>
      </c>
      <c r="P226" s="340"/>
      <c r="S226" s="347"/>
      <c r="T226" s="347"/>
      <c r="U226" s="342"/>
    </row>
    <row r="227" spans="1:21" s="381" customFormat="1" ht="18" customHeight="1" x14ac:dyDescent="0.25">
      <c r="A227" s="380"/>
      <c r="B227" s="352"/>
      <c r="C227" s="334"/>
      <c r="D227" s="335" t="s">
        <v>401</v>
      </c>
      <c r="E227" s="335" t="s">
        <v>402</v>
      </c>
      <c r="F227" s="337">
        <f>SUM(F228:F230)</f>
        <v>234600000</v>
      </c>
      <c r="G227" s="344">
        <f>SUM(G229:G229)</f>
        <v>0</v>
      </c>
      <c r="H227" s="344">
        <f>SUM(H229:H229)</f>
        <v>0</v>
      </c>
      <c r="I227" s="344">
        <f t="shared" si="127"/>
        <v>0</v>
      </c>
      <c r="J227" s="344">
        <f>SUM(J229:J229)</f>
        <v>0</v>
      </c>
      <c r="K227" s="344">
        <f>SUM(K229:K229)</f>
        <v>0</v>
      </c>
      <c r="L227" s="344">
        <f t="shared" si="132"/>
        <v>0</v>
      </c>
      <c r="M227" s="344">
        <f>+I227+L227</f>
        <v>0</v>
      </c>
      <c r="N227" s="337">
        <f t="shared" si="133"/>
        <v>234600000</v>
      </c>
      <c r="P227" s="340"/>
      <c r="S227" s="347"/>
      <c r="T227" s="347"/>
      <c r="U227" s="382"/>
    </row>
    <row r="228" spans="1:21" s="381" customFormat="1" ht="18" customHeight="1" x14ac:dyDescent="0.25">
      <c r="A228" s="380"/>
      <c r="B228" s="352"/>
      <c r="C228" s="334"/>
      <c r="D228" s="335" t="s">
        <v>464</v>
      </c>
      <c r="E228" s="335" t="s">
        <v>465</v>
      </c>
      <c r="F228" s="337">
        <v>3000000</v>
      </c>
      <c r="G228" s="344"/>
      <c r="H228" s="344"/>
      <c r="I228" s="344">
        <f t="shared" si="127"/>
        <v>0</v>
      </c>
      <c r="J228" s="344"/>
      <c r="K228" s="344"/>
      <c r="L228" s="344">
        <f t="shared" si="132"/>
        <v>0</v>
      </c>
      <c r="M228" s="344">
        <f>+I228+L228</f>
        <v>0</v>
      </c>
      <c r="N228" s="337">
        <f t="shared" si="133"/>
        <v>3000000</v>
      </c>
      <c r="P228" s="340"/>
      <c r="S228" s="347"/>
      <c r="T228" s="347"/>
      <c r="U228" s="382"/>
    </row>
    <row r="229" spans="1:21" s="381" customFormat="1" ht="18" customHeight="1" x14ac:dyDescent="0.25">
      <c r="A229" s="380"/>
      <c r="B229" s="352"/>
      <c r="C229" s="334"/>
      <c r="D229" s="335" t="s">
        <v>403</v>
      </c>
      <c r="E229" s="335" t="s">
        <v>404</v>
      </c>
      <c r="F229" s="337">
        <v>36600000</v>
      </c>
      <c r="G229" s="344"/>
      <c r="H229" s="344"/>
      <c r="I229" s="344">
        <f t="shared" si="127"/>
        <v>0</v>
      </c>
      <c r="J229" s="344"/>
      <c r="K229" s="344"/>
      <c r="L229" s="344">
        <f t="shared" si="132"/>
        <v>0</v>
      </c>
      <c r="M229" s="344">
        <f>+I229+L229</f>
        <v>0</v>
      </c>
      <c r="N229" s="337">
        <f t="shared" si="133"/>
        <v>36600000</v>
      </c>
      <c r="P229" s="340"/>
      <c r="S229" s="347"/>
      <c r="T229" s="347"/>
      <c r="U229" s="382"/>
    </row>
    <row r="230" spans="1:21" s="381" customFormat="1" ht="18" customHeight="1" x14ac:dyDescent="0.25">
      <c r="A230" s="380"/>
      <c r="B230" s="352"/>
      <c r="C230" s="334"/>
      <c r="D230" s="335" t="s">
        <v>459</v>
      </c>
      <c r="E230" s="335" t="s">
        <v>460</v>
      </c>
      <c r="F230" s="337">
        <v>195000000</v>
      </c>
      <c r="G230" s="344"/>
      <c r="H230" s="344"/>
      <c r="I230" s="344">
        <f t="shared" si="127"/>
        <v>0</v>
      </c>
      <c r="J230" s="344"/>
      <c r="K230" s="344"/>
      <c r="L230" s="344">
        <f t="shared" si="132"/>
        <v>0</v>
      </c>
      <c r="M230" s="344">
        <f>+I230+L230</f>
        <v>0</v>
      </c>
      <c r="N230" s="337">
        <f t="shared" si="133"/>
        <v>195000000</v>
      </c>
      <c r="P230" s="340"/>
      <c r="S230" s="347"/>
      <c r="T230" s="347"/>
      <c r="U230" s="382"/>
    </row>
    <row r="231" spans="1:21" s="339" customFormat="1" ht="18" customHeight="1" x14ac:dyDescent="0.25">
      <c r="A231" s="334"/>
      <c r="B231" s="335"/>
      <c r="C231" s="334"/>
      <c r="D231" s="365" t="s">
        <v>273</v>
      </c>
      <c r="E231" s="335" t="s">
        <v>274</v>
      </c>
      <c r="F231" s="337">
        <f>+F232</f>
        <v>1800000</v>
      </c>
      <c r="G231" s="344">
        <f>+G232</f>
        <v>0</v>
      </c>
      <c r="H231" s="344">
        <f t="shared" ref="H231" si="136">+H232</f>
        <v>0</v>
      </c>
      <c r="I231" s="344">
        <f t="shared" si="127"/>
        <v>0</v>
      </c>
      <c r="J231" s="344">
        <f>+J232</f>
        <v>0</v>
      </c>
      <c r="K231" s="344">
        <f t="shared" ref="K231" si="137">+K232</f>
        <v>0</v>
      </c>
      <c r="L231" s="344">
        <f t="shared" si="132"/>
        <v>0</v>
      </c>
      <c r="M231" s="344">
        <f t="shared" ref="M231" si="138">+I231+L231</f>
        <v>0</v>
      </c>
      <c r="N231" s="337">
        <f t="shared" si="133"/>
        <v>1800000</v>
      </c>
      <c r="P231" s="340"/>
      <c r="S231" s="347"/>
      <c r="T231" s="347"/>
      <c r="U231" s="342"/>
    </row>
    <row r="232" spans="1:21" s="381" customFormat="1" ht="18" customHeight="1" x14ac:dyDescent="0.25">
      <c r="A232" s="380"/>
      <c r="B232" s="352"/>
      <c r="C232" s="334"/>
      <c r="D232" s="335" t="s">
        <v>382</v>
      </c>
      <c r="E232" s="335" t="s">
        <v>383</v>
      </c>
      <c r="F232" s="337">
        <f>+F233</f>
        <v>1800000</v>
      </c>
      <c r="G232" s="344">
        <f>SUM(G234:G234)</f>
        <v>0</v>
      </c>
      <c r="H232" s="344">
        <f>SUM(H234:H234)</f>
        <v>0</v>
      </c>
      <c r="I232" s="344">
        <f t="shared" si="127"/>
        <v>0</v>
      </c>
      <c r="J232" s="344">
        <f>SUM(J234:J234)</f>
        <v>0</v>
      </c>
      <c r="K232" s="344">
        <f>SUM(K234:K234)</f>
        <v>0</v>
      </c>
      <c r="L232" s="344">
        <f t="shared" si="132"/>
        <v>0</v>
      </c>
      <c r="M232" s="344">
        <f>+I232+L232</f>
        <v>0</v>
      </c>
      <c r="N232" s="337">
        <f t="shared" si="133"/>
        <v>1800000</v>
      </c>
      <c r="P232" s="340"/>
      <c r="S232" s="347"/>
      <c r="T232" s="347"/>
      <c r="U232" s="382"/>
    </row>
    <row r="233" spans="1:21" s="381" customFormat="1" ht="18" customHeight="1" x14ac:dyDescent="0.25">
      <c r="A233" s="380"/>
      <c r="B233" s="352"/>
      <c r="C233" s="334"/>
      <c r="D233" s="335" t="s">
        <v>386</v>
      </c>
      <c r="E233" s="335" t="s">
        <v>387</v>
      </c>
      <c r="F233" s="337">
        <v>1800000</v>
      </c>
      <c r="G233" s="344"/>
      <c r="H233" s="344"/>
      <c r="I233" s="344">
        <f t="shared" si="127"/>
        <v>0</v>
      </c>
      <c r="J233" s="344"/>
      <c r="K233" s="344"/>
      <c r="L233" s="344">
        <f t="shared" si="132"/>
        <v>0</v>
      </c>
      <c r="M233" s="344">
        <f>+I233+L233</f>
        <v>0</v>
      </c>
      <c r="N233" s="337">
        <f t="shared" si="133"/>
        <v>1800000</v>
      </c>
      <c r="P233" s="340"/>
      <c r="S233" s="347"/>
      <c r="T233" s="347"/>
      <c r="U233" s="382"/>
    </row>
    <row r="234" spans="1:21" s="381" customFormat="1" ht="18" customHeight="1" x14ac:dyDescent="0.25">
      <c r="A234" s="380"/>
      <c r="B234" s="352"/>
      <c r="C234" s="334"/>
      <c r="D234" s="335" t="s">
        <v>466</v>
      </c>
      <c r="E234" s="335" t="s">
        <v>467</v>
      </c>
      <c r="F234" s="337">
        <f>+F235</f>
        <v>100000000</v>
      </c>
      <c r="G234" s="344">
        <f>+G235</f>
        <v>0</v>
      </c>
      <c r="H234" s="344">
        <f>+H235+H238</f>
        <v>0</v>
      </c>
      <c r="I234" s="344">
        <f t="shared" si="127"/>
        <v>0</v>
      </c>
      <c r="J234" s="344">
        <f>+J235</f>
        <v>0</v>
      </c>
      <c r="K234" s="344">
        <f t="shared" ref="K234:K235" si="139">+K235</f>
        <v>0</v>
      </c>
      <c r="L234" s="344">
        <f t="shared" si="132"/>
        <v>0</v>
      </c>
      <c r="M234" s="344">
        <f>+I234+L234</f>
        <v>0</v>
      </c>
      <c r="N234" s="337">
        <f t="shared" si="133"/>
        <v>100000000</v>
      </c>
      <c r="P234" s="340"/>
      <c r="S234" s="347"/>
      <c r="T234" s="347"/>
      <c r="U234" s="382"/>
    </row>
    <row r="235" spans="1:21" s="339" customFormat="1" ht="18" customHeight="1" x14ac:dyDescent="0.25">
      <c r="A235" s="334"/>
      <c r="B235" s="335"/>
      <c r="C235" s="334"/>
      <c r="D235" s="365" t="s">
        <v>468</v>
      </c>
      <c r="E235" s="335" t="s">
        <v>469</v>
      </c>
      <c r="F235" s="337">
        <f t="shared" ref="F235:H235" si="140">+F236</f>
        <v>100000000</v>
      </c>
      <c r="G235" s="344">
        <f>+G236</f>
        <v>0</v>
      </c>
      <c r="H235" s="344">
        <f t="shared" si="140"/>
        <v>0</v>
      </c>
      <c r="I235" s="344">
        <f t="shared" si="127"/>
        <v>0</v>
      </c>
      <c r="J235" s="344">
        <f>+J236</f>
        <v>0</v>
      </c>
      <c r="K235" s="344">
        <f t="shared" si="139"/>
        <v>0</v>
      </c>
      <c r="L235" s="344">
        <f t="shared" si="132"/>
        <v>0</v>
      </c>
      <c r="M235" s="344">
        <f t="shared" ref="M235:M236" si="141">+I235+L235</f>
        <v>0</v>
      </c>
      <c r="N235" s="337">
        <f t="shared" si="133"/>
        <v>100000000</v>
      </c>
      <c r="P235" s="340"/>
      <c r="S235" s="347"/>
      <c r="T235" s="347"/>
      <c r="U235" s="342"/>
    </row>
    <row r="236" spans="1:21" s="381" customFormat="1" ht="18" customHeight="1" x14ac:dyDescent="0.25">
      <c r="A236" s="380"/>
      <c r="B236" s="352"/>
      <c r="C236" s="334"/>
      <c r="D236" s="335" t="s">
        <v>470</v>
      </c>
      <c r="E236" s="335" t="s">
        <v>471</v>
      </c>
      <c r="F236" s="337">
        <f>SUM(F237)</f>
        <v>100000000</v>
      </c>
      <c r="G236" s="344">
        <f>+G237</f>
        <v>0</v>
      </c>
      <c r="H236" s="344">
        <f>+H237</f>
        <v>0</v>
      </c>
      <c r="I236" s="344">
        <f>+G236+H236</f>
        <v>0</v>
      </c>
      <c r="J236" s="344">
        <f>+J237</f>
        <v>0</v>
      </c>
      <c r="K236" s="344">
        <f>+K237</f>
        <v>0</v>
      </c>
      <c r="L236" s="344">
        <f>+J236+K236</f>
        <v>0</v>
      </c>
      <c r="M236" s="344">
        <f t="shared" si="141"/>
        <v>0</v>
      </c>
      <c r="N236" s="337">
        <f t="shared" si="133"/>
        <v>100000000</v>
      </c>
      <c r="P236" s="340"/>
      <c r="S236" s="347"/>
      <c r="T236" s="347"/>
      <c r="U236" s="382"/>
    </row>
    <row r="237" spans="1:21" s="381" customFormat="1" ht="18" customHeight="1" x14ac:dyDescent="0.25">
      <c r="A237" s="380"/>
      <c r="B237" s="352"/>
      <c r="C237" s="334"/>
      <c r="D237" s="335" t="s">
        <v>472</v>
      </c>
      <c r="E237" s="335" t="s">
        <v>473</v>
      </c>
      <c r="F237" s="337">
        <v>100000000</v>
      </c>
      <c r="G237" s="344"/>
      <c r="H237" s="344"/>
      <c r="I237" s="344">
        <f>+G237+H237</f>
        <v>0</v>
      </c>
      <c r="J237" s="344"/>
      <c r="K237" s="344"/>
      <c r="L237" s="344">
        <f t="shared" ref="L237" si="142">+J237+K237</f>
        <v>0</v>
      </c>
      <c r="M237" s="344">
        <f>+I237+L237</f>
        <v>0</v>
      </c>
      <c r="N237" s="337">
        <f t="shared" si="133"/>
        <v>100000000</v>
      </c>
      <c r="P237" s="340"/>
      <c r="S237" s="347"/>
      <c r="T237" s="347"/>
      <c r="U237" s="382"/>
    </row>
    <row r="238" spans="1:21" s="153" customFormat="1" ht="18" customHeight="1" x14ac:dyDescent="0.25">
      <c r="A238" s="353"/>
      <c r="B238" s="355"/>
      <c r="C238" s="355"/>
      <c r="D238" s="355"/>
      <c r="E238" s="355"/>
      <c r="F238" s="356"/>
      <c r="G238" s="357"/>
      <c r="H238" s="357"/>
      <c r="I238" s="357"/>
      <c r="J238" s="357"/>
      <c r="K238" s="357"/>
      <c r="L238" s="357"/>
      <c r="M238" s="357"/>
      <c r="N238" s="356"/>
      <c r="P238" s="200"/>
      <c r="S238" s="221"/>
      <c r="T238" s="221"/>
      <c r="U238" s="254"/>
    </row>
    <row r="239" spans="1:21" s="319" customFormat="1" ht="18" customHeight="1" x14ac:dyDescent="0.25">
      <c r="A239" s="276"/>
      <c r="B239" s="305" t="s">
        <v>357</v>
      </c>
      <c r="C239" s="305"/>
      <c r="D239" s="305"/>
      <c r="E239" s="305" t="s">
        <v>358</v>
      </c>
      <c r="F239" s="359">
        <f>+F241</f>
        <v>260000000</v>
      </c>
      <c r="G239" s="360">
        <f>+G240</f>
        <v>0</v>
      </c>
      <c r="H239" s="360">
        <f>+H240</f>
        <v>0</v>
      </c>
      <c r="I239" s="360">
        <f>+G239+H239</f>
        <v>0</v>
      </c>
      <c r="J239" s="360">
        <f>+J240</f>
        <v>0</v>
      </c>
      <c r="K239" s="360">
        <f>+K240</f>
        <v>0</v>
      </c>
      <c r="L239" s="360">
        <f>+J239+K239</f>
        <v>0</v>
      </c>
      <c r="M239" s="360">
        <f t="shared" ref="M239" si="143">+I239+L239</f>
        <v>0</v>
      </c>
      <c r="N239" s="359">
        <f t="shared" ref="N239:N245" si="144">+F239-M239</f>
        <v>260000000</v>
      </c>
      <c r="P239" s="361"/>
      <c r="R239" s="321"/>
      <c r="S239" s="362"/>
      <c r="T239" s="362"/>
      <c r="U239" s="350"/>
    </row>
    <row r="240" spans="1:21" s="319" customFormat="1" ht="18" customHeight="1" x14ac:dyDescent="0.25">
      <c r="A240" s="276">
        <v>11</v>
      </c>
      <c r="B240" s="305"/>
      <c r="C240" s="305" t="s">
        <v>119</v>
      </c>
      <c r="D240" s="363"/>
      <c r="E240" s="364" t="s">
        <v>120</v>
      </c>
      <c r="F240" s="307">
        <f>+F241</f>
        <v>260000000</v>
      </c>
      <c r="G240" s="308">
        <f>+G241</f>
        <v>0</v>
      </c>
      <c r="H240" s="308">
        <f>+H241</f>
        <v>0</v>
      </c>
      <c r="I240" s="308">
        <f>+G240+H240</f>
        <v>0</v>
      </c>
      <c r="J240" s="308">
        <f>+J241</f>
        <v>0</v>
      </c>
      <c r="K240" s="308">
        <f>+K241</f>
        <v>0</v>
      </c>
      <c r="L240" s="308">
        <f>+J240+K240</f>
        <v>0</v>
      </c>
      <c r="M240" s="308">
        <f>+I240+L240</f>
        <v>0</v>
      </c>
      <c r="N240" s="307">
        <f t="shared" si="144"/>
        <v>260000000</v>
      </c>
      <c r="P240" s="320"/>
      <c r="R240" s="321"/>
      <c r="S240" s="349"/>
      <c r="T240" s="349"/>
      <c r="U240" s="350"/>
    </row>
    <row r="241" spans="1:21" s="329" customFormat="1" ht="18" customHeight="1" x14ac:dyDescent="0.25">
      <c r="A241" s="323"/>
      <c r="B241" s="324"/>
      <c r="C241" s="324"/>
      <c r="D241" s="325" t="s">
        <v>267</v>
      </c>
      <c r="E241" s="326" t="s">
        <v>268</v>
      </c>
      <c r="F241" s="327">
        <f t="shared" ref="F241:H243" si="145">+F242</f>
        <v>260000000</v>
      </c>
      <c r="G241" s="328">
        <f>+G242</f>
        <v>0</v>
      </c>
      <c r="H241" s="328">
        <f t="shared" si="145"/>
        <v>0</v>
      </c>
      <c r="I241" s="328">
        <f t="shared" ref="I241:I245" si="146">+G241+H241</f>
        <v>0</v>
      </c>
      <c r="J241" s="328">
        <f>+J242</f>
        <v>0</v>
      </c>
      <c r="K241" s="328">
        <f t="shared" ref="K241:K243" si="147">+K242</f>
        <v>0</v>
      </c>
      <c r="L241" s="328">
        <f t="shared" ref="L241:L244" si="148">+J241+K241</f>
        <v>0</v>
      </c>
      <c r="M241" s="328">
        <f t="shared" ref="M241:M244" si="149">+I241+L241</f>
        <v>0</v>
      </c>
      <c r="N241" s="327">
        <f t="shared" si="144"/>
        <v>260000000</v>
      </c>
      <c r="P241" s="330"/>
      <c r="R241" s="331"/>
      <c r="S241" s="351"/>
      <c r="T241" s="351"/>
      <c r="U241" s="333"/>
    </row>
    <row r="242" spans="1:21" s="339" customFormat="1" ht="18" customHeight="1" x14ac:dyDescent="0.25">
      <c r="A242" s="334"/>
      <c r="B242" s="352"/>
      <c r="C242" s="334"/>
      <c r="D242" s="335" t="s">
        <v>78</v>
      </c>
      <c r="E242" s="335" t="s">
        <v>75</v>
      </c>
      <c r="F242" s="337">
        <f t="shared" si="145"/>
        <v>260000000</v>
      </c>
      <c r="G242" s="344">
        <f>+G243</f>
        <v>0</v>
      </c>
      <c r="H242" s="344">
        <f t="shared" si="145"/>
        <v>0</v>
      </c>
      <c r="I242" s="344">
        <f t="shared" si="146"/>
        <v>0</v>
      </c>
      <c r="J242" s="344">
        <f>+J243</f>
        <v>0</v>
      </c>
      <c r="K242" s="344">
        <f t="shared" si="147"/>
        <v>0</v>
      </c>
      <c r="L242" s="344">
        <f t="shared" si="148"/>
        <v>0</v>
      </c>
      <c r="M242" s="344">
        <f t="shared" si="149"/>
        <v>0</v>
      </c>
      <c r="N242" s="337">
        <f t="shared" si="144"/>
        <v>260000000</v>
      </c>
      <c r="P242" s="340"/>
      <c r="S242" s="347"/>
      <c r="T242" s="347"/>
      <c r="U242" s="342"/>
    </row>
    <row r="243" spans="1:21" s="339" customFormat="1" ht="18" customHeight="1" x14ac:dyDescent="0.25">
      <c r="A243" s="334"/>
      <c r="B243" s="335"/>
      <c r="C243" s="334"/>
      <c r="D243" s="365" t="s">
        <v>277</v>
      </c>
      <c r="E243" s="335" t="s">
        <v>278</v>
      </c>
      <c r="F243" s="337">
        <f t="shared" si="145"/>
        <v>260000000</v>
      </c>
      <c r="G243" s="344">
        <f>+G244</f>
        <v>0</v>
      </c>
      <c r="H243" s="344">
        <f t="shared" si="145"/>
        <v>0</v>
      </c>
      <c r="I243" s="344">
        <f t="shared" si="146"/>
        <v>0</v>
      </c>
      <c r="J243" s="344">
        <f>+J244</f>
        <v>0</v>
      </c>
      <c r="K243" s="344">
        <f t="shared" si="147"/>
        <v>0</v>
      </c>
      <c r="L243" s="344">
        <f t="shared" si="148"/>
        <v>0</v>
      </c>
      <c r="M243" s="344">
        <f t="shared" si="149"/>
        <v>0</v>
      </c>
      <c r="N243" s="337">
        <f t="shared" si="144"/>
        <v>260000000</v>
      </c>
      <c r="P243" s="340"/>
      <c r="S243" s="347"/>
      <c r="T243" s="347"/>
      <c r="U243" s="342"/>
    </row>
    <row r="244" spans="1:21" s="339" customFormat="1" ht="18" customHeight="1" x14ac:dyDescent="0.25">
      <c r="A244" s="334"/>
      <c r="B244" s="352"/>
      <c r="C244" s="334"/>
      <c r="D244" s="335" t="s">
        <v>121</v>
      </c>
      <c r="E244" s="335" t="s">
        <v>123</v>
      </c>
      <c r="F244" s="337">
        <f>F245</f>
        <v>260000000</v>
      </c>
      <c r="G244" s="344">
        <f>+G245</f>
        <v>0</v>
      </c>
      <c r="H244" s="344">
        <f>+H245</f>
        <v>0</v>
      </c>
      <c r="I244" s="344">
        <f t="shared" si="146"/>
        <v>0</v>
      </c>
      <c r="J244" s="344">
        <f>+J245</f>
        <v>0</v>
      </c>
      <c r="K244" s="344">
        <f>+K245</f>
        <v>0</v>
      </c>
      <c r="L244" s="344">
        <f t="shared" si="148"/>
        <v>0</v>
      </c>
      <c r="M244" s="344">
        <f t="shared" si="149"/>
        <v>0</v>
      </c>
      <c r="N244" s="337">
        <f t="shared" si="144"/>
        <v>260000000</v>
      </c>
      <c r="P244" s="340"/>
      <c r="S244" s="347"/>
      <c r="T244" s="347"/>
      <c r="U244" s="342"/>
    </row>
    <row r="245" spans="1:21" s="339" customFormat="1" ht="18" customHeight="1" x14ac:dyDescent="0.25">
      <c r="A245" s="334"/>
      <c r="B245" s="352"/>
      <c r="C245" s="334"/>
      <c r="D245" s="335" t="s">
        <v>122</v>
      </c>
      <c r="E245" s="335" t="s">
        <v>124</v>
      </c>
      <c r="F245" s="337">
        <v>260000000</v>
      </c>
      <c r="G245" s="344"/>
      <c r="H245" s="344"/>
      <c r="I245" s="344">
        <f t="shared" si="146"/>
        <v>0</v>
      </c>
      <c r="J245" s="344"/>
      <c r="K245" s="344"/>
      <c r="L245" s="344"/>
      <c r="M245" s="344">
        <f>+I245+L245</f>
        <v>0</v>
      </c>
      <c r="N245" s="337">
        <f t="shared" si="144"/>
        <v>260000000</v>
      </c>
      <c r="P245" s="340"/>
      <c r="S245" s="347"/>
      <c r="T245" s="346"/>
      <c r="U245" s="342"/>
    </row>
    <row r="246" spans="1:21" s="153" customFormat="1" ht="18" customHeight="1" x14ac:dyDescent="0.25">
      <c r="A246" s="353"/>
      <c r="B246" s="355"/>
      <c r="C246" s="355"/>
      <c r="D246" s="355"/>
      <c r="E246" s="355"/>
      <c r="F246" s="356"/>
      <c r="G246" s="357"/>
      <c r="H246" s="357"/>
      <c r="I246" s="357"/>
      <c r="J246" s="357"/>
      <c r="K246" s="357"/>
      <c r="L246" s="357"/>
      <c r="M246" s="357"/>
      <c r="N246" s="356"/>
      <c r="P246" s="200"/>
      <c r="S246" s="221"/>
      <c r="T246" s="221"/>
      <c r="U246" s="254"/>
    </row>
    <row r="247" spans="1:21" s="319" customFormat="1" ht="16.5" customHeight="1" x14ac:dyDescent="0.25">
      <c r="A247" s="276"/>
      <c r="B247" s="305" t="s">
        <v>359</v>
      </c>
      <c r="C247" s="305"/>
      <c r="D247" s="305"/>
      <c r="E247" s="305" t="s">
        <v>360</v>
      </c>
      <c r="F247" s="359">
        <f>+F248+F256+F269+F278</f>
        <v>39780847375</v>
      </c>
      <c r="G247" s="360">
        <f>+G248+G256+G269+G278</f>
        <v>0</v>
      </c>
      <c r="H247" s="360">
        <f>+H248+H256+H269+H278</f>
        <v>3058644020</v>
      </c>
      <c r="I247" s="360">
        <f>+G247+H247</f>
        <v>3058644020</v>
      </c>
      <c r="J247" s="360">
        <f>+J248+J256+J269+J278</f>
        <v>0</v>
      </c>
      <c r="K247" s="360">
        <f>+K248+K256+K269+K278</f>
        <v>94954700</v>
      </c>
      <c r="L247" s="360">
        <f>+J247+K247</f>
        <v>94954700</v>
      </c>
      <c r="M247" s="308">
        <f t="shared" ref="M247" si="150">+I247+L247</f>
        <v>3153598720</v>
      </c>
      <c r="N247" s="359">
        <f t="shared" ref="N247:N255" si="151">+F247-M247</f>
        <v>36627248655</v>
      </c>
      <c r="P247" s="361"/>
      <c r="R247" s="321"/>
      <c r="S247" s="362"/>
      <c r="T247" s="362"/>
      <c r="U247" s="350"/>
    </row>
    <row r="248" spans="1:21" s="319" customFormat="1" ht="18" customHeight="1" x14ac:dyDescent="0.25">
      <c r="A248" s="276">
        <v>12</v>
      </c>
      <c r="B248" s="305"/>
      <c r="C248" s="305" t="s">
        <v>125</v>
      </c>
      <c r="D248" s="363"/>
      <c r="E248" s="364" t="s">
        <v>34</v>
      </c>
      <c r="F248" s="307">
        <f>+F249</f>
        <v>219414700</v>
      </c>
      <c r="G248" s="308">
        <f>+G249</f>
        <v>0</v>
      </c>
      <c r="H248" s="308">
        <f>+H249</f>
        <v>0</v>
      </c>
      <c r="I248" s="308">
        <f>+G248+H248</f>
        <v>0</v>
      </c>
      <c r="J248" s="308">
        <f>+J249</f>
        <v>0</v>
      </c>
      <c r="K248" s="308">
        <f>+K249</f>
        <v>0</v>
      </c>
      <c r="L248" s="308">
        <f>+J248+K248</f>
        <v>0</v>
      </c>
      <c r="M248" s="308">
        <f>+I248+L248</f>
        <v>0</v>
      </c>
      <c r="N248" s="307">
        <f t="shared" si="151"/>
        <v>219414700</v>
      </c>
      <c r="P248" s="320"/>
      <c r="R248" s="321"/>
      <c r="S248" s="349"/>
      <c r="T248" s="349"/>
      <c r="U248" s="350"/>
    </row>
    <row r="249" spans="1:21" s="329" customFormat="1" ht="18" customHeight="1" x14ac:dyDescent="0.25">
      <c r="A249" s="323"/>
      <c r="B249" s="324"/>
      <c r="C249" s="379"/>
      <c r="D249" s="325" t="s">
        <v>207</v>
      </c>
      <c r="E249" s="326" t="s">
        <v>262</v>
      </c>
      <c r="F249" s="327">
        <f t="shared" ref="F249:H251" si="152">+F250</f>
        <v>219414700</v>
      </c>
      <c r="G249" s="328">
        <f>+G250</f>
        <v>0</v>
      </c>
      <c r="H249" s="328">
        <f t="shared" si="152"/>
        <v>0</v>
      </c>
      <c r="I249" s="328">
        <f t="shared" ref="I249:I253" si="153">+G249+H249</f>
        <v>0</v>
      </c>
      <c r="J249" s="328">
        <f t="shared" ref="J249:K251" si="154">+J250</f>
        <v>0</v>
      </c>
      <c r="K249" s="328">
        <f t="shared" si="154"/>
        <v>0</v>
      </c>
      <c r="L249" s="328">
        <f t="shared" ref="L249:L251" si="155">+J249+K249</f>
        <v>0</v>
      </c>
      <c r="M249" s="328">
        <f t="shared" ref="M249:M252" si="156">+I249+L249</f>
        <v>0</v>
      </c>
      <c r="N249" s="327">
        <f t="shared" si="151"/>
        <v>219414700</v>
      </c>
      <c r="P249" s="330"/>
      <c r="R249" s="331"/>
      <c r="S249" s="351"/>
      <c r="T249" s="351"/>
      <c r="U249" s="333"/>
    </row>
    <row r="250" spans="1:21" s="339" customFormat="1" ht="18" customHeight="1" x14ac:dyDescent="0.25">
      <c r="A250" s="334"/>
      <c r="B250" s="352"/>
      <c r="C250" s="334"/>
      <c r="D250" s="335" t="s">
        <v>63</v>
      </c>
      <c r="E250" s="335" t="s">
        <v>30</v>
      </c>
      <c r="F250" s="337">
        <f t="shared" si="152"/>
        <v>219414700</v>
      </c>
      <c r="G250" s="344">
        <f>+G251</f>
        <v>0</v>
      </c>
      <c r="H250" s="344">
        <f t="shared" si="152"/>
        <v>0</v>
      </c>
      <c r="I250" s="344">
        <f t="shared" si="153"/>
        <v>0</v>
      </c>
      <c r="J250" s="344">
        <f t="shared" si="154"/>
        <v>0</v>
      </c>
      <c r="K250" s="344">
        <f t="shared" si="154"/>
        <v>0</v>
      </c>
      <c r="L250" s="344">
        <f t="shared" si="155"/>
        <v>0</v>
      </c>
      <c r="M250" s="344">
        <f t="shared" si="156"/>
        <v>0</v>
      </c>
      <c r="N250" s="337">
        <f t="shared" si="151"/>
        <v>219414700</v>
      </c>
      <c r="P250" s="340"/>
      <c r="S250" s="347"/>
      <c r="T250" s="347"/>
      <c r="U250" s="342"/>
    </row>
    <row r="251" spans="1:21" s="339" customFormat="1" ht="18" customHeight="1" x14ac:dyDescent="0.25">
      <c r="A251" s="334"/>
      <c r="B251" s="335"/>
      <c r="C251" s="334"/>
      <c r="D251" s="365" t="s">
        <v>263</v>
      </c>
      <c r="E251" s="335" t="s">
        <v>264</v>
      </c>
      <c r="F251" s="337">
        <f t="shared" si="152"/>
        <v>219414700</v>
      </c>
      <c r="G251" s="344">
        <f>+G252</f>
        <v>0</v>
      </c>
      <c r="H251" s="344">
        <f t="shared" si="152"/>
        <v>0</v>
      </c>
      <c r="I251" s="344">
        <f t="shared" si="153"/>
        <v>0</v>
      </c>
      <c r="J251" s="344">
        <f t="shared" si="154"/>
        <v>0</v>
      </c>
      <c r="K251" s="344">
        <f t="shared" si="154"/>
        <v>0</v>
      </c>
      <c r="L251" s="344">
        <f t="shared" si="155"/>
        <v>0</v>
      </c>
      <c r="M251" s="344">
        <f t="shared" si="156"/>
        <v>0</v>
      </c>
      <c r="N251" s="337">
        <f t="shared" si="151"/>
        <v>219414700</v>
      </c>
      <c r="P251" s="340"/>
      <c r="S251" s="347"/>
      <c r="T251" s="347"/>
      <c r="U251" s="342"/>
    </row>
    <row r="252" spans="1:21" s="339" customFormat="1" ht="18" customHeight="1" x14ac:dyDescent="0.25">
      <c r="A252" s="334"/>
      <c r="B252" s="352"/>
      <c r="C252" s="334"/>
      <c r="D252" s="335" t="s">
        <v>64</v>
      </c>
      <c r="E252" s="335" t="s">
        <v>65</v>
      </c>
      <c r="F252" s="337">
        <f>SUM(F253:F255)</f>
        <v>219414700</v>
      </c>
      <c r="G252" s="344">
        <f>SUM(G253:G255)</f>
        <v>0</v>
      </c>
      <c r="H252" s="344">
        <f>SUM(H253:H255)</f>
        <v>0</v>
      </c>
      <c r="I252" s="344">
        <f t="shared" si="153"/>
        <v>0</v>
      </c>
      <c r="J252" s="344">
        <f>SUM(J253:J255)</f>
        <v>0</v>
      </c>
      <c r="K252" s="344">
        <f>SUM(K253:K255)</f>
        <v>0</v>
      </c>
      <c r="L252" s="344">
        <f>+J252+K252</f>
        <v>0</v>
      </c>
      <c r="M252" s="344">
        <f t="shared" si="156"/>
        <v>0</v>
      </c>
      <c r="N252" s="337">
        <f t="shared" si="151"/>
        <v>219414700</v>
      </c>
      <c r="P252" s="340"/>
      <c r="S252" s="347"/>
      <c r="T252" s="347"/>
      <c r="U252" s="342"/>
    </row>
    <row r="253" spans="1:21" s="339" customFormat="1" ht="18" customHeight="1" x14ac:dyDescent="0.25">
      <c r="A253" s="334"/>
      <c r="B253" s="352"/>
      <c r="C253" s="334"/>
      <c r="D253" s="335" t="s">
        <v>337</v>
      </c>
      <c r="E253" s="335" t="s">
        <v>338</v>
      </c>
      <c r="F253" s="337">
        <v>875000</v>
      </c>
      <c r="G253" s="344"/>
      <c r="H253" s="344"/>
      <c r="I253" s="344">
        <f t="shared" si="153"/>
        <v>0</v>
      </c>
      <c r="J253" s="344"/>
      <c r="K253" s="344"/>
      <c r="L253" s="344">
        <f>+J253+K253</f>
        <v>0</v>
      </c>
      <c r="M253" s="344">
        <f>+I253+L253</f>
        <v>0</v>
      </c>
      <c r="N253" s="337">
        <f t="shared" si="151"/>
        <v>875000</v>
      </c>
      <c r="P253" s="340"/>
      <c r="S253" s="347"/>
      <c r="T253" s="347"/>
      <c r="U253" s="342"/>
    </row>
    <row r="254" spans="1:21" s="339" customFormat="1" ht="18" customHeight="1" x14ac:dyDescent="0.25">
      <c r="A254" s="334"/>
      <c r="B254" s="352"/>
      <c r="C254" s="334"/>
      <c r="D254" s="335" t="s">
        <v>68</v>
      </c>
      <c r="E254" s="335" t="s">
        <v>69</v>
      </c>
      <c r="F254" s="337">
        <v>182539700</v>
      </c>
      <c r="G254" s="344"/>
      <c r="H254" s="344"/>
      <c r="I254" s="344">
        <f>+G254+H254</f>
        <v>0</v>
      </c>
      <c r="J254" s="344"/>
      <c r="K254" s="344"/>
      <c r="L254" s="344">
        <f>+J254+K254</f>
        <v>0</v>
      </c>
      <c r="M254" s="344">
        <f>+I254+L254</f>
        <v>0</v>
      </c>
      <c r="N254" s="337">
        <f t="shared" si="151"/>
        <v>182539700</v>
      </c>
      <c r="P254" s="340"/>
      <c r="S254" s="346"/>
      <c r="T254" s="347"/>
      <c r="U254" s="342"/>
    </row>
    <row r="255" spans="1:21" s="153" customFormat="1" ht="18" customHeight="1" x14ac:dyDescent="0.25">
      <c r="A255" s="353"/>
      <c r="B255" s="387"/>
      <c r="C255" s="353"/>
      <c r="D255" s="355" t="s">
        <v>126</v>
      </c>
      <c r="E255" s="355" t="s">
        <v>127</v>
      </c>
      <c r="F255" s="356">
        <v>36000000</v>
      </c>
      <c r="G255" s="357">
        <v>0</v>
      </c>
      <c r="H255" s="357"/>
      <c r="I255" s="357">
        <f>+G255+H255</f>
        <v>0</v>
      </c>
      <c r="J255" s="357"/>
      <c r="K255" s="357"/>
      <c r="L255" s="357">
        <f>+J255+K255</f>
        <v>0</v>
      </c>
      <c r="M255" s="357">
        <f>+I255+L255</f>
        <v>0</v>
      </c>
      <c r="N255" s="356">
        <f t="shared" si="151"/>
        <v>36000000</v>
      </c>
      <c r="P255" s="200"/>
      <c r="S255" s="358"/>
      <c r="T255" s="221"/>
      <c r="U255" s="254"/>
    </row>
    <row r="256" spans="1:21" s="319" customFormat="1" ht="18" customHeight="1" x14ac:dyDescent="0.25">
      <c r="A256" s="276">
        <v>13</v>
      </c>
      <c r="B256" s="305"/>
      <c r="C256" s="305" t="s">
        <v>128</v>
      </c>
      <c r="D256" s="363"/>
      <c r="E256" s="364" t="s">
        <v>46</v>
      </c>
      <c r="F256" s="307">
        <f>+F257</f>
        <v>38400620000</v>
      </c>
      <c r="G256" s="308">
        <f>+G257</f>
        <v>0</v>
      </c>
      <c r="H256" s="308">
        <f>+H257</f>
        <v>3058644020</v>
      </c>
      <c r="I256" s="308">
        <f>+G256+H256</f>
        <v>3058644020</v>
      </c>
      <c r="J256" s="308">
        <f>+J257</f>
        <v>0</v>
      </c>
      <c r="K256" s="308">
        <f>+K257</f>
        <v>22194700</v>
      </c>
      <c r="L256" s="308">
        <f>+J256+K256</f>
        <v>22194700</v>
      </c>
      <c r="M256" s="308">
        <f>+I256+L256</f>
        <v>3080838720</v>
      </c>
      <c r="N256" s="307">
        <f>+F256-M256</f>
        <v>35319781280</v>
      </c>
      <c r="P256" s="320"/>
      <c r="R256" s="321"/>
      <c r="S256" s="349"/>
      <c r="T256" s="349"/>
      <c r="U256" s="350"/>
    </row>
    <row r="257" spans="1:21" s="329" customFormat="1" ht="18" customHeight="1" x14ac:dyDescent="0.25">
      <c r="A257" s="323"/>
      <c r="B257" s="324"/>
      <c r="C257" s="379"/>
      <c r="D257" s="325" t="s">
        <v>207</v>
      </c>
      <c r="E257" s="326" t="s">
        <v>262</v>
      </c>
      <c r="F257" s="327">
        <f>+F258</f>
        <v>38400620000</v>
      </c>
      <c r="G257" s="328">
        <f>+G258</f>
        <v>0</v>
      </c>
      <c r="H257" s="328">
        <f t="shared" ref="F257:H259" si="157">+H258</f>
        <v>3058644020</v>
      </c>
      <c r="I257" s="328">
        <f t="shared" ref="I257:I262" si="158">+G257+H257</f>
        <v>3058644020</v>
      </c>
      <c r="J257" s="328">
        <f t="shared" ref="J257:K259" si="159">+J258</f>
        <v>0</v>
      </c>
      <c r="K257" s="328">
        <f t="shared" si="159"/>
        <v>22194700</v>
      </c>
      <c r="L257" s="328">
        <f t="shared" ref="L257:L260" si="160">+J257+K257</f>
        <v>22194700</v>
      </c>
      <c r="M257" s="328">
        <f t="shared" ref="M257:M260" si="161">+I257+L257</f>
        <v>3080838720</v>
      </c>
      <c r="N257" s="327">
        <f>+F257-M257</f>
        <v>35319781280</v>
      </c>
      <c r="P257" s="330"/>
      <c r="R257" s="331"/>
      <c r="S257" s="351"/>
      <c r="T257" s="351"/>
      <c r="U257" s="333"/>
    </row>
    <row r="258" spans="1:21" s="339" customFormat="1" ht="18" customHeight="1" x14ac:dyDescent="0.25">
      <c r="A258" s="334"/>
      <c r="B258" s="352"/>
      <c r="C258" s="334"/>
      <c r="D258" s="335" t="s">
        <v>63</v>
      </c>
      <c r="E258" s="335" t="s">
        <v>30</v>
      </c>
      <c r="F258" s="337">
        <f>+F259+F262</f>
        <v>38400620000</v>
      </c>
      <c r="G258" s="344">
        <f>+G259+G262</f>
        <v>0</v>
      </c>
      <c r="H258" s="344">
        <f>+H259+H262</f>
        <v>3058644020</v>
      </c>
      <c r="I258" s="344">
        <f t="shared" si="158"/>
        <v>3058644020</v>
      </c>
      <c r="J258" s="344">
        <f>+J259+J262</f>
        <v>0</v>
      </c>
      <c r="K258" s="344">
        <f>+K259+K262</f>
        <v>22194700</v>
      </c>
      <c r="L258" s="344">
        <f t="shared" si="160"/>
        <v>22194700</v>
      </c>
      <c r="M258" s="344">
        <f t="shared" si="161"/>
        <v>3080838720</v>
      </c>
      <c r="N258" s="337">
        <f>+F258-M258</f>
        <v>35319781280</v>
      </c>
      <c r="P258" s="340"/>
      <c r="S258" s="347"/>
      <c r="T258" s="347"/>
      <c r="U258" s="342"/>
    </row>
    <row r="259" spans="1:21" s="339" customFormat="1" ht="18" customHeight="1" x14ac:dyDescent="0.25">
      <c r="A259" s="334"/>
      <c r="B259" s="335"/>
      <c r="C259" s="334"/>
      <c r="D259" s="365" t="s">
        <v>263</v>
      </c>
      <c r="E259" s="335" t="s">
        <v>264</v>
      </c>
      <c r="F259" s="337">
        <f t="shared" si="157"/>
        <v>35000000</v>
      </c>
      <c r="G259" s="344">
        <f>+G260</f>
        <v>0</v>
      </c>
      <c r="H259" s="344">
        <f t="shared" si="157"/>
        <v>0</v>
      </c>
      <c r="I259" s="344">
        <f t="shared" si="158"/>
        <v>0</v>
      </c>
      <c r="J259" s="344">
        <f t="shared" si="159"/>
        <v>0</v>
      </c>
      <c r="K259" s="344">
        <f t="shared" si="159"/>
        <v>0</v>
      </c>
      <c r="L259" s="344">
        <f t="shared" si="160"/>
        <v>0</v>
      </c>
      <c r="M259" s="344">
        <f t="shared" si="161"/>
        <v>0</v>
      </c>
      <c r="N259" s="337">
        <f>+F259-M259</f>
        <v>35000000</v>
      </c>
      <c r="P259" s="340"/>
      <c r="S259" s="347"/>
      <c r="T259" s="347"/>
      <c r="U259" s="342"/>
    </row>
    <row r="260" spans="1:21" s="339" customFormat="1" ht="18" customHeight="1" x14ac:dyDescent="0.25">
      <c r="A260" s="334"/>
      <c r="B260" s="352"/>
      <c r="C260" s="334"/>
      <c r="D260" s="335" t="s">
        <v>64</v>
      </c>
      <c r="E260" s="335" t="s">
        <v>65</v>
      </c>
      <c r="F260" s="337">
        <f>+F261</f>
        <v>35000000</v>
      </c>
      <c r="G260" s="344">
        <f>+G261</f>
        <v>0</v>
      </c>
      <c r="H260" s="344">
        <f>+H261+H265</f>
        <v>0</v>
      </c>
      <c r="I260" s="344">
        <f t="shared" si="158"/>
        <v>0</v>
      </c>
      <c r="J260" s="344">
        <f>J261</f>
        <v>0</v>
      </c>
      <c r="K260" s="344">
        <f>+K261</f>
        <v>0</v>
      </c>
      <c r="L260" s="344">
        <f t="shared" si="160"/>
        <v>0</v>
      </c>
      <c r="M260" s="344">
        <f t="shared" si="161"/>
        <v>0</v>
      </c>
      <c r="N260" s="337">
        <f>+F260-M260</f>
        <v>35000000</v>
      </c>
      <c r="P260" s="340"/>
      <c r="S260" s="347"/>
      <c r="T260" s="347"/>
      <c r="U260" s="342"/>
    </row>
    <row r="261" spans="1:21" s="339" customFormat="1" ht="18" customHeight="1" x14ac:dyDescent="0.25">
      <c r="A261" s="334"/>
      <c r="B261" s="352"/>
      <c r="C261" s="334"/>
      <c r="D261" s="335" t="s">
        <v>129</v>
      </c>
      <c r="E261" s="335" t="s">
        <v>130</v>
      </c>
      <c r="F261" s="337">
        <v>35000000</v>
      </c>
      <c r="G261" s="344"/>
      <c r="H261" s="344"/>
      <c r="I261" s="344">
        <f t="shared" si="158"/>
        <v>0</v>
      </c>
      <c r="J261" s="344"/>
      <c r="K261" s="344"/>
      <c r="L261" s="344">
        <f>+J261+K261</f>
        <v>0</v>
      </c>
      <c r="M261" s="344">
        <f>+I261+L261</f>
        <v>0</v>
      </c>
      <c r="N261" s="337">
        <f t="shared" ref="N261" si="162">+F261-M261</f>
        <v>35000000</v>
      </c>
      <c r="P261" s="340"/>
      <c r="S261" s="346"/>
      <c r="T261" s="347"/>
      <c r="U261" s="342"/>
    </row>
    <row r="262" spans="1:21" s="339" customFormat="1" ht="18" customHeight="1" x14ac:dyDescent="0.25">
      <c r="A262" s="334"/>
      <c r="B262" s="335"/>
      <c r="C262" s="334"/>
      <c r="D262" s="365" t="s">
        <v>271</v>
      </c>
      <c r="E262" s="335" t="s">
        <v>272</v>
      </c>
      <c r="F262" s="337">
        <f t="shared" ref="F262:H262" si="163">+F263</f>
        <v>38365620000</v>
      </c>
      <c r="G262" s="344">
        <f>+G263</f>
        <v>0</v>
      </c>
      <c r="H262" s="344">
        <f t="shared" si="163"/>
        <v>3058644020</v>
      </c>
      <c r="I262" s="344">
        <f t="shared" si="158"/>
        <v>3058644020</v>
      </c>
      <c r="J262" s="344">
        <f>+J263</f>
        <v>0</v>
      </c>
      <c r="K262" s="344">
        <f t="shared" ref="K262" si="164">+K263</f>
        <v>22194700</v>
      </c>
      <c r="L262" s="344">
        <f t="shared" ref="L262" si="165">+J262+K262</f>
        <v>22194700</v>
      </c>
      <c r="M262" s="344">
        <f t="shared" ref="M262:M263" si="166">+I262+L262</f>
        <v>3080838720</v>
      </c>
      <c r="N262" s="337">
        <f>+F262-M262</f>
        <v>35284781280</v>
      </c>
      <c r="P262" s="340"/>
      <c r="S262" s="346"/>
      <c r="T262" s="347"/>
      <c r="U262" s="342"/>
    </row>
    <row r="263" spans="1:21" s="339" customFormat="1" ht="18" customHeight="1" x14ac:dyDescent="0.25">
      <c r="A263" s="334"/>
      <c r="B263" s="352"/>
      <c r="C263" s="334"/>
      <c r="D263" s="335" t="s">
        <v>81</v>
      </c>
      <c r="E263" s="335" t="s">
        <v>31</v>
      </c>
      <c r="F263" s="337">
        <f>SUM(F264:F268)</f>
        <v>38365620000</v>
      </c>
      <c r="G263" s="344">
        <f>SUM(G264:G268)</f>
        <v>0</v>
      </c>
      <c r="H263" s="344">
        <f>SUM(H264:H268)</f>
        <v>3058644020</v>
      </c>
      <c r="I263" s="344">
        <f>+G263+H263</f>
        <v>3058644020</v>
      </c>
      <c r="J263" s="344">
        <f>SUM(J264:J268)</f>
        <v>0</v>
      </c>
      <c r="K263" s="344">
        <f>SUM(K264:K268)</f>
        <v>22194700</v>
      </c>
      <c r="L263" s="344">
        <f>+J263+K263</f>
        <v>22194700</v>
      </c>
      <c r="M263" s="344">
        <f t="shared" si="166"/>
        <v>3080838720</v>
      </c>
      <c r="N263" s="337">
        <f>+F263-M263</f>
        <v>35284781280</v>
      </c>
      <c r="P263" s="340"/>
      <c r="S263" s="346"/>
      <c r="T263" s="347"/>
      <c r="U263" s="342"/>
    </row>
    <row r="264" spans="1:21" s="339" customFormat="1" ht="18" customHeight="1" x14ac:dyDescent="0.25">
      <c r="A264" s="334"/>
      <c r="B264" s="352"/>
      <c r="C264" s="334"/>
      <c r="D264" s="335" t="s">
        <v>131</v>
      </c>
      <c r="E264" s="335" t="s">
        <v>132</v>
      </c>
      <c r="F264" s="337">
        <v>16800000</v>
      </c>
      <c r="G264" s="344"/>
      <c r="H264" s="344"/>
      <c r="I264" s="344">
        <f t="shared" ref="I264:I268" si="167">+G264+H264</f>
        <v>0</v>
      </c>
      <c r="J264" s="344"/>
      <c r="K264" s="344"/>
      <c r="L264" s="344">
        <f>+J264+K264</f>
        <v>0</v>
      </c>
      <c r="M264" s="344">
        <f>+I264+L264</f>
        <v>0</v>
      </c>
      <c r="N264" s="337">
        <f t="shared" ref="N264:N268" si="168">+F264-M264</f>
        <v>16800000</v>
      </c>
      <c r="P264" s="340"/>
      <c r="S264" s="346"/>
      <c r="T264" s="347"/>
      <c r="U264" s="342"/>
    </row>
    <row r="265" spans="1:21" s="339" customFormat="1" ht="18" customHeight="1" x14ac:dyDescent="0.25">
      <c r="A265" s="334"/>
      <c r="B265" s="352"/>
      <c r="C265" s="334"/>
      <c r="D265" s="335" t="s">
        <v>133</v>
      </c>
      <c r="E265" s="335" t="s">
        <v>134</v>
      </c>
      <c r="F265" s="337">
        <v>42000000</v>
      </c>
      <c r="G265" s="344">
        <v>0</v>
      </c>
      <c r="H265" s="344"/>
      <c r="I265" s="344">
        <f t="shared" si="167"/>
        <v>0</v>
      </c>
      <c r="J265" s="344"/>
      <c r="K265" s="344">
        <v>2344700</v>
      </c>
      <c r="L265" s="344">
        <f>+J265+K265</f>
        <v>2344700</v>
      </c>
      <c r="M265" s="344">
        <f>+I265+L265</f>
        <v>2344700</v>
      </c>
      <c r="N265" s="337">
        <f t="shared" si="168"/>
        <v>39655300</v>
      </c>
      <c r="P265" s="340"/>
      <c r="S265" s="346"/>
      <c r="T265" s="347"/>
      <c r="U265" s="342"/>
    </row>
    <row r="266" spans="1:21" s="339" customFormat="1" ht="18" customHeight="1" x14ac:dyDescent="0.25">
      <c r="A266" s="334"/>
      <c r="B266" s="352"/>
      <c r="C266" s="334"/>
      <c r="D266" s="335" t="s">
        <v>135</v>
      </c>
      <c r="E266" s="335" t="s">
        <v>136</v>
      </c>
      <c r="F266" s="337">
        <v>37992800000</v>
      </c>
      <c r="G266" s="344"/>
      <c r="H266" s="344">
        <f>33466948+3025177072</f>
        <v>3058644020</v>
      </c>
      <c r="I266" s="344">
        <f t="shared" si="167"/>
        <v>3058644020</v>
      </c>
      <c r="J266" s="344"/>
      <c r="K266" s="344"/>
      <c r="L266" s="344">
        <f>+J266+K266</f>
        <v>0</v>
      </c>
      <c r="M266" s="344">
        <f>+I266+L266</f>
        <v>3058644020</v>
      </c>
      <c r="N266" s="337">
        <f t="shared" si="168"/>
        <v>34934155980</v>
      </c>
      <c r="P266" s="340"/>
      <c r="S266" s="346"/>
      <c r="T266" s="346"/>
      <c r="U266" s="342"/>
    </row>
    <row r="267" spans="1:21" s="339" customFormat="1" ht="18" customHeight="1" x14ac:dyDescent="0.25">
      <c r="A267" s="334"/>
      <c r="B267" s="352"/>
      <c r="C267" s="334"/>
      <c r="D267" s="335" t="s">
        <v>137</v>
      </c>
      <c r="E267" s="335" t="s">
        <v>138</v>
      </c>
      <c r="F267" s="337">
        <v>12820000</v>
      </c>
      <c r="G267" s="344"/>
      <c r="H267" s="344"/>
      <c r="I267" s="344">
        <f t="shared" si="167"/>
        <v>0</v>
      </c>
      <c r="J267" s="344"/>
      <c r="K267" s="344"/>
      <c r="L267" s="344">
        <f t="shared" ref="L267:L272" si="169">+J267+K267</f>
        <v>0</v>
      </c>
      <c r="M267" s="344">
        <f t="shared" ref="M267:M268" si="170">+I267+L267</f>
        <v>0</v>
      </c>
      <c r="N267" s="337">
        <f t="shared" si="168"/>
        <v>12820000</v>
      </c>
      <c r="P267" s="340"/>
      <c r="S267" s="346"/>
      <c r="T267" s="346"/>
      <c r="U267" s="342"/>
    </row>
    <row r="268" spans="1:21" s="339" customFormat="1" ht="18" customHeight="1" x14ac:dyDescent="0.25">
      <c r="A268" s="334"/>
      <c r="B268" s="352"/>
      <c r="C268" s="334"/>
      <c r="D268" s="335" t="s">
        <v>139</v>
      </c>
      <c r="E268" s="335" t="s">
        <v>140</v>
      </c>
      <c r="F268" s="337">
        <v>301200000</v>
      </c>
      <c r="G268" s="344"/>
      <c r="H268" s="344"/>
      <c r="I268" s="344">
        <f t="shared" si="167"/>
        <v>0</v>
      </c>
      <c r="J268" s="344"/>
      <c r="K268" s="344">
        <v>19850000</v>
      </c>
      <c r="L268" s="344">
        <f t="shared" si="169"/>
        <v>19850000</v>
      </c>
      <c r="M268" s="344">
        <f t="shared" si="170"/>
        <v>19850000</v>
      </c>
      <c r="N268" s="337">
        <f t="shared" si="168"/>
        <v>281350000</v>
      </c>
      <c r="P268" s="340"/>
      <c r="S268" s="346"/>
      <c r="T268" s="346"/>
      <c r="U268" s="342"/>
    </row>
    <row r="269" spans="1:21" s="319" customFormat="1" ht="18" customHeight="1" x14ac:dyDescent="0.25">
      <c r="A269" s="276">
        <v>14</v>
      </c>
      <c r="B269" s="305"/>
      <c r="C269" s="305" t="s">
        <v>141</v>
      </c>
      <c r="D269" s="363"/>
      <c r="E269" s="364" t="s">
        <v>142</v>
      </c>
      <c r="F269" s="307">
        <f>+F270</f>
        <v>100000000</v>
      </c>
      <c r="G269" s="308">
        <f>+G270</f>
        <v>0</v>
      </c>
      <c r="H269" s="308">
        <f>+H270</f>
        <v>0</v>
      </c>
      <c r="I269" s="308">
        <f>+G269+H269</f>
        <v>0</v>
      </c>
      <c r="J269" s="308">
        <f>+J270</f>
        <v>0</v>
      </c>
      <c r="K269" s="308">
        <f>+K270</f>
        <v>0</v>
      </c>
      <c r="L269" s="308">
        <f t="shared" si="169"/>
        <v>0</v>
      </c>
      <c r="M269" s="308">
        <f>+I269+L269</f>
        <v>0</v>
      </c>
      <c r="N269" s="307">
        <f>+F269-M269</f>
        <v>100000000</v>
      </c>
      <c r="P269" s="320"/>
      <c r="R269" s="321"/>
      <c r="S269" s="349"/>
      <c r="T269" s="349"/>
      <c r="U269" s="350"/>
    </row>
    <row r="270" spans="1:21" s="329" customFormat="1" ht="16.5" customHeight="1" x14ac:dyDescent="0.25">
      <c r="A270" s="323"/>
      <c r="B270" s="324"/>
      <c r="C270" s="324"/>
      <c r="D270" s="325" t="s">
        <v>207</v>
      </c>
      <c r="E270" s="326" t="s">
        <v>262</v>
      </c>
      <c r="F270" s="327">
        <f>+F271</f>
        <v>100000000</v>
      </c>
      <c r="G270" s="328">
        <f>+G271</f>
        <v>0</v>
      </c>
      <c r="H270" s="328">
        <f t="shared" ref="F270:H272" si="171">+H271</f>
        <v>0</v>
      </c>
      <c r="I270" s="328">
        <f t="shared" ref="I270:I276" si="172">+G270+H270</f>
        <v>0</v>
      </c>
      <c r="J270" s="328">
        <f t="shared" ref="J270:J272" si="173">+J271</f>
        <v>0</v>
      </c>
      <c r="K270" s="328">
        <f>+K271</f>
        <v>0</v>
      </c>
      <c r="L270" s="328">
        <f t="shared" si="169"/>
        <v>0</v>
      </c>
      <c r="M270" s="328">
        <f t="shared" ref="M270:M273" si="174">+I270+L270</f>
        <v>0</v>
      </c>
      <c r="N270" s="327">
        <f>+F270-M270</f>
        <v>100000000</v>
      </c>
      <c r="P270" s="330"/>
      <c r="R270" s="331"/>
      <c r="S270" s="351"/>
      <c r="T270" s="351"/>
      <c r="U270" s="333"/>
    </row>
    <row r="271" spans="1:21" s="339" customFormat="1" ht="16.5" customHeight="1" x14ac:dyDescent="0.25">
      <c r="A271" s="334"/>
      <c r="B271" s="352"/>
      <c r="C271" s="334"/>
      <c r="D271" s="335" t="s">
        <v>63</v>
      </c>
      <c r="E271" s="335" t="s">
        <v>30</v>
      </c>
      <c r="F271" s="337">
        <f>F272</f>
        <v>100000000</v>
      </c>
      <c r="G271" s="344">
        <f>+G272</f>
        <v>0</v>
      </c>
      <c r="H271" s="344">
        <f t="shared" si="171"/>
        <v>0</v>
      </c>
      <c r="I271" s="344">
        <f t="shared" si="172"/>
        <v>0</v>
      </c>
      <c r="J271" s="344">
        <f t="shared" si="173"/>
        <v>0</v>
      </c>
      <c r="K271" s="344">
        <f>+K272</f>
        <v>0</v>
      </c>
      <c r="L271" s="344">
        <f t="shared" si="169"/>
        <v>0</v>
      </c>
      <c r="M271" s="344">
        <f t="shared" si="174"/>
        <v>0</v>
      </c>
      <c r="N271" s="337">
        <f>+F271-M271</f>
        <v>100000000</v>
      </c>
      <c r="P271" s="340"/>
      <c r="S271" s="347"/>
      <c r="T271" s="347"/>
      <c r="U271" s="342"/>
    </row>
    <row r="272" spans="1:21" s="339" customFormat="1" ht="16.5" customHeight="1" x14ac:dyDescent="0.25">
      <c r="A272" s="334"/>
      <c r="B272" s="335"/>
      <c r="C272" s="334"/>
      <c r="D272" s="365" t="s">
        <v>263</v>
      </c>
      <c r="E272" s="335" t="s">
        <v>264</v>
      </c>
      <c r="F272" s="337">
        <f t="shared" si="171"/>
        <v>100000000</v>
      </c>
      <c r="G272" s="344">
        <f>+G273</f>
        <v>0</v>
      </c>
      <c r="H272" s="344">
        <f t="shared" si="171"/>
        <v>0</v>
      </c>
      <c r="I272" s="344">
        <f t="shared" si="172"/>
        <v>0</v>
      </c>
      <c r="J272" s="344">
        <f t="shared" si="173"/>
        <v>0</v>
      </c>
      <c r="K272" s="344">
        <f>+K273</f>
        <v>0</v>
      </c>
      <c r="L272" s="344">
        <f t="shared" si="169"/>
        <v>0</v>
      </c>
      <c r="M272" s="344">
        <f t="shared" si="174"/>
        <v>0</v>
      </c>
      <c r="N272" s="337">
        <f>+F272-M272</f>
        <v>100000000</v>
      </c>
      <c r="P272" s="340"/>
      <c r="S272" s="347"/>
      <c r="T272" s="347"/>
      <c r="U272" s="342"/>
    </row>
    <row r="273" spans="1:21" s="339" customFormat="1" ht="16.5" customHeight="1" x14ac:dyDescent="0.25">
      <c r="A273" s="334"/>
      <c r="B273" s="352"/>
      <c r="C273" s="334"/>
      <c r="D273" s="335" t="s">
        <v>64</v>
      </c>
      <c r="E273" s="335" t="s">
        <v>65</v>
      </c>
      <c r="F273" s="337">
        <f>SUM(F274:F277)</f>
        <v>100000000</v>
      </c>
      <c r="G273" s="344">
        <f>SUM(G274:G277)</f>
        <v>0</v>
      </c>
      <c r="H273" s="344">
        <f>SUM(H274:H277)</f>
        <v>0</v>
      </c>
      <c r="I273" s="344">
        <f>+G273+H273</f>
        <v>0</v>
      </c>
      <c r="J273" s="344">
        <f>SUM(J274:J277)</f>
        <v>0</v>
      </c>
      <c r="K273" s="344">
        <f>SUM(K274:K277)</f>
        <v>0</v>
      </c>
      <c r="L273" s="344">
        <f>+J273+K273</f>
        <v>0</v>
      </c>
      <c r="M273" s="344">
        <f t="shared" si="174"/>
        <v>0</v>
      </c>
      <c r="N273" s="337">
        <f>+F273-M273</f>
        <v>100000000</v>
      </c>
      <c r="P273" s="340"/>
      <c r="S273" s="347"/>
      <c r="T273" s="347"/>
      <c r="U273" s="342"/>
    </row>
    <row r="274" spans="1:21" s="339" customFormat="1" ht="16.5" customHeight="1" x14ac:dyDescent="0.25">
      <c r="A274" s="334"/>
      <c r="B274" s="352"/>
      <c r="C274" s="334"/>
      <c r="D274" s="335" t="s">
        <v>66</v>
      </c>
      <c r="E274" s="335" t="s">
        <v>67</v>
      </c>
      <c r="F274" s="337">
        <v>57982150</v>
      </c>
      <c r="G274" s="344"/>
      <c r="H274" s="344"/>
      <c r="I274" s="344">
        <f t="shared" si="172"/>
        <v>0</v>
      </c>
      <c r="J274" s="344"/>
      <c r="K274" s="344"/>
      <c r="L274" s="344">
        <f>+J274+K274</f>
        <v>0</v>
      </c>
      <c r="M274" s="344">
        <f>+I274+L274</f>
        <v>0</v>
      </c>
      <c r="N274" s="337">
        <f t="shared" ref="N274:N277" si="175">+F274-M274</f>
        <v>57982150</v>
      </c>
      <c r="P274" s="340"/>
      <c r="S274" s="347"/>
      <c r="T274" s="347"/>
      <c r="U274" s="342"/>
    </row>
    <row r="275" spans="1:21" s="339" customFormat="1" ht="18" customHeight="1" x14ac:dyDescent="0.25">
      <c r="A275" s="334"/>
      <c r="B275" s="352"/>
      <c r="C275" s="334"/>
      <c r="D275" s="335" t="s">
        <v>337</v>
      </c>
      <c r="E275" s="335" t="s">
        <v>338</v>
      </c>
      <c r="F275" s="337">
        <v>29743300</v>
      </c>
      <c r="G275" s="344"/>
      <c r="H275" s="344"/>
      <c r="I275" s="344">
        <f t="shared" si="172"/>
        <v>0</v>
      </c>
      <c r="J275" s="344"/>
      <c r="K275" s="344"/>
      <c r="L275" s="344"/>
      <c r="M275" s="344">
        <f t="shared" ref="M275:M276" si="176">+I275+L275</f>
        <v>0</v>
      </c>
      <c r="N275" s="337">
        <f t="shared" si="175"/>
        <v>29743300</v>
      </c>
      <c r="P275" s="340"/>
      <c r="S275" s="347"/>
      <c r="T275" s="347"/>
      <c r="U275" s="342"/>
    </row>
    <row r="276" spans="1:21" s="339" customFormat="1" ht="18" customHeight="1" x14ac:dyDescent="0.25">
      <c r="A276" s="334"/>
      <c r="B276" s="352"/>
      <c r="C276" s="334"/>
      <c r="D276" s="335" t="s">
        <v>339</v>
      </c>
      <c r="E276" s="335" t="s">
        <v>340</v>
      </c>
      <c r="F276" s="337">
        <v>8842500</v>
      </c>
      <c r="G276" s="344"/>
      <c r="H276" s="344"/>
      <c r="I276" s="344">
        <f t="shared" si="172"/>
        <v>0</v>
      </c>
      <c r="J276" s="344"/>
      <c r="K276" s="344"/>
      <c r="L276" s="344"/>
      <c r="M276" s="344">
        <f t="shared" si="176"/>
        <v>0</v>
      </c>
      <c r="N276" s="337">
        <f t="shared" si="175"/>
        <v>8842500</v>
      </c>
      <c r="P276" s="340"/>
      <c r="S276" s="347"/>
      <c r="T276" s="347"/>
      <c r="U276" s="342"/>
    </row>
    <row r="277" spans="1:21" s="153" customFormat="1" ht="18" customHeight="1" x14ac:dyDescent="0.25">
      <c r="A277" s="353"/>
      <c r="B277" s="387"/>
      <c r="C277" s="353"/>
      <c r="D277" s="355" t="s">
        <v>361</v>
      </c>
      <c r="E277" s="355" t="s">
        <v>362</v>
      </c>
      <c r="F277" s="356">
        <v>3432050</v>
      </c>
      <c r="G277" s="357"/>
      <c r="H277" s="357"/>
      <c r="I277" s="357">
        <f>+G277+H277</f>
        <v>0</v>
      </c>
      <c r="J277" s="357"/>
      <c r="K277" s="357"/>
      <c r="L277" s="357">
        <f>+J277+K277</f>
        <v>0</v>
      </c>
      <c r="M277" s="357">
        <f>+I277+L277</f>
        <v>0</v>
      </c>
      <c r="N277" s="356">
        <f t="shared" si="175"/>
        <v>3432050</v>
      </c>
      <c r="P277" s="200"/>
      <c r="S277" s="221"/>
      <c r="T277" s="221"/>
      <c r="U277" s="254"/>
    </row>
    <row r="278" spans="1:21" s="319" customFormat="1" ht="18" customHeight="1" x14ac:dyDescent="0.25">
      <c r="A278" s="275">
        <v>15</v>
      </c>
      <c r="B278" s="305"/>
      <c r="C278" s="305" t="s">
        <v>363</v>
      </c>
      <c r="D278" s="363"/>
      <c r="E278" s="364" t="s">
        <v>364</v>
      </c>
      <c r="F278" s="307">
        <f t="shared" ref="F278:H279" si="177">+F279</f>
        <v>1060812675</v>
      </c>
      <c r="G278" s="308">
        <f t="shared" si="177"/>
        <v>0</v>
      </c>
      <c r="H278" s="308">
        <f t="shared" si="177"/>
        <v>0</v>
      </c>
      <c r="I278" s="308">
        <f>+G278+H278</f>
        <v>0</v>
      </c>
      <c r="J278" s="308">
        <f>+J279</f>
        <v>0</v>
      </c>
      <c r="K278" s="308">
        <f>+K279</f>
        <v>72760000</v>
      </c>
      <c r="L278" s="308">
        <f>+J278+K278</f>
        <v>72760000</v>
      </c>
      <c r="M278" s="308">
        <f>+I278+L278</f>
        <v>72760000</v>
      </c>
      <c r="N278" s="307">
        <f>+F278-M278</f>
        <v>988052675</v>
      </c>
      <c r="P278" s="320"/>
      <c r="R278" s="321"/>
      <c r="S278" s="349"/>
      <c r="T278" s="349"/>
      <c r="U278" s="350"/>
    </row>
    <row r="279" spans="1:21" s="329" customFormat="1" ht="18" customHeight="1" x14ac:dyDescent="0.25">
      <c r="A279" s="323"/>
      <c r="B279" s="324"/>
      <c r="C279" s="324"/>
      <c r="D279" s="325" t="s">
        <v>207</v>
      </c>
      <c r="E279" s="326" t="s">
        <v>262</v>
      </c>
      <c r="F279" s="327">
        <f t="shared" si="177"/>
        <v>1060812675</v>
      </c>
      <c r="G279" s="328">
        <f t="shared" si="177"/>
        <v>0</v>
      </c>
      <c r="H279" s="328">
        <f t="shared" si="177"/>
        <v>0</v>
      </c>
      <c r="I279" s="328">
        <f t="shared" ref="I279:I283" si="178">+G279+H279</f>
        <v>0</v>
      </c>
      <c r="J279" s="328">
        <f>+J280</f>
        <v>0</v>
      </c>
      <c r="K279" s="328">
        <f>+K280</f>
        <v>72760000</v>
      </c>
      <c r="L279" s="328">
        <f t="shared" ref="L279:L281" si="179">+J279+K279</f>
        <v>72760000</v>
      </c>
      <c r="M279" s="328">
        <f t="shared" ref="M279:M282" si="180">+I279+L279</f>
        <v>72760000</v>
      </c>
      <c r="N279" s="327">
        <f>+F279-M279</f>
        <v>988052675</v>
      </c>
      <c r="P279" s="330"/>
      <c r="R279" s="331"/>
      <c r="S279" s="351"/>
      <c r="T279" s="351"/>
      <c r="U279" s="333"/>
    </row>
    <row r="280" spans="1:21" s="339" customFormat="1" ht="18" customHeight="1" x14ac:dyDescent="0.25">
      <c r="A280" s="334"/>
      <c r="B280" s="352"/>
      <c r="C280" s="334"/>
      <c r="D280" s="335" t="s">
        <v>63</v>
      </c>
      <c r="E280" s="335" t="s">
        <v>30</v>
      </c>
      <c r="F280" s="337">
        <f>+F281+F291</f>
        <v>1060812675</v>
      </c>
      <c r="G280" s="344">
        <f>+G281+G291</f>
        <v>0</v>
      </c>
      <c r="H280" s="344">
        <f>+H281+H291</f>
        <v>0</v>
      </c>
      <c r="I280" s="344">
        <f t="shared" si="178"/>
        <v>0</v>
      </c>
      <c r="J280" s="344">
        <f>+J281+J291</f>
        <v>0</v>
      </c>
      <c r="K280" s="344">
        <f>+K281+K291</f>
        <v>72760000</v>
      </c>
      <c r="L280" s="344">
        <f t="shared" si="179"/>
        <v>72760000</v>
      </c>
      <c r="M280" s="344">
        <f t="shared" si="180"/>
        <v>72760000</v>
      </c>
      <c r="N280" s="337">
        <f>+F280-M280</f>
        <v>988052675</v>
      </c>
      <c r="P280" s="340"/>
      <c r="S280" s="347"/>
      <c r="T280" s="347"/>
      <c r="U280" s="342"/>
    </row>
    <row r="281" spans="1:21" s="339" customFormat="1" ht="18" customHeight="1" x14ac:dyDescent="0.25">
      <c r="A281" s="334"/>
      <c r="B281" s="335"/>
      <c r="C281" s="334"/>
      <c r="D281" s="365" t="s">
        <v>263</v>
      </c>
      <c r="E281" s="335" t="s">
        <v>264</v>
      </c>
      <c r="F281" s="337">
        <f>+F282</f>
        <v>105412675</v>
      </c>
      <c r="G281" s="344">
        <f t="shared" ref="G281:J281" si="181">+G282</f>
        <v>0</v>
      </c>
      <c r="H281" s="344">
        <f>+H282</f>
        <v>0</v>
      </c>
      <c r="I281" s="344">
        <f t="shared" si="178"/>
        <v>0</v>
      </c>
      <c r="J281" s="344">
        <f t="shared" si="181"/>
        <v>0</v>
      </c>
      <c r="K281" s="344">
        <f>+K282</f>
        <v>0</v>
      </c>
      <c r="L281" s="344">
        <f t="shared" si="179"/>
        <v>0</v>
      </c>
      <c r="M281" s="344">
        <f t="shared" si="180"/>
        <v>0</v>
      </c>
      <c r="N281" s="337">
        <f>+F281-M281</f>
        <v>105412675</v>
      </c>
      <c r="P281" s="340"/>
      <c r="S281" s="347"/>
      <c r="T281" s="347"/>
      <c r="U281" s="342"/>
    </row>
    <row r="282" spans="1:21" s="339" customFormat="1" ht="18" customHeight="1" x14ac:dyDescent="0.25">
      <c r="A282" s="334"/>
      <c r="B282" s="352"/>
      <c r="C282" s="334"/>
      <c r="D282" s="335" t="s">
        <v>64</v>
      </c>
      <c r="E282" s="335" t="s">
        <v>65</v>
      </c>
      <c r="F282" s="337">
        <f>SUM(F283:F290)</f>
        <v>105412675</v>
      </c>
      <c r="G282" s="344">
        <f>SUM(G283:G290)</f>
        <v>0</v>
      </c>
      <c r="H282" s="344">
        <f>SUM(H283:H290)</f>
        <v>0</v>
      </c>
      <c r="I282" s="344">
        <f>+G282+H282</f>
        <v>0</v>
      </c>
      <c r="J282" s="344">
        <f>SUM(J283:J290)</f>
        <v>0</v>
      </c>
      <c r="K282" s="344">
        <f>SUM(K283:K290)</f>
        <v>0</v>
      </c>
      <c r="L282" s="344">
        <f>+J282+K282</f>
        <v>0</v>
      </c>
      <c r="M282" s="344">
        <f t="shared" si="180"/>
        <v>0</v>
      </c>
      <c r="N282" s="337">
        <f>+F282-M282</f>
        <v>105412675</v>
      </c>
      <c r="P282" s="340"/>
      <c r="S282" s="347"/>
      <c r="T282" s="347"/>
      <c r="U282" s="342"/>
    </row>
    <row r="283" spans="1:21" s="339" customFormat="1" ht="18" customHeight="1" x14ac:dyDescent="0.25">
      <c r="A283" s="366"/>
      <c r="C283" s="366"/>
      <c r="D283" s="367" t="s">
        <v>365</v>
      </c>
      <c r="E283" s="367" t="s">
        <v>366</v>
      </c>
      <c r="F283" s="370">
        <v>9228650</v>
      </c>
      <c r="G283" s="371"/>
      <c r="H283" s="371"/>
      <c r="I283" s="371">
        <f t="shared" si="178"/>
        <v>0</v>
      </c>
      <c r="J283" s="371"/>
      <c r="K283" s="371"/>
      <c r="L283" s="371">
        <f>+J283+K283</f>
        <v>0</v>
      </c>
      <c r="M283" s="371">
        <f>+I283+L283</f>
        <v>0</v>
      </c>
      <c r="N283" s="370">
        <f t="shared" ref="N283:N290" si="182">+F283-M283</f>
        <v>9228650</v>
      </c>
      <c r="P283" s="340"/>
      <c r="S283" s="347"/>
      <c r="T283" s="347"/>
      <c r="U283" s="342"/>
    </row>
    <row r="284" spans="1:21" s="339" customFormat="1" ht="18" customHeight="1" x14ac:dyDescent="0.25">
      <c r="A284" s="366"/>
      <c r="C284" s="366"/>
      <c r="D284" s="367" t="s">
        <v>66</v>
      </c>
      <c r="E284" s="367" t="s">
        <v>67</v>
      </c>
      <c r="F284" s="370">
        <v>4831925</v>
      </c>
      <c r="G284" s="371"/>
      <c r="H284" s="371"/>
      <c r="I284" s="371"/>
      <c r="J284" s="371"/>
      <c r="K284" s="371"/>
      <c r="L284" s="371">
        <f t="shared" ref="L284:L296" si="183">+J284+K284</f>
        <v>0</v>
      </c>
      <c r="M284" s="371">
        <f t="shared" ref="M284:M292" si="184">+I284+L284</f>
        <v>0</v>
      </c>
      <c r="N284" s="370">
        <f t="shared" si="182"/>
        <v>4831925</v>
      </c>
      <c r="P284" s="340"/>
      <c r="S284" s="347"/>
      <c r="T284" s="347"/>
      <c r="U284" s="342"/>
    </row>
    <row r="285" spans="1:21" s="339" customFormat="1" ht="18" customHeight="1" x14ac:dyDescent="0.25">
      <c r="A285" s="366"/>
      <c r="C285" s="366"/>
      <c r="D285" s="367" t="s">
        <v>337</v>
      </c>
      <c r="E285" s="367" t="s">
        <v>338</v>
      </c>
      <c r="F285" s="370">
        <v>18985000</v>
      </c>
      <c r="G285" s="371"/>
      <c r="H285" s="371"/>
      <c r="I285" s="371"/>
      <c r="J285" s="371"/>
      <c r="K285" s="371"/>
      <c r="L285" s="371">
        <f t="shared" si="183"/>
        <v>0</v>
      </c>
      <c r="M285" s="371">
        <f t="shared" si="184"/>
        <v>0</v>
      </c>
      <c r="N285" s="370">
        <f t="shared" si="182"/>
        <v>18985000</v>
      </c>
      <c r="P285" s="340"/>
      <c r="S285" s="347"/>
      <c r="T285" s="347"/>
      <c r="U285" s="342"/>
    </row>
    <row r="286" spans="1:21" s="339" customFormat="1" ht="18" customHeight="1" x14ac:dyDescent="0.25">
      <c r="A286" s="366"/>
      <c r="C286" s="366"/>
      <c r="D286" s="367" t="s">
        <v>339</v>
      </c>
      <c r="E286" s="367" t="s">
        <v>340</v>
      </c>
      <c r="F286" s="370">
        <v>2175000</v>
      </c>
      <c r="G286" s="371"/>
      <c r="H286" s="371"/>
      <c r="I286" s="371"/>
      <c r="J286" s="371"/>
      <c r="K286" s="371"/>
      <c r="L286" s="371">
        <f t="shared" si="183"/>
        <v>0</v>
      </c>
      <c r="M286" s="371">
        <f t="shared" si="184"/>
        <v>0</v>
      </c>
      <c r="N286" s="370">
        <f t="shared" si="182"/>
        <v>2175000</v>
      </c>
      <c r="P286" s="340"/>
      <c r="S286" s="347"/>
      <c r="T286" s="347"/>
      <c r="U286" s="342"/>
    </row>
    <row r="287" spans="1:21" s="339" customFormat="1" ht="18" customHeight="1" x14ac:dyDescent="0.25">
      <c r="A287" s="366"/>
      <c r="C287" s="366"/>
      <c r="D287" s="367" t="s">
        <v>367</v>
      </c>
      <c r="E287" s="367" t="s">
        <v>368</v>
      </c>
      <c r="F287" s="370">
        <v>55592100</v>
      </c>
      <c r="G287" s="371"/>
      <c r="H287" s="371"/>
      <c r="I287" s="371">
        <f>+G287+H287</f>
        <v>0</v>
      </c>
      <c r="J287" s="371"/>
      <c r="K287" s="371"/>
      <c r="L287" s="371">
        <f t="shared" si="183"/>
        <v>0</v>
      </c>
      <c r="M287" s="371">
        <f t="shared" si="184"/>
        <v>0</v>
      </c>
      <c r="N287" s="370">
        <f t="shared" si="182"/>
        <v>55592100</v>
      </c>
      <c r="P287" s="340"/>
      <c r="S287" s="347"/>
      <c r="T287" s="347"/>
      <c r="U287" s="342"/>
    </row>
    <row r="288" spans="1:21" s="339" customFormat="1" ht="22.5" customHeight="1" x14ac:dyDescent="0.25">
      <c r="A288" s="366"/>
      <c r="C288" s="366"/>
      <c r="D288" s="367" t="s">
        <v>369</v>
      </c>
      <c r="E288" s="367" t="s">
        <v>370</v>
      </c>
      <c r="F288" s="370">
        <v>7200000</v>
      </c>
      <c r="G288" s="371"/>
      <c r="H288" s="371"/>
      <c r="I288" s="371"/>
      <c r="J288" s="371"/>
      <c r="K288" s="371"/>
      <c r="L288" s="371">
        <f t="shared" si="183"/>
        <v>0</v>
      </c>
      <c r="M288" s="371">
        <f t="shared" si="184"/>
        <v>0</v>
      </c>
      <c r="N288" s="370">
        <f t="shared" si="182"/>
        <v>7200000</v>
      </c>
      <c r="P288" s="340"/>
      <c r="S288" s="347"/>
      <c r="T288" s="347"/>
      <c r="U288" s="342"/>
    </row>
    <row r="289" spans="1:21" s="339" customFormat="1" ht="18" customHeight="1" x14ac:dyDescent="0.25">
      <c r="A289" s="366"/>
      <c r="C289" s="366"/>
      <c r="D289" s="367" t="s">
        <v>70</v>
      </c>
      <c r="E289" s="367" t="s">
        <v>33</v>
      </c>
      <c r="F289" s="370">
        <v>5000000</v>
      </c>
      <c r="G289" s="371"/>
      <c r="H289" s="371"/>
      <c r="I289" s="371"/>
      <c r="J289" s="371"/>
      <c r="K289" s="371"/>
      <c r="L289" s="371">
        <f t="shared" si="183"/>
        <v>0</v>
      </c>
      <c r="M289" s="371">
        <f t="shared" si="184"/>
        <v>0</v>
      </c>
      <c r="N289" s="370">
        <f t="shared" si="182"/>
        <v>5000000</v>
      </c>
      <c r="P289" s="340"/>
      <c r="S289" s="347"/>
      <c r="T289" s="347"/>
      <c r="U289" s="342"/>
    </row>
    <row r="290" spans="1:21" s="339" customFormat="1" ht="18" customHeight="1" x14ac:dyDescent="0.25">
      <c r="A290" s="366"/>
      <c r="C290" s="366"/>
      <c r="D290" s="367" t="s">
        <v>374</v>
      </c>
      <c r="E290" s="367" t="s">
        <v>375</v>
      </c>
      <c r="F290" s="370">
        <v>2400000</v>
      </c>
      <c r="G290" s="371"/>
      <c r="H290" s="371"/>
      <c r="I290" s="371"/>
      <c r="J290" s="371"/>
      <c r="K290" s="371"/>
      <c r="L290" s="371">
        <f t="shared" si="183"/>
        <v>0</v>
      </c>
      <c r="M290" s="371">
        <f t="shared" si="184"/>
        <v>0</v>
      </c>
      <c r="N290" s="370">
        <f t="shared" si="182"/>
        <v>2400000</v>
      </c>
      <c r="P290" s="340"/>
      <c r="S290" s="347"/>
      <c r="T290" s="347"/>
      <c r="U290" s="342"/>
    </row>
    <row r="291" spans="1:21" s="339" customFormat="1" ht="18" customHeight="1" x14ac:dyDescent="0.25">
      <c r="A291" s="334"/>
      <c r="B291" s="335"/>
      <c r="C291" s="334"/>
      <c r="D291" s="365" t="s">
        <v>271</v>
      </c>
      <c r="E291" s="335" t="s">
        <v>272</v>
      </c>
      <c r="F291" s="337">
        <f t="shared" ref="F291:J291" si="185">+F292</f>
        <v>955400000</v>
      </c>
      <c r="G291" s="344">
        <f t="shared" si="185"/>
        <v>0</v>
      </c>
      <c r="H291" s="344">
        <f>+H292</f>
        <v>0</v>
      </c>
      <c r="I291" s="344">
        <f>+G291+H291</f>
        <v>0</v>
      </c>
      <c r="J291" s="344">
        <f t="shared" si="185"/>
        <v>0</v>
      </c>
      <c r="K291" s="344">
        <f>+K292</f>
        <v>72760000</v>
      </c>
      <c r="L291" s="344">
        <f t="shared" si="183"/>
        <v>72760000</v>
      </c>
      <c r="M291" s="344">
        <f t="shared" si="184"/>
        <v>72760000</v>
      </c>
      <c r="N291" s="337">
        <f>+F291-M291</f>
        <v>882640000</v>
      </c>
      <c r="P291" s="340"/>
      <c r="S291" s="347"/>
      <c r="T291" s="347"/>
      <c r="U291" s="342"/>
    </row>
    <row r="292" spans="1:21" s="339" customFormat="1" ht="18" customHeight="1" x14ac:dyDescent="0.25">
      <c r="A292" s="334"/>
      <c r="B292" s="352"/>
      <c r="C292" s="334"/>
      <c r="D292" s="335" t="s">
        <v>81</v>
      </c>
      <c r="E292" s="335" t="s">
        <v>31</v>
      </c>
      <c r="F292" s="337">
        <f>SUM(F293:F296)</f>
        <v>955400000</v>
      </c>
      <c r="G292" s="344">
        <f>SUM(G293:G296)</f>
        <v>0</v>
      </c>
      <c r="H292" s="344">
        <f>SUM(H293:H296)</f>
        <v>0</v>
      </c>
      <c r="I292" s="344">
        <f>+G292+H292</f>
        <v>0</v>
      </c>
      <c r="J292" s="344">
        <f>SUM(J293:J296)</f>
        <v>0</v>
      </c>
      <c r="K292" s="344">
        <f>SUM(K293:K296)</f>
        <v>72760000</v>
      </c>
      <c r="L292" s="344">
        <f t="shared" si="183"/>
        <v>72760000</v>
      </c>
      <c r="M292" s="344">
        <f t="shared" si="184"/>
        <v>72760000</v>
      </c>
      <c r="N292" s="337">
        <f>+F292-M292</f>
        <v>882640000</v>
      </c>
      <c r="P292" s="340"/>
      <c r="S292" s="347"/>
      <c r="T292" s="347"/>
      <c r="U292" s="342"/>
    </row>
    <row r="293" spans="1:21" s="339" customFormat="1" ht="18" customHeight="1" x14ac:dyDescent="0.25">
      <c r="A293" s="334"/>
      <c r="B293" s="352"/>
      <c r="C293" s="334"/>
      <c r="D293" s="335" t="s">
        <v>100</v>
      </c>
      <c r="E293" s="335" t="s">
        <v>101</v>
      </c>
      <c r="F293" s="337">
        <v>336000000</v>
      </c>
      <c r="G293" s="344"/>
      <c r="H293" s="344"/>
      <c r="I293" s="344">
        <f t="shared" ref="I293:I294" si="186">+G293+H293</f>
        <v>0</v>
      </c>
      <c r="J293" s="344"/>
      <c r="K293" s="344"/>
      <c r="L293" s="344">
        <f t="shared" si="183"/>
        <v>0</v>
      </c>
      <c r="M293" s="344">
        <f>+I293+L293</f>
        <v>0</v>
      </c>
      <c r="N293" s="337">
        <f t="shared" ref="N293:N296" si="187">+F293-M293</f>
        <v>336000000</v>
      </c>
      <c r="P293" s="340"/>
      <c r="S293" s="347"/>
      <c r="T293" s="347"/>
      <c r="U293" s="342"/>
    </row>
    <row r="294" spans="1:21" s="339" customFormat="1" ht="18" customHeight="1" x14ac:dyDescent="0.25">
      <c r="A294" s="334"/>
      <c r="B294" s="352"/>
      <c r="C294" s="334"/>
      <c r="D294" s="335" t="s">
        <v>474</v>
      </c>
      <c r="E294" s="335" t="s">
        <v>475</v>
      </c>
      <c r="F294" s="337">
        <v>350000000</v>
      </c>
      <c r="G294" s="344"/>
      <c r="H294" s="344"/>
      <c r="I294" s="344">
        <f t="shared" si="186"/>
        <v>0</v>
      </c>
      <c r="J294" s="344"/>
      <c r="K294" s="344"/>
      <c r="L294" s="344">
        <f t="shared" si="183"/>
        <v>0</v>
      </c>
      <c r="M294" s="344">
        <f>+I294+L294</f>
        <v>0</v>
      </c>
      <c r="N294" s="337">
        <f t="shared" si="187"/>
        <v>350000000</v>
      </c>
      <c r="P294" s="340"/>
      <c r="S294" s="347"/>
      <c r="T294" s="347"/>
      <c r="U294" s="342"/>
    </row>
    <row r="295" spans="1:21" s="339" customFormat="1" ht="18" customHeight="1" x14ac:dyDescent="0.25">
      <c r="A295" s="334"/>
      <c r="B295" s="352"/>
      <c r="C295" s="334"/>
      <c r="D295" s="335" t="s">
        <v>376</v>
      </c>
      <c r="E295" s="335" t="s">
        <v>377</v>
      </c>
      <c r="F295" s="337">
        <v>268800000</v>
      </c>
      <c r="G295" s="344">
        <v>0</v>
      </c>
      <c r="H295" s="344"/>
      <c r="I295" s="344">
        <f>+G295+H295</f>
        <v>0</v>
      </c>
      <c r="J295" s="344"/>
      <c r="K295" s="344">
        <v>72760000</v>
      </c>
      <c r="L295" s="344">
        <f t="shared" si="183"/>
        <v>72760000</v>
      </c>
      <c r="M295" s="344">
        <f>+I295+L295</f>
        <v>72760000</v>
      </c>
      <c r="N295" s="337">
        <f t="shared" si="187"/>
        <v>196040000</v>
      </c>
      <c r="P295" s="340"/>
      <c r="S295" s="346"/>
      <c r="T295" s="347"/>
      <c r="U295" s="342"/>
    </row>
    <row r="296" spans="1:21" s="339" customFormat="1" ht="18" customHeight="1" x14ac:dyDescent="0.25">
      <c r="A296" s="334"/>
      <c r="B296" s="352"/>
      <c r="C296" s="334"/>
      <c r="D296" s="335" t="s">
        <v>378</v>
      </c>
      <c r="E296" s="335" t="s">
        <v>379</v>
      </c>
      <c r="F296" s="337">
        <v>600000</v>
      </c>
      <c r="G296" s="344"/>
      <c r="H296" s="344"/>
      <c r="I296" s="344"/>
      <c r="J296" s="344"/>
      <c r="K296" s="344"/>
      <c r="L296" s="344">
        <f t="shared" si="183"/>
        <v>0</v>
      </c>
      <c r="M296" s="344">
        <f>+I296+L296</f>
        <v>0</v>
      </c>
      <c r="N296" s="337">
        <f t="shared" si="187"/>
        <v>600000</v>
      </c>
      <c r="P296" s="340"/>
      <c r="S296" s="346"/>
      <c r="T296" s="347"/>
      <c r="U296" s="342"/>
    </row>
    <row r="297" spans="1:21" s="388" customFormat="1" ht="18" customHeight="1" x14ac:dyDescent="0.25">
      <c r="A297" s="393"/>
      <c r="B297" s="393"/>
      <c r="C297" s="393"/>
      <c r="D297" s="393"/>
      <c r="E297" s="393"/>
      <c r="F297" s="394"/>
      <c r="G297" s="395"/>
      <c r="H297" s="395"/>
      <c r="I297" s="395"/>
      <c r="J297" s="395"/>
      <c r="K297" s="395"/>
      <c r="L297" s="395"/>
      <c r="M297" s="395"/>
      <c r="N297" s="394"/>
      <c r="P297" s="200"/>
      <c r="S297" s="221"/>
      <c r="T297" s="221"/>
      <c r="U297" s="389"/>
    </row>
    <row r="298" spans="1:21" s="319" customFormat="1" ht="21" customHeight="1" x14ac:dyDescent="0.25">
      <c r="A298" s="276"/>
      <c r="B298" s="305" t="s">
        <v>342</v>
      </c>
      <c r="C298" s="305"/>
      <c r="D298" s="305"/>
      <c r="E298" s="396" t="s">
        <v>341</v>
      </c>
      <c r="F298" s="359">
        <f>+F299+F312+F331+F337+F343</f>
        <v>2394721000</v>
      </c>
      <c r="G298" s="360">
        <f>+G299+G312+G331+G337+G343</f>
        <v>0</v>
      </c>
      <c r="H298" s="360">
        <f>+H299+H312+H331+H337+H343</f>
        <v>0</v>
      </c>
      <c r="I298" s="360">
        <f t="shared" ref="I298:I303" si="188">+G298+H298</f>
        <v>0</v>
      </c>
      <c r="J298" s="360">
        <f>+J299+J312+J331+J337+J343</f>
        <v>0</v>
      </c>
      <c r="K298" s="360">
        <f>+K299+K312+K331+K337+K343</f>
        <v>3000000</v>
      </c>
      <c r="L298" s="360">
        <f>+J298+K298</f>
        <v>3000000</v>
      </c>
      <c r="M298" s="360">
        <f t="shared" ref="M298" si="189">+I298+L298</f>
        <v>3000000</v>
      </c>
      <c r="N298" s="359">
        <f t="shared" ref="N298" si="190">+F298-M298</f>
        <v>2391721000</v>
      </c>
      <c r="P298" s="361"/>
      <c r="S298" s="362"/>
      <c r="T298" s="362"/>
      <c r="U298" s="350"/>
    </row>
    <row r="299" spans="1:21" s="319" customFormat="1" ht="35.25" customHeight="1" x14ac:dyDescent="0.25">
      <c r="A299" s="275">
        <v>16</v>
      </c>
      <c r="B299" s="314"/>
      <c r="C299" s="314" t="s">
        <v>476</v>
      </c>
      <c r="D299" s="315"/>
      <c r="E299" s="348" t="s">
        <v>477</v>
      </c>
      <c r="F299" s="317">
        <f t="shared" ref="F299:H300" si="191">+F300</f>
        <v>690000000</v>
      </c>
      <c r="G299" s="318">
        <f t="shared" si="191"/>
        <v>0</v>
      </c>
      <c r="H299" s="318">
        <f t="shared" si="191"/>
        <v>0</v>
      </c>
      <c r="I299" s="318">
        <f t="shared" si="188"/>
        <v>0</v>
      </c>
      <c r="J299" s="318">
        <f>+J300</f>
        <v>0</v>
      </c>
      <c r="K299" s="318">
        <f>+K300</f>
        <v>1400000</v>
      </c>
      <c r="L299" s="318">
        <f>+J299+K299</f>
        <v>1400000</v>
      </c>
      <c r="M299" s="318">
        <f>+I299+L299</f>
        <v>1400000</v>
      </c>
      <c r="N299" s="317">
        <f>+F299-M299</f>
        <v>688600000</v>
      </c>
      <c r="P299" s="320"/>
      <c r="R299" s="321"/>
      <c r="S299" s="349"/>
      <c r="T299" s="349"/>
      <c r="U299" s="350"/>
    </row>
    <row r="300" spans="1:21" s="329" customFormat="1" ht="18" customHeight="1" x14ac:dyDescent="0.25">
      <c r="A300" s="323"/>
      <c r="B300" s="324"/>
      <c r="C300" s="324"/>
      <c r="D300" s="325" t="s">
        <v>207</v>
      </c>
      <c r="E300" s="326" t="s">
        <v>262</v>
      </c>
      <c r="F300" s="327">
        <f t="shared" si="191"/>
        <v>690000000</v>
      </c>
      <c r="G300" s="328">
        <f t="shared" si="191"/>
        <v>0</v>
      </c>
      <c r="H300" s="328">
        <f t="shared" si="191"/>
        <v>0</v>
      </c>
      <c r="I300" s="328">
        <f t="shared" si="188"/>
        <v>0</v>
      </c>
      <c r="J300" s="328">
        <f>+J301</f>
        <v>0</v>
      </c>
      <c r="K300" s="328">
        <f>+K301</f>
        <v>1400000</v>
      </c>
      <c r="L300" s="328">
        <f t="shared" ref="L300:L304" si="192">+J300+K300</f>
        <v>1400000</v>
      </c>
      <c r="M300" s="328">
        <f t="shared" ref="M300:M311" si="193">+I300+L300</f>
        <v>1400000</v>
      </c>
      <c r="N300" s="327">
        <f t="shared" ref="N300:N311" si="194">+F300-M300</f>
        <v>688600000</v>
      </c>
      <c r="P300" s="330"/>
      <c r="R300" s="331"/>
      <c r="S300" s="351"/>
      <c r="T300" s="351"/>
      <c r="U300" s="333"/>
    </row>
    <row r="301" spans="1:21" s="381" customFormat="1" ht="18" customHeight="1" x14ac:dyDescent="0.25">
      <c r="A301" s="384"/>
      <c r="B301" s="397"/>
      <c r="C301" s="384"/>
      <c r="D301" s="335" t="s">
        <v>63</v>
      </c>
      <c r="E301" s="335" t="s">
        <v>30</v>
      </c>
      <c r="F301" s="337">
        <f>+F302+F305+F309</f>
        <v>690000000</v>
      </c>
      <c r="G301" s="344">
        <f>+G302+G305+G309</f>
        <v>0</v>
      </c>
      <c r="H301" s="344">
        <f>+H302+H305+H309</f>
        <v>0</v>
      </c>
      <c r="I301" s="344">
        <f t="shared" si="188"/>
        <v>0</v>
      </c>
      <c r="J301" s="344">
        <f>+J302+J305+J309</f>
        <v>0</v>
      </c>
      <c r="K301" s="344">
        <f>+K302+K305+K309</f>
        <v>1400000</v>
      </c>
      <c r="L301" s="344">
        <f t="shared" si="192"/>
        <v>1400000</v>
      </c>
      <c r="M301" s="344">
        <f t="shared" si="193"/>
        <v>1400000</v>
      </c>
      <c r="N301" s="337">
        <f t="shared" si="194"/>
        <v>688600000</v>
      </c>
      <c r="P301" s="340"/>
      <c r="S301" s="347"/>
      <c r="T301" s="347"/>
      <c r="U301" s="382"/>
    </row>
    <row r="302" spans="1:21" s="339" customFormat="1" ht="18" customHeight="1" x14ac:dyDescent="0.25">
      <c r="A302" s="334"/>
      <c r="B302" s="335"/>
      <c r="C302" s="335"/>
      <c r="D302" s="365" t="s">
        <v>263</v>
      </c>
      <c r="E302" s="335" t="s">
        <v>264</v>
      </c>
      <c r="F302" s="337">
        <f>+F303</f>
        <v>435000000</v>
      </c>
      <c r="G302" s="344">
        <f>+G303</f>
        <v>0</v>
      </c>
      <c r="H302" s="344">
        <f>+H303</f>
        <v>0</v>
      </c>
      <c r="I302" s="344">
        <f t="shared" si="188"/>
        <v>0</v>
      </c>
      <c r="J302" s="344">
        <f>+J303</f>
        <v>0</v>
      </c>
      <c r="K302" s="344">
        <f>+K303</f>
        <v>0</v>
      </c>
      <c r="L302" s="344">
        <f t="shared" si="192"/>
        <v>0</v>
      </c>
      <c r="M302" s="344">
        <f t="shared" si="193"/>
        <v>0</v>
      </c>
      <c r="N302" s="337">
        <f t="shared" si="194"/>
        <v>435000000</v>
      </c>
      <c r="P302" s="340"/>
      <c r="S302" s="347"/>
      <c r="T302" s="347"/>
      <c r="U302" s="342"/>
    </row>
    <row r="303" spans="1:21" s="381" customFormat="1" ht="18" customHeight="1" x14ac:dyDescent="0.25">
      <c r="A303" s="384"/>
      <c r="B303" s="397"/>
      <c r="C303" s="384"/>
      <c r="D303" s="335" t="s">
        <v>64</v>
      </c>
      <c r="E303" s="335" t="s">
        <v>65</v>
      </c>
      <c r="F303" s="337">
        <f>F304</f>
        <v>435000000</v>
      </c>
      <c r="G303" s="344">
        <f>+G304</f>
        <v>0</v>
      </c>
      <c r="H303" s="344">
        <f>+H304</f>
        <v>0</v>
      </c>
      <c r="I303" s="344">
        <f t="shared" si="188"/>
        <v>0</v>
      </c>
      <c r="J303" s="344">
        <f>+J304</f>
        <v>0</v>
      </c>
      <c r="K303" s="344">
        <f>+K304</f>
        <v>0</v>
      </c>
      <c r="L303" s="344">
        <f t="shared" si="192"/>
        <v>0</v>
      </c>
      <c r="M303" s="344">
        <f t="shared" si="193"/>
        <v>0</v>
      </c>
      <c r="N303" s="337">
        <f t="shared" si="194"/>
        <v>435000000</v>
      </c>
      <c r="P303" s="340"/>
      <c r="S303" s="347"/>
      <c r="T303" s="347"/>
      <c r="U303" s="382"/>
    </row>
    <row r="304" spans="1:21" s="339" customFormat="1" ht="18" customHeight="1" x14ac:dyDescent="0.25">
      <c r="A304" s="384"/>
      <c r="B304" s="397"/>
      <c r="C304" s="334"/>
      <c r="D304" s="335" t="s">
        <v>129</v>
      </c>
      <c r="E304" s="335" t="s">
        <v>130</v>
      </c>
      <c r="F304" s="337">
        <v>435000000</v>
      </c>
      <c r="G304" s="398"/>
      <c r="H304" s="398"/>
      <c r="I304" s="398"/>
      <c r="J304" s="344"/>
      <c r="K304" s="344"/>
      <c r="L304" s="344">
        <f t="shared" si="192"/>
        <v>0</v>
      </c>
      <c r="M304" s="344">
        <f t="shared" si="193"/>
        <v>0</v>
      </c>
      <c r="N304" s="337">
        <f t="shared" si="194"/>
        <v>435000000</v>
      </c>
      <c r="P304" s="340"/>
      <c r="S304" s="346"/>
      <c r="T304" s="347"/>
      <c r="U304" s="342"/>
    </row>
    <row r="305" spans="1:21" s="339" customFormat="1" ht="20.25" x14ac:dyDescent="0.25">
      <c r="A305" s="334"/>
      <c r="B305" s="335"/>
      <c r="C305" s="335"/>
      <c r="D305" s="365" t="s">
        <v>271</v>
      </c>
      <c r="E305" s="335" t="s">
        <v>272</v>
      </c>
      <c r="F305" s="337">
        <f>+F306</f>
        <v>79500000</v>
      </c>
      <c r="G305" s="344">
        <f>+G306</f>
        <v>0</v>
      </c>
      <c r="H305" s="344">
        <f>+H306</f>
        <v>0</v>
      </c>
      <c r="I305" s="344">
        <f t="shared" ref="I305:I316" si="195">+G305+H305</f>
        <v>0</v>
      </c>
      <c r="J305" s="344">
        <f>+J306</f>
        <v>0</v>
      </c>
      <c r="K305" s="344">
        <f>+K306</f>
        <v>1400000</v>
      </c>
      <c r="L305" s="344">
        <f>+J305+K305</f>
        <v>1400000</v>
      </c>
      <c r="M305" s="344">
        <f t="shared" si="193"/>
        <v>1400000</v>
      </c>
      <c r="N305" s="337">
        <f t="shared" si="194"/>
        <v>78100000</v>
      </c>
      <c r="P305" s="340"/>
      <c r="S305" s="346"/>
      <c r="T305" s="347"/>
      <c r="U305" s="342"/>
    </row>
    <row r="306" spans="1:21" s="381" customFormat="1" ht="18" customHeight="1" x14ac:dyDescent="0.25">
      <c r="A306" s="334"/>
      <c r="B306" s="352"/>
      <c r="C306" s="334"/>
      <c r="D306" s="335" t="s">
        <v>81</v>
      </c>
      <c r="E306" s="335" t="s">
        <v>31</v>
      </c>
      <c r="F306" s="337">
        <f>F308+F307</f>
        <v>79500000</v>
      </c>
      <c r="G306" s="344">
        <f>SUM(G307:G308)</f>
        <v>0</v>
      </c>
      <c r="H306" s="344">
        <f>SUM(H307:H308)</f>
        <v>0</v>
      </c>
      <c r="I306" s="344">
        <f t="shared" si="195"/>
        <v>0</v>
      </c>
      <c r="J306" s="344">
        <f>SUM(J307:J308)</f>
        <v>0</v>
      </c>
      <c r="K306" s="344">
        <f>SUM(K307:K308)</f>
        <v>1400000</v>
      </c>
      <c r="L306" s="344">
        <f>+J306+K306</f>
        <v>1400000</v>
      </c>
      <c r="M306" s="344">
        <f t="shared" si="193"/>
        <v>1400000</v>
      </c>
      <c r="N306" s="337">
        <f t="shared" si="194"/>
        <v>78100000</v>
      </c>
      <c r="P306" s="340"/>
      <c r="R306" s="385"/>
      <c r="S306" s="346"/>
      <c r="T306" s="347"/>
      <c r="U306" s="382"/>
    </row>
    <row r="307" spans="1:21" s="381" customFormat="1" ht="18" customHeight="1" x14ac:dyDescent="0.25">
      <c r="A307" s="334"/>
      <c r="B307" s="352"/>
      <c r="C307" s="334"/>
      <c r="D307" s="335" t="s">
        <v>82</v>
      </c>
      <c r="E307" s="335" t="s">
        <v>83</v>
      </c>
      <c r="F307" s="337">
        <v>18000000</v>
      </c>
      <c r="G307" s="344"/>
      <c r="H307" s="344"/>
      <c r="I307" s="344">
        <f t="shared" si="195"/>
        <v>0</v>
      </c>
      <c r="J307" s="344"/>
      <c r="K307" s="344">
        <v>1400000</v>
      </c>
      <c r="L307" s="344">
        <f>J307+K307</f>
        <v>1400000</v>
      </c>
      <c r="M307" s="344">
        <f t="shared" si="193"/>
        <v>1400000</v>
      </c>
      <c r="N307" s="337">
        <f t="shared" si="194"/>
        <v>16600000</v>
      </c>
      <c r="P307" s="340"/>
      <c r="S307" s="346"/>
      <c r="T307" s="347"/>
      <c r="U307" s="382"/>
    </row>
    <row r="308" spans="1:21" s="381" customFormat="1" ht="18" customHeight="1" x14ac:dyDescent="0.25">
      <c r="A308" s="334"/>
      <c r="B308" s="352"/>
      <c r="C308" s="334"/>
      <c r="D308" s="335" t="s">
        <v>343</v>
      </c>
      <c r="E308" s="335" t="s">
        <v>344</v>
      </c>
      <c r="F308" s="337">
        <v>61500000</v>
      </c>
      <c r="G308" s="344"/>
      <c r="H308" s="344"/>
      <c r="I308" s="344">
        <f t="shared" si="195"/>
        <v>0</v>
      </c>
      <c r="J308" s="344"/>
      <c r="K308" s="344"/>
      <c r="L308" s="344">
        <f>J308+K308</f>
        <v>0</v>
      </c>
      <c r="M308" s="344">
        <f t="shared" si="193"/>
        <v>0</v>
      </c>
      <c r="N308" s="337">
        <f t="shared" si="194"/>
        <v>61500000</v>
      </c>
      <c r="P308" s="340"/>
      <c r="S308" s="346"/>
      <c r="T308" s="347"/>
      <c r="U308" s="382"/>
    </row>
    <row r="309" spans="1:21" s="339" customFormat="1" ht="20.25" x14ac:dyDescent="0.25">
      <c r="A309" s="334"/>
      <c r="B309" s="335"/>
      <c r="C309" s="334"/>
      <c r="D309" s="365" t="s">
        <v>275</v>
      </c>
      <c r="E309" s="335" t="s">
        <v>276</v>
      </c>
      <c r="F309" s="337">
        <f>+F310</f>
        <v>175500000</v>
      </c>
      <c r="G309" s="344">
        <f>+G310</f>
        <v>0</v>
      </c>
      <c r="H309" s="344">
        <f>+H310</f>
        <v>0</v>
      </c>
      <c r="I309" s="344">
        <f t="shared" si="195"/>
        <v>0</v>
      </c>
      <c r="J309" s="344">
        <f>+J310</f>
        <v>0</v>
      </c>
      <c r="K309" s="344">
        <f>+K310</f>
        <v>0</v>
      </c>
      <c r="L309" s="344">
        <f>+J309+K309</f>
        <v>0</v>
      </c>
      <c r="M309" s="344">
        <f t="shared" si="193"/>
        <v>0</v>
      </c>
      <c r="N309" s="337">
        <f t="shared" si="194"/>
        <v>175500000</v>
      </c>
      <c r="P309" s="340"/>
      <c r="S309" s="346"/>
      <c r="T309" s="347"/>
      <c r="U309" s="342"/>
    </row>
    <row r="310" spans="1:21" s="381" customFormat="1" ht="18" customHeight="1" x14ac:dyDescent="0.25">
      <c r="A310" s="334"/>
      <c r="B310" s="352"/>
      <c r="C310" s="334"/>
      <c r="D310" s="335" t="s">
        <v>114</v>
      </c>
      <c r="E310" s="335" t="s">
        <v>43</v>
      </c>
      <c r="F310" s="337">
        <f>+F311</f>
        <v>175500000</v>
      </c>
      <c r="G310" s="344">
        <f>SUM(G311)</f>
        <v>0</v>
      </c>
      <c r="H310" s="344">
        <f>SUM(H311)</f>
        <v>0</v>
      </c>
      <c r="I310" s="344">
        <f t="shared" si="195"/>
        <v>0</v>
      </c>
      <c r="J310" s="344">
        <f>SUM(J311)</f>
        <v>0</v>
      </c>
      <c r="K310" s="344">
        <f>SUM(K311)</f>
        <v>0</v>
      </c>
      <c r="L310" s="344">
        <f>+J310+K310</f>
        <v>0</v>
      </c>
      <c r="M310" s="344">
        <f t="shared" si="193"/>
        <v>0</v>
      </c>
      <c r="N310" s="337">
        <f t="shared" si="194"/>
        <v>175500000</v>
      </c>
      <c r="P310" s="340"/>
      <c r="R310" s="385"/>
      <c r="S310" s="346"/>
      <c r="T310" s="347"/>
      <c r="U310" s="382"/>
    </row>
    <row r="311" spans="1:21" s="388" customFormat="1" ht="33.75" customHeight="1" x14ac:dyDescent="0.25">
      <c r="A311" s="372"/>
      <c r="B311" s="153"/>
      <c r="C311" s="372"/>
      <c r="D311" s="373" t="s">
        <v>345</v>
      </c>
      <c r="E311" s="375" t="s">
        <v>346</v>
      </c>
      <c r="F311" s="376">
        <v>175500000</v>
      </c>
      <c r="G311" s="377"/>
      <c r="H311" s="377"/>
      <c r="I311" s="371">
        <f t="shared" si="195"/>
        <v>0</v>
      </c>
      <c r="J311" s="377"/>
      <c r="K311" s="377"/>
      <c r="L311" s="377">
        <f>J311+K311</f>
        <v>0</v>
      </c>
      <c r="M311" s="377">
        <f t="shared" si="193"/>
        <v>0</v>
      </c>
      <c r="N311" s="376">
        <f t="shared" si="194"/>
        <v>175500000</v>
      </c>
      <c r="P311" s="200"/>
      <c r="S311" s="358"/>
      <c r="T311" s="221"/>
      <c r="U311" s="389"/>
    </row>
    <row r="312" spans="1:21" s="319" customFormat="1" ht="22.5" customHeight="1" x14ac:dyDescent="0.25">
      <c r="A312" s="275">
        <v>17</v>
      </c>
      <c r="B312" s="314"/>
      <c r="C312" s="314" t="s">
        <v>143</v>
      </c>
      <c r="D312" s="315"/>
      <c r="E312" s="348" t="s">
        <v>144</v>
      </c>
      <c r="F312" s="317">
        <f t="shared" ref="F312:H313" si="196">+F313</f>
        <v>1024733000</v>
      </c>
      <c r="G312" s="318">
        <f t="shared" si="196"/>
        <v>0</v>
      </c>
      <c r="H312" s="318">
        <f t="shared" si="196"/>
        <v>0</v>
      </c>
      <c r="I312" s="318">
        <f t="shared" si="195"/>
        <v>0</v>
      </c>
      <c r="J312" s="318">
        <f>+J313</f>
        <v>0</v>
      </c>
      <c r="K312" s="318">
        <f>+K313</f>
        <v>1600000</v>
      </c>
      <c r="L312" s="318">
        <f>+J312+K312</f>
        <v>1600000</v>
      </c>
      <c r="M312" s="318">
        <f>+I312+L312</f>
        <v>1600000</v>
      </c>
      <c r="N312" s="317">
        <f>+F312-M312</f>
        <v>1023133000</v>
      </c>
      <c r="P312" s="320"/>
      <c r="R312" s="321"/>
      <c r="S312" s="349"/>
      <c r="T312" s="349"/>
      <c r="U312" s="350"/>
    </row>
    <row r="313" spans="1:21" s="329" customFormat="1" ht="18" customHeight="1" x14ac:dyDescent="0.25">
      <c r="A313" s="323"/>
      <c r="B313" s="324"/>
      <c r="C313" s="324"/>
      <c r="D313" s="325" t="s">
        <v>207</v>
      </c>
      <c r="E313" s="326" t="s">
        <v>262</v>
      </c>
      <c r="F313" s="327">
        <f t="shared" si="196"/>
        <v>1024733000</v>
      </c>
      <c r="G313" s="328">
        <f t="shared" si="196"/>
        <v>0</v>
      </c>
      <c r="H313" s="328">
        <f t="shared" si="196"/>
        <v>0</v>
      </c>
      <c r="I313" s="328">
        <f t="shared" si="195"/>
        <v>0</v>
      </c>
      <c r="J313" s="328">
        <f>+J314</f>
        <v>0</v>
      </c>
      <c r="K313" s="328">
        <f>+K314</f>
        <v>1600000</v>
      </c>
      <c r="L313" s="328">
        <f>+J313+K313</f>
        <v>1600000</v>
      </c>
      <c r="M313" s="328">
        <f t="shared" ref="M313:M330" si="197">+I313+L313</f>
        <v>1600000</v>
      </c>
      <c r="N313" s="327">
        <f t="shared" ref="N313:N330" si="198">+F313-M313</f>
        <v>1023133000</v>
      </c>
      <c r="P313" s="330"/>
      <c r="R313" s="331"/>
      <c r="S313" s="351"/>
      <c r="T313" s="351"/>
      <c r="U313" s="333"/>
    </row>
    <row r="314" spans="1:21" s="381" customFormat="1" ht="18" customHeight="1" x14ac:dyDescent="0.25">
      <c r="A314" s="384"/>
      <c r="B314" s="397"/>
      <c r="C314" s="384"/>
      <c r="D314" s="335" t="s">
        <v>63</v>
      </c>
      <c r="E314" s="335" t="s">
        <v>30</v>
      </c>
      <c r="F314" s="337">
        <f>+F315+F319+F322</f>
        <v>1024733000</v>
      </c>
      <c r="G314" s="344">
        <f>+G315+G319+G322</f>
        <v>0</v>
      </c>
      <c r="H314" s="344">
        <f>+H315+H319+H322</f>
        <v>0</v>
      </c>
      <c r="I314" s="344">
        <f t="shared" si="195"/>
        <v>0</v>
      </c>
      <c r="J314" s="344">
        <f>+J315+J319+J322</f>
        <v>0</v>
      </c>
      <c r="K314" s="344">
        <f>+K315+K319+K322</f>
        <v>1600000</v>
      </c>
      <c r="L314" s="344">
        <f>+J314+K314</f>
        <v>1600000</v>
      </c>
      <c r="M314" s="344">
        <f t="shared" si="197"/>
        <v>1600000</v>
      </c>
      <c r="N314" s="337">
        <f t="shared" si="198"/>
        <v>1023133000</v>
      </c>
      <c r="P314" s="340"/>
      <c r="S314" s="347"/>
      <c r="T314" s="347"/>
      <c r="U314" s="382"/>
    </row>
    <row r="315" spans="1:21" s="339" customFormat="1" ht="18" customHeight="1" x14ac:dyDescent="0.25">
      <c r="A315" s="334"/>
      <c r="B315" s="335"/>
      <c r="C315" s="335"/>
      <c r="D315" s="365" t="s">
        <v>263</v>
      </c>
      <c r="E315" s="335" t="s">
        <v>264</v>
      </c>
      <c r="F315" s="337">
        <f>+F316</f>
        <v>160643000</v>
      </c>
      <c r="G315" s="344">
        <f>+G316</f>
        <v>0</v>
      </c>
      <c r="H315" s="344">
        <f>+H316</f>
        <v>0</v>
      </c>
      <c r="I315" s="344">
        <f t="shared" si="195"/>
        <v>0</v>
      </c>
      <c r="J315" s="344">
        <f>+J316</f>
        <v>0</v>
      </c>
      <c r="K315" s="344">
        <f>+K316</f>
        <v>0</v>
      </c>
      <c r="L315" s="344">
        <f>+J315+K315</f>
        <v>0</v>
      </c>
      <c r="M315" s="344">
        <f t="shared" si="197"/>
        <v>0</v>
      </c>
      <c r="N315" s="337">
        <f t="shared" si="198"/>
        <v>160643000</v>
      </c>
      <c r="P315" s="340"/>
      <c r="S315" s="347"/>
      <c r="T315" s="347"/>
      <c r="U315" s="342"/>
    </row>
    <row r="316" spans="1:21" s="381" customFormat="1" ht="18" customHeight="1" x14ac:dyDescent="0.25">
      <c r="A316" s="384"/>
      <c r="B316" s="397"/>
      <c r="C316" s="384"/>
      <c r="D316" s="335" t="s">
        <v>64</v>
      </c>
      <c r="E316" s="335" t="s">
        <v>65</v>
      </c>
      <c r="F316" s="337">
        <f>F317+F318</f>
        <v>160643000</v>
      </c>
      <c r="G316" s="344">
        <f>+G317</f>
        <v>0</v>
      </c>
      <c r="H316" s="344">
        <f>+H317</f>
        <v>0</v>
      </c>
      <c r="I316" s="344">
        <f t="shared" si="195"/>
        <v>0</v>
      </c>
      <c r="J316" s="344">
        <f>+J317</f>
        <v>0</v>
      </c>
      <c r="K316" s="344">
        <f>+K317</f>
        <v>0</v>
      </c>
      <c r="L316" s="344">
        <f>+J316+K316</f>
        <v>0</v>
      </c>
      <c r="M316" s="344">
        <f t="shared" si="197"/>
        <v>0</v>
      </c>
      <c r="N316" s="337">
        <f t="shared" si="198"/>
        <v>160643000</v>
      </c>
      <c r="P316" s="340"/>
      <c r="S316" s="347"/>
      <c r="T316" s="347"/>
      <c r="U316" s="382"/>
    </row>
    <row r="317" spans="1:21" s="339" customFormat="1" ht="18" customHeight="1" x14ac:dyDescent="0.25">
      <c r="A317" s="384"/>
      <c r="B317" s="397"/>
      <c r="C317" s="334"/>
      <c r="D317" s="335" t="s">
        <v>339</v>
      </c>
      <c r="E317" s="335" t="s">
        <v>340</v>
      </c>
      <c r="F317" s="337">
        <v>99000000</v>
      </c>
      <c r="G317" s="398"/>
      <c r="H317" s="398"/>
      <c r="I317" s="398"/>
      <c r="J317" s="344"/>
      <c r="K317" s="344"/>
      <c r="L317" s="344">
        <f t="shared" ref="L317:L330" si="199">+J317+K317</f>
        <v>0</v>
      </c>
      <c r="M317" s="344">
        <f t="shared" si="197"/>
        <v>0</v>
      </c>
      <c r="N317" s="337">
        <f t="shared" si="198"/>
        <v>99000000</v>
      </c>
      <c r="P317" s="343"/>
      <c r="S317" s="346"/>
      <c r="T317" s="347"/>
      <c r="U317" s="342"/>
    </row>
    <row r="318" spans="1:21" s="339" customFormat="1" ht="18" customHeight="1" x14ac:dyDescent="0.25">
      <c r="A318" s="384"/>
      <c r="B318" s="397"/>
      <c r="C318" s="334"/>
      <c r="D318" s="335" t="s">
        <v>361</v>
      </c>
      <c r="E318" s="335" t="s">
        <v>362</v>
      </c>
      <c r="F318" s="337">
        <v>61643000</v>
      </c>
      <c r="G318" s="398"/>
      <c r="H318" s="398"/>
      <c r="I318" s="398"/>
      <c r="J318" s="344"/>
      <c r="K318" s="344"/>
      <c r="L318" s="344">
        <f t="shared" si="199"/>
        <v>0</v>
      </c>
      <c r="M318" s="344">
        <f t="shared" si="197"/>
        <v>0</v>
      </c>
      <c r="N318" s="337">
        <f t="shared" si="198"/>
        <v>61643000</v>
      </c>
      <c r="P318" s="343"/>
      <c r="S318" s="346"/>
      <c r="T318" s="347"/>
      <c r="U318" s="342"/>
    </row>
    <row r="319" spans="1:21" s="339" customFormat="1" ht="18" customHeight="1" x14ac:dyDescent="0.25">
      <c r="A319" s="334"/>
      <c r="B319" s="335"/>
      <c r="C319" s="335"/>
      <c r="D319" s="365" t="s">
        <v>271</v>
      </c>
      <c r="E319" s="335" t="s">
        <v>272</v>
      </c>
      <c r="F319" s="337">
        <f>+F320</f>
        <v>36480000</v>
      </c>
      <c r="G319" s="344">
        <f>+G320</f>
        <v>0</v>
      </c>
      <c r="H319" s="344">
        <f>+H320</f>
        <v>0</v>
      </c>
      <c r="I319" s="344">
        <f>+G319+H319</f>
        <v>0</v>
      </c>
      <c r="J319" s="344">
        <f>+J320</f>
        <v>0</v>
      </c>
      <c r="K319" s="344">
        <f>+K320</f>
        <v>1600000</v>
      </c>
      <c r="L319" s="344">
        <f t="shared" si="199"/>
        <v>1600000</v>
      </c>
      <c r="M319" s="344">
        <f t="shared" si="197"/>
        <v>1600000</v>
      </c>
      <c r="N319" s="337">
        <f t="shared" si="198"/>
        <v>34880000</v>
      </c>
      <c r="P319" s="343"/>
      <c r="S319" s="346"/>
      <c r="T319" s="347"/>
      <c r="U319" s="342"/>
    </row>
    <row r="320" spans="1:21" s="381" customFormat="1" ht="18" customHeight="1" x14ac:dyDescent="0.25">
      <c r="A320" s="384"/>
      <c r="B320" s="397"/>
      <c r="C320" s="384"/>
      <c r="D320" s="335" t="s">
        <v>81</v>
      </c>
      <c r="E320" s="335" t="s">
        <v>31</v>
      </c>
      <c r="F320" s="337">
        <f>F321</f>
        <v>36480000</v>
      </c>
      <c r="G320" s="344">
        <f>+G321</f>
        <v>0</v>
      </c>
      <c r="H320" s="344">
        <f>+H321</f>
        <v>0</v>
      </c>
      <c r="I320" s="344">
        <f>+G320+H320</f>
        <v>0</v>
      </c>
      <c r="J320" s="344">
        <f>+J321</f>
        <v>0</v>
      </c>
      <c r="K320" s="344">
        <f>+K321</f>
        <v>1600000</v>
      </c>
      <c r="L320" s="344">
        <f t="shared" si="199"/>
        <v>1600000</v>
      </c>
      <c r="M320" s="344">
        <f t="shared" si="197"/>
        <v>1600000</v>
      </c>
      <c r="N320" s="337">
        <f t="shared" si="198"/>
        <v>34880000</v>
      </c>
      <c r="P320" s="343"/>
      <c r="S320" s="346"/>
      <c r="T320" s="347"/>
      <c r="U320" s="382"/>
    </row>
    <row r="321" spans="1:21" s="339" customFormat="1" ht="18" customHeight="1" x14ac:dyDescent="0.25">
      <c r="A321" s="384"/>
      <c r="B321" s="397"/>
      <c r="C321" s="334"/>
      <c r="D321" s="335" t="s">
        <v>82</v>
      </c>
      <c r="E321" s="335" t="s">
        <v>83</v>
      </c>
      <c r="F321" s="337">
        <v>36480000</v>
      </c>
      <c r="G321" s="398"/>
      <c r="H321" s="344"/>
      <c r="I321" s="398"/>
      <c r="J321" s="344"/>
      <c r="K321" s="344">
        <v>1600000</v>
      </c>
      <c r="L321" s="344">
        <f t="shared" si="199"/>
        <v>1600000</v>
      </c>
      <c r="M321" s="344">
        <f t="shared" si="197"/>
        <v>1600000</v>
      </c>
      <c r="N321" s="337">
        <f t="shared" si="198"/>
        <v>34880000</v>
      </c>
      <c r="P321" s="343"/>
      <c r="S321" s="346"/>
      <c r="T321" s="347"/>
      <c r="U321" s="342"/>
    </row>
    <row r="322" spans="1:21" s="339" customFormat="1" ht="18" customHeight="1" x14ac:dyDescent="0.25">
      <c r="A322" s="334"/>
      <c r="B322" s="335"/>
      <c r="C322" s="335"/>
      <c r="D322" s="365" t="s">
        <v>275</v>
      </c>
      <c r="E322" s="335" t="s">
        <v>276</v>
      </c>
      <c r="F322" s="337">
        <f>+F323</f>
        <v>827610000</v>
      </c>
      <c r="G322" s="344">
        <f>+G323</f>
        <v>0</v>
      </c>
      <c r="H322" s="344">
        <f>+H323</f>
        <v>0</v>
      </c>
      <c r="I322" s="344">
        <f>+G322+H322</f>
        <v>0</v>
      </c>
      <c r="J322" s="344">
        <f>+J323</f>
        <v>0</v>
      </c>
      <c r="K322" s="344">
        <f>+K323</f>
        <v>0</v>
      </c>
      <c r="L322" s="344">
        <f>+J322+K322</f>
        <v>0</v>
      </c>
      <c r="M322" s="344">
        <f t="shared" si="197"/>
        <v>0</v>
      </c>
      <c r="N322" s="337">
        <f t="shared" si="198"/>
        <v>827610000</v>
      </c>
      <c r="P322" s="343"/>
      <c r="S322" s="346"/>
      <c r="T322" s="347"/>
      <c r="U322" s="342"/>
    </row>
    <row r="323" spans="1:21" s="381" customFormat="1" ht="18" customHeight="1" x14ac:dyDescent="0.25">
      <c r="A323" s="384"/>
      <c r="B323" s="397"/>
      <c r="C323" s="384"/>
      <c r="D323" s="335" t="s">
        <v>114</v>
      </c>
      <c r="E323" s="335" t="s">
        <v>43</v>
      </c>
      <c r="F323" s="337">
        <f>SUM(F324:F330)</f>
        <v>827610000</v>
      </c>
      <c r="G323" s="344">
        <f>SUM(G325:G330)</f>
        <v>0</v>
      </c>
      <c r="H323" s="344">
        <f>SUM(H325:H330)</f>
        <v>0</v>
      </c>
      <c r="I323" s="344">
        <f>+G323+H323</f>
        <v>0</v>
      </c>
      <c r="J323" s="344">
        <f>SUM(J325:J330)</f>
        <v>0</v>
      </c>
      <c r="K323" s="344">
        <f>SUM(K325:K330)</f>
        <v>0</v>
      </c>
      <c r="L323" s="344">
        <f>+J323+K323</f>
        <v>0</v>
      </c>
      <c r="M323" s="344">
        <f t="shared" si="197"/>
        <v>0</v>
      </c>
      <c r="N323" s="337">
        <f t="shared" si="198"/>
        <v>827610000</v>
      </c>
      <c r="P323" s="343"/>
      <c r="S323" s="346"/>
      <c r="T323" s="347"/>
      <c r="U323" s="382"/>
    </row>
    <row r="324" spans="1:21" s="339" customFormat="1" ht="35.25" customHeight="1" x14ac:dyDescent="0.25">
      <c r="A324" s="399"/>
      <c r="B324" s="381"/>
      <c r="C324" s="366"/>
      <c r="D324" s="367" t="s">
        <v>478</v>
      </c>
      <c r="E324" s="369" t="s">
        <v>479</v>
      </c>
      <c r="F324" s="370">
        <v>31700000</v>
      </c>
      <c r="G324" s="400"/>
      <c r="H324" s="400"/>
      <c r="I324" s="400"/>
      <c r="J324" s="371"/>
      <c r="K324" s="371"/>
      <c r="L324" s="371">
        <f t="shared" ref="L324" si="200">+J324+K324</f>
        <v>0</v>
      </c>
      <c r="M324" s="371">
        <f t="shared" si="197"/>
        <v>0</v>
      </c>
      <c r="N324" s="370">
        <f t="shared" si="198"/>
        <v>31700000</v>
      </c>
      <c r="P324" s="343"/>
      <c r="S324" s="346"/>
      <c r="T324" s="347"/>
      <c r="U324" s="342"/>
    </row>
    <row r="325" spans="1:21" s="339" customFormat="1" ht="35.25" customHeight="1" x14ac:dyDescent="0.25">
      <c r="A325" s="399"/>
      <c r="B325" s="381"/>
      <c r="C325" s="366"/>
      <c r="D325" s="367" t="s">
        <v>347</v>
      </c>
      <c r="E325" s="369" t="s">
        <v>348</v>
      </c>
      <c r="F325" s="370">
        <v>8500000</v>
      </c>
      <c r="G325" s="400"/>
      <c r="H325" s="400"/>
      <c r="I325" s="400"/>
      <c r="J325" s="371"/>
      <c r="K325" s="371"/>
      <c r="L325" s="371">
        <f t="shared" si="199"/>
        <v>0</v>
      </c>
      <c r="M325" s="371">
        <f t="shared" si="197"/>
        <v>0</v>
      </c>
      <c r="N325" s="370">
        <f t="shared" si="198"/>
        <v>8500000</v>
      </c>
      <c r="P325" s="343"/>
      <c r="S325" s="346"/>
      <c r="T325" s="347"/>
      <c r="U325" s="342"/>
    </row>
    <row r="326" spans="1:21" s="339" customFormat="1" ht="35.25" customHeight="1" x14ac:dyDescent="0.25">
      <c r="A326" s="399"/>
      <c r="B326" s="381"/>
      <c r="C326" s="367"/>
      <c r="D326" s="367" t="s">
        <v>349</v>
      </c>
      <c r="E326" s="369" t="s">
        <v>350</v>
      </c>
      <c r="F326" s="370">
        <v>99960000</v>
      </c>
      <c r="G326" s="400"/>
      <c r="H326" s="400"/>
      <c r="I326" s="400"/>
      <c r="J326" s="371"/>
      <c r="K326" s="371"/>
      <c r="L326" s="371">
        <f t="shared" si="199"/>
        <v>0</v>
      </c>
      <c r="M326" s="371">
        <f t="shared" si="197"/>
        <v>0</v>
      </c>
      <c r="N326" s="370">
        <f>+F326-M326</f>
        <v>99960000</v>
      </c>
      <c r="P326" s="343"/>
      <c r="S326" s="346"/>
      <c r="T326" s="347"/>
      <c r="U326" s="342"/>
    </row>
    <row r="327" spans="1:21" s="339" customFormat="1" ht="35.25" customHeight="1" x14ac:dyDescent="0.25">
      <c r="A327" s="399"/>
      <c r="B327" s="381"/>
      <c r="C327" s="367"/>
      <c r="D327" s="367" t="s">
        <v>145</v>
      </c>
      <c r="E327" s="369" t="s">
        <v>351</v>
      </c>
      <c r="F327" s="370">
        <v>73200000</v>
      </c>
      <c r="G327" s="400"/>
      <c r="H327" s="400"/>
      <c r="I327" s="400"/>
      <c r="J327" s="371"/>
      <c r="K327" s="371"/>
      <c r="L327" s="371">
        <f t="shared" si="199"/>
        <v>0</v>
      </c>
      <c r="M327" s="371">
        <f t="shared" si="197"/>
        <v>0</v>
      </c>
      <c r="N327" s="370">
        <f>+F327-M327</f>
        <v>73200000</v>
      </c>
      <c r="P327" s="343"/>
      <c r="S327" s="346"/>
      <c r="T327" s="347"/>
      <c r="U327" s="342"/>
    </row>
    <row r="328" spans="1:21" s="339" customFormat="1" ht="26.25" customHeight="1" x14ac:dyDescent="0.25">
      <c r="A328" s="399"/>
      <c r="B328" s="381"/>
      <c r="C328" s="367"/>
      <c r="D328" s="367" t="s">
        <v>115</v>
      </c>
      <c r="E328" s="369" t="s">
        <v>116</v>
      </c>
      <c r="F328" s="370">
        <v>109500000</v>
      </c>
      <c r="G328" s="400"/>
      <c r="H328" s="400"/>
      <c r="I328" s="400"/>
      <c r="J328" s="371"/>
      <c r="K328" s="371"/>
      <c r="L328" s="371">
        <f t="shared" si="199"/>
        <v>0</v>
      </c>
      <c r="M328" s="371">
        <f t="shared" si="197"/>
        <v>0</v>
      </c>
      <c r="N328" s="370">
        <f>+F328-M328</f>
        <v>109500000</v>
      </c>
      <c r="P328" s="340"/>
      <c r="S328" s="346"/>
      <c r="T328" s="347"/>
      <c r="U328" s="342"/>
    </row>
    <row r="329" spans="1:21" s="339" customFormat="1" ht="33.75" customHeight="1" x14ac:dyDescent="0.25">
      <c r="A329" s="399"/>
      <c r="B329" s="381"/>
      <c r="C329" s="367"/>
      <c r="D329" s="367" t="s">
        <v>352</v>
      </c>
      <c r="E329" s="369" t="s">
        <v>353</v>
      </c>
      <c r="F329" s="370">
        <v>108500000</v>
      </c>
      <c r="G329" s="400"/>
      <c r="H329" s="400"/>
      <c r="I329" s="400"/>
      <c r="J329" s="371"/>
      <c r="K329" s="371"/>
      <c r="L329" s="371">
        <f t="shared" si="199"/>
        <v>0</v>
      </c>
      <c r="M329" s="371">
        <f t="shared" si="197"/>
        <v>0</v>
      </c>
      <c r="N329" s="370">
        <f t="shared" si="198"/>
        <v>108500000</v>
      </c>
      <c r="P329" s="340"/>
      <c r="S329" s="346"/>
      <c r="T329" s="347"/>
      <c r="U329" s="342"/>
    </row>
    <row r="330" spans="1:21" s="153" customFormat="1" ht="18" customHeight="1" x14ac:dyDescent="0.25">
      <c r="A330" s="393"/>
      <c r="B330" s="401"/>
      <c r="C330" s="355"/>
      <c r="D330" s="355" t="s">
        <v>354</v>
      </c>
      <c r="E330" s="402" t="s">
        <v>355</v>
      </c>
      <c r="F330" s="356">
        <v>396250000</v>
      </c>
      <c r="G330" s="357"/>
      <c r="H330" s="357"/>
      <c r="I330" s="357">
        <f t="shared" ref="I330:I347" si="201">+G330+H330</f>
        <v>0</v>
      </c>
      <c r="J330" s="357"/>
      <c r="K330" s="357"/>
      <c r="L330" s="357">
        <f t="shared" si="199"/>
        <v>0</v>
      </c>
      <c r="M330" s="357">
        <f t="shared" si="197"/>
        <v>0</v>
      </c>
      <c r="N330" s="356">
        <f t="shared" si="198"/>
        <v>396250000</v>
      </c>
      <c r="P330" s="200"/>
      <c r="S330" s="221"/>
      <c r="T330" s="358"/>
      <c r="U330" s="254"/>
    </row>
    <row r="331" spans="1:21" s="319" customFormat="1" ht="22.5" customHeight="1" x14ac:dyDescent="0.25">
      <c r="A331" s="275">
        <v>18</v>
      </c>
      <c r="B331" s="314"/>
      <c r="C331" s="314" t="s">
        <v>146</v>
      </c>
      <c r="D331" s="315"/>
      <c r="E331" s="348" t="s">
        <v>356</v>
      </c>
      <c r="F331" s="317">
        <f t="shared" ref="F331:H334" si="202">+F332</f>
        <v>399988000</v>
      </c>
      <c r="G331" s="318">
        <f t="shared" si="202"/>
        <v>0</v>
      </c>
      <c r="H331" s="318">
        <f t="shared" si="202"/>
        <v>0</v>
      </c>
      <c r="I331" s="318">
        <f t="shared" si="201"/>
        <v>0</v>
      </c>
      <c r="J331" s="318">
        <f t="shared" ref="J331:K335" si="203">+J332</f>
        <v>0</v>
      </c>
      <c r="K331" s="318">
        <f t="shared" si="203"/>
        <v>0</v>
      </c>
      <c r="L331" s="318">
        <f>+J331+K331</f>
        <v>0</v>
      </c>
      <c r="M331" s="318">
        <f>+I331+L331</f>
        <v>0</v>
      </c>
      <c r="N331" s="317">
        <f>+F331-M331</f>
        <v>399988000</v>
      </c>
      <c r="P331" s="320"/>
      <c r="R331" s="321"/>
      <c r="S331" s="349"/>
      <c r="T331" s="349"/>
      <c r="U331" s="350"/>
    </row>
    <row r="332" spans="1:21" s="329" customFormat="1" ht="18" customHeight="1" x14ac:dyDescent="0.25">
      <c r="A332" s="323"/>
      <c r="B332" s="324"/>
      <c r="C332" s="324"/>
      <c r="D332" s="325" t="s">
        <v>207</v>
      </c>
      <c r="E332" s="326" t="s">
        <v>262</v>
      </c>
      <c r="F332" s="327">
        <f t="shared" si="202"/>
        <v>399988000</v>
      </c>
      <c r="G332" s="328">
        <f t="shared" si="202"/>
        <v>0</v>
      </c>
      <c r="H332" s="328">
        <f t="shared" si="202"/>
        <v>0</v>
      </c>
      <c r="I332" s="328">
        <f t="shared" si="201"/>
        <v>0</v>
      </c>
      <c r="J332" s="328">
        <f t="shared" si="203"/>
        <v>0</v>
      </c>
      <c r="K332" s="328">
        <f t="shared" si="203"/>
        <v>0</v>
      </c>
      <c r="L332" s="328">
        <f>+J332+K332</f>
        <v>0</v>
      </c>
      <c r="M332" s="328">
        <f t="shared" ref="M332:M336" si="204">+I332+L332</f>
        <v>0</v>
      </c>
      <c r="N332" s="327">
        <f>+F332-M332</f>
        <v>399988000</v>
      </c>
      <c r="P332" s="330"/>
      <c r="R332" s="331"/>
      <c r="S332" s="351"/>
      <c r="T332" s="351"/>
      <c r="U332" s="333"/>
    </row>
    <row r="333" spans="1:21" s="381" customFormat="1" ht="18" customHeight="1" x14ac:dyDescent="0.25">
      <c r="A333" s="384"/>
      <c r="B333" s="397"/>
      <c r="C333" s="384"/>
      <c r="D333" s="335" t="s">
        <v>63</v>
      </c>
      <c r="E333" s="335" t="s">
        <v>30</v>
      </c>
      <c r="F333" s="337">
        <f t="shared" si="202"/>
        <v>399988000</v>
      </c>
      <c r="G333" s="344">
        <f t="shared" si="202"/>
        <v>0</v>
      </c>
      <c r="H333" s="344">
        <f t="shared" si="202"/>
        <v>0</v>
      </c>
      <c r="I333" s="344">
        <f t="shared" si="201"/>
        <v>0</v>
      </c>
      <c r="J333" s="344">
        <f t="shared" si="203"/>
        <v>0</v>
      </c>
      <c r="K333" s="344">
        <f t="shared" si="203"/>
        <v>0</v>
      </c>
      <c r="L333" s="344">
        <f>+J333+K333</f>
        <v>0</v>
      </c>
      <c r="M333" s="344">
        <f t="shared" si="204"/>
        <v>0</v>
      </c>
      <c r="N333" s="337">
        <f t="shared" ref="N333:N336" si="205">+F333-M333</f>
        <v>399988000</v>
      </c>
      <c r="P333" s="340"/>
      <c r="S333" s="347"/>
      <c r="T333" s="347"/>
      <c r="U333" s="382"/>
    </row>
    <row r="334" spans="1:21" s="339" customFormat="1" ht="18" customHeight="1" x14ac:dyDescent="0.25">
      <c r="A334" s="334"/>
      <c r="B334" s="335"/>
      <c r="C334" s="335"/>
      <c r="D334" s="365" t="s">
        <v>275</v>
      </c>
      <c r="E334" s="335" t="s">
        <v>276</v>
      </c>
      <c r="F334" s="337">
        <f t="shared" si="202"/>
        <v>399988000</v>
      </c>
      <c r="G334" s="344">
        <f t="shared" si="202"/>
        <v>0</v>
      </c>
      <c r="H334" s="344">
        <f t="shared" si="202"/>
        <v>0</v>
      </c>
      <c r="I334" s="344">
        <f t="shared" si="201"/>
        <v>0</v>
      </c>
      <c r="J334" s="344">
        <f t="shared" si="203"/>
        <v>0</v>
      </c>
      <c r="K334" s="344">
        <f t="shared" si="203"/>
        <v>0</v>
      </c>
      <c r="L334" s="344">
        <f>+J334+K334</f>
        <v>0</v>
      </c>
      <c r="M334" s="344">
        <f t="shared" si="204"/>
        <v>0</v>
      </c>
      <c r="N334" s="337">
        <f t="shared" si="205"/>
        <v>399988000</v>
      </c>
      <c r="P334" s="340"/>
      <c r="S334" s="347"/>
      <c r="T334" s="347"/>
      <c r="U334" s="342"/>
    </row>
    <row r="335" spans="1:21" s="381" customFormat="1" ht="18" customHeight="1" x14ac:dyDescent="0.25">
      <c r="A335" s="384"/>
      <c r="B335" s="397"/>
      <c r="C335" s="384"/>
      <c r="D335" s="335" t="s">
        <v>147</v>
      </c>
      <c r="E335" s="335" t="s">
        <v>35</v>
      </c>
      <c r="F335" s="337">
        <f>F336</f>
        <v>399988000</v>
      </c>
      <c r="G335" s="344">
        <f>+G336</f>
        <v>0</v>
      </c>
      <c r="H335" s="344">
        <f>+H336</f>
        <v>0</v>
      </c>
      <c r="I335" s="344">
        <f t="shared" si="201"/>
        <v>0</v>
      </c>
      <c r="J335" s="344">
        <f t="shared" si="203"/>
        <v>0</v>
      </c>
      <c r="K335" s="344">
        <f t="shared" si="203"/>
        <v>0</v>
      </c>
      <c r="L335" s="344">
        <f>+J335+K335</f>
        <v>0</v>
      </c>
      <c r="M335" s="344">
        <f t="shared" si="204"/>
        <v>0</v>
      </c>
      <c r="N335" s="337">
        <f t="shared" si="205"/>
        <v>399988000</v>
      </c>
      <c r="P335" s="340"/>
      <c r="S335" s="347"/>
      <c r="T335" s="347"/>
      <c r="U335" s="382"/>
    </row>
    <row r="336" spans="1:21" s="153" customFormat="1" ht="33.75" customHeight="1" x14ac:dyDescent="0.25">
      <c r="A336" s="403"/>
      <c r="B336" s="388"/>
      <c r="C336" s="372"/>
      <c r="D336" s="373" t="s">
        <v>148</v>
      </c>
      <c r="E336" s="375" t="s">
        <v>149</v>
      </c>
      <c r="F336" s="376">
        <v>399988000</v>
      </c>
      <c r="G336" s="404"/>
      <c r="H336" s="377"/>
      <c r="I336" s="377">
        <f t="shared" si="201"/>
        <v>0</v>
      </c>
      <c r="J336" s="377"/>
      <c r="K336" s="377"/>
      <c r="L336" s="377">
        <f t="shared" ref="L336" si="206">+J336+K336</f>
        <v>0</v>
      </c>
      <c r="M336" s="377">
        <f t="shared" si="204"/>
        <v>0</v>
      </c>
      <c r="N336" s="376">
        <f t="shared" si="205"/>
        <v>399988000</v>
      </c>
      <c r="P336" s="200"/>
      <c r="S336" s="221"/>
      <c r="T336" s="358"/>
      <c r="U336" s="254"/>
    </row>
    <row r="337" spans="1:21" s="319" customFormat="1" ht="34.5" customHeight="1" x14ac:dyDescent="0.25">
      <c r="A337" s="275">
        <v>19</v>
      </c>
      <c r="B337" s="314"/>
      <c r="C337" s="314" t="s">
        <v>151</v>
      </c>
      <c r="D337" s="315"/>
      <c r="E337" s="348" t="s">
        <v>152</v>
      </c>
      <c r="F337" s="317">
        <f t="shared" ref="F337:H340" si="207">+F338</f>
        <v>200000000</v>
      </c>
      <c r="G337" s="318">
        <f t="shared" si="207"/>
        <v>0</v>
      </c>
      <c r="H337" s="318">
        <f t="shared" si="207"/>
        <v>0</v>
      </c>
      <c r="I337" s="318">
        <f t="shared" si="201"/>
        <v>0</v>
      </c>
      <c r="J337" s="318">
        <f t="shared" ref="J337:K341" si="208">+J338</f>
        <v>0</v>
      </c>
      <c r="K337" s="318">
        <f t="shared" si="208"/>
        <v>0</v>
      </c>
      <c r="L337" s="318">
        <f>+J337+K337</f>
        <v>0</v>
      </c>
      <c r="M337" s="318">
        <f>+I337+L337</f>
        <v>0</v>
      </c>
      <c r="N337" s="317">
        <f>+F337-M337</f>
        <v>200000000</v>
      </c>
      <c r="P337" s="320"/>
      <c r="R337" s="321"/>
      <c r="S337" s="349"/>
      <c r="T337" s="349"/>
      <c r="U337" s="350"/>
    </row>
    <row r="338" spans="1:21" s="329" customFormat="1" ht="18" customHeight="1" x14ac:dyDescent="0.25">
      <c r="A338" s="323"/>
      <c r="B338" s="324"/>
      <c r="C338" s="324"/>
      <c r="D338" s="325" t="s">
        <v>207</v>
      </c>
      <c r="E338" s="326" t="s">
        <v>262</v>
      </c>
      <c r="F338" s="327">
        <f t="shared" si="207"/>
        <v>200000000</v>
      </c>
      <c r="G338" s="328">
        <f t="shared" si="207"/>
        <v>0</v>
      </c>
      <c r="H338" s="328">
        <f t="shared" si="207"/>
        <v>0</v>
      </c>
      <c r="I338" s="328">
        <f t="shared" si="201"/>
        <v>0</v>
      </c>
      <c r="J338" s="328">
        <f t="shared" si="208"/>
        <v>0</v>
      </c>
      <c r="K338" s="328">
        <f t="shared" si="208"/>
        <v>0</v>
      </c>
      <c r="L338" s="328">
        <f>+J338+K338</f>
        <v>0</v>
      </c>
      <c r="M338" s="328">
        <f t="shared" ref="M338:M342" si="209">+I338+L338</f>
        <v>0</v>
      </c>
      <c r="N338" s="327">
        <f t="shared" ref="N338:N342" si="210">+F338-M338</f>
        <v>200000000</v>
      </c>
      <c r="P338" s="330"/>
      <c r="R338" s="331"/>
      <c r="S338" s="351"/>
      <c r="T338" s="351"/>
      <c r="U338" s="333"/>
    </row>
    <row r="339" spans="1:21" s="381" customFormat="1" ht="18" customHeight="1" x14ac:dyDescent="0.25">
      <c r="A339" s="384"/>
      <c r="B339" s="397"/>
      <c r="C339" s="384"/>
      <c r="D339" s="335" t="s">
        <v>63</v>
      </c>
      <c r="E339" s="335" t="s">
        <v>30</v>
      </c>
      <c r="F339" s="337">
        <f t="shared" si="207"/>
        <v>200000000</v>
      </c>
      <c r="G339" s="344">
        <f t="shared" si="207"/>
        <v>0</v>
      </c>
      <c r="H339" s="344">
        <f t="shared" si="207"/>
        <v>0</v>
      </c>
      <c r="I339" s="344">
        <f t="shared" si="201"/>
        <v>0</v>
      </c>
      <c r="J339" s="344">
        <f t="shared" si="208"/>
        <v>0</v>
      </c>
      <c r="K339" s="344">
        <f t="shared" si="208"/>
        <v>0</v>
      </c>
      <c r="L339" s="344">
        <f>+J339+K339</f>
        <v>0</v>
      </c>
      <c r="M339" s="344">
        <f t="shared" si="209"/>
        <v>0</v>
      </c>
      <c r="N339" s="337">
        <f t="shared" si="210"/>
        <v>200000000</v>
      </c>
      <c r="P339" s="340"/>
      <c r="S339" s="347"/>
      <c r="T339" s="347"/>
      <c r="U339" s="382"/>
    </row>
    <row r="340" spans="1:21" s="339" customFormat="1" ht="18" customHeight="1" x14ac:dyDescent="0.25">
      <c r="A340" s="334"/>
      <c r="B340" s="335"/>
      <c r="C340" s="335"/>
      <c r="D340" s="365" t="s">
        <v>275</v>
      </c>
      <c r="E340" s="335" t="s">
        <v>276</v>
      </c>
      <c r="F340" s="337">
        <f t="shared" si="207"/>
        <v>200000000</v>
      </c>
      <c r="G340" s="344">
        <f t="shared" si="207"/>
        <v>0</v>
      </c>
      <c r="H340" s="344">
        <f t="shared" si="207"/>
        <v>0</v>
      </c>
      <c r="I340" s="344">
        <f t="shared" si="201"/>
        <v>0</v>
      </c>
      <c r="J340" s="344">
        <f t="shared" si="208"/>
        <v>0</v>
      </c>
      <c r="K340" s="344">
        <f t="shared" si="208"/>
        <v>0</v>
      </c>
      <c r="L340" s="344">
        <f>+J340+K340</f>
        <v>0</v>
      </c>
      <c r="M340" s="344">
        <f t="shared" si="209"/>
        <v>0</v>
      </c>
      <c r="N340" s="337">
        <f t="shared" si="210"/>
        <v>200000000</v>
      </c>
      <c r="P340" s="340"/>
      <c r="S340" s="347"/>
      <c r="T340" s="347"/>
      <c r="U340" s="342"/>
    </row>
    <row r="341" spans="1:21" s="381" customFormat="1" ht="18" customHeight="1" x14ac:dyDescent="0.25">
      <c r="A341" s="384"/>
      <c r="B341" s="397"/>
      <c r="C341" s="384"/>
      <c r="D341" s="335" t="s">
        <v>147</v>
      </c>
      <c r="E341" s="335" t="s">
        <v>35</v>
      </c>
      <c r="F341" s="337">
        <f>F342</f>
        <v>200000000</v>
      </c>
      <c r="G341" s="344">
        <f>+G342</f>
        <v>0</v>
      </c>
      <c r="H341" s="344">
        <f>+H342</f>
        <v>0</v>
      </c>
      <c r="I341" s="344">
        <f t="shared" si="201"/>
        <v>0</v>
      </c>
      <c r="J341" s="344">
        <f t="shared" si="208"/>
        <v>0</v>
      </c>
      <c r="K341" s="344">
        <f t="shared" si="208"/>
        <v>0</v>
      </c>
      <c r="L341" s="344">
        <f>+J341+K341</f>
        <v>0</v>
      </c>
      <c r="M341" s="344">
        <f t="shared" si="209"/>
        <v>0</v>
      </c>
      <c r="N341" s="337">
        <f t="shared" si="210"/>
        <v>200000000</v>
      </c>
      <c r="P341" s="340"/>
      <c r="S341" s="347"/>
      <c r="T341" s="347"/>
      <c r="U341" s="382"/>
    </row>
    <row r="342" spans="1:21" s="153" customFormat="1" ht="33.75" customHeight="1" x14ac:dyDescent="0.25">
      <c r="A342" s="403"/>
      <c r="B342" s="388"/>
      <c r="C342" s="372"/>
      <c r="D342" s="373" t="s">
        <v>148</v>
      </c>
      <c r="E342" s="375" t="s">
        <v>149</v>
      </c>
      <c r="F342" s="376">
        <v>200000000</v>
      </c>
      <c r="G342" s="404"/>
      <c r="H342" s="377"/>
      <c r="I342" s="377">
        <f t="shared" si="201"/>
        <v>0</v>
      </c>
      <c r="J342" s="377"/>
      <c r="K342" s="377"/>
      <c r="L342" s="377">
        <f t="shared" ref="L342" si="211">+J342+K342</f>
        <v>0</v>
      </c>
      <c r="M342" s="377">
        <f t="shared" si="209"/>
        <v>0</v>
      </c>
      <c r="N342" s="376">
        <f t="shared" si="210"/>
        <v>200000000</v>
      </c>
      <c r="P342" s="200"/>
      <c r="S342" s="221"/>
      <c r="T342" s="358"/>
      <c r="U342" s="254"/>
    </row>
    <row r="343" spans="1:21" s="319" customFormat="1" ht="34.5" customHeight="1" x14ac:dyDescent="0.25">
      <c r="A343" s="275">
        <v>20</v>
      </c>
      <c r="B343" s="314"/>
      <c r="C343" s="314" t="s">
        <v>153</v>
      </c>
      <c r="D343" s="315"/>
      <c r="E343" s="348" t="s">
        <v>154</v>
      </c>
      <c r="F343" s="317">
        <f t="shared" ref="F343:H346" si="212">+F344</f>
        <v>80000000</v>
      </c>
      <c r="G343" s="318">
        <f t="shared" si="212"/>
        <v>0</v>
      </c>
      <c r="H343" s="318">
        <f t="shared" si="212"/>
        <v>0</v>
      </c>
      <c r="I343" s="318">
        <f t="shared" si="201"/>
        <v>0</v>
      </c>
      <c r="J343" s="318">
        <f t="shared" ref="J343:K347" si="213">+J344</f>
        <v>0</v>
      </c>
      <c r="K343" s="318">
        <f t="shared" si="213"/>
        <v>0</v>
      </c>
      <c r="L343" s="318">
        <f>+J343+K343</f>
        <v>0</v>
      </c>
      <c r="M343" s="318">
        <f>+I343+L343</f>
        <v>0</v>
      </c>
      <c r="N343" s="317">
        <f>+F343-M343</f>
        <v>80000000</v>
      </c>
      <c r="P343" s="320"/>
      <c r="R343" s="321"/>
      <c r="S343" s="349"/>
      <c r="T343" s="349"/>
      <c r="U343" s="350"/>
    </row>
    <row r="344" spans="1:21" s="329" customFormat="1" ht="18" customHeight="1" x14ac:dyDescent="0.25">
      <c r="A344" s="323"/>
      <c r="B344" s="324"/>
      <c r="C344" s="324"/>
      <c r="D344" s="325" t="s">
        <v>207</v>
      </c>
      <c r="E344" s="326" t="s">
        <v>262</v>
      </c>
      <c r="F344" s="327">
        <f t="shared" si="212"/>
        <v>80000000</v>
      </c>
      <c r="G344" s="328">
        <f t="shared" si="212"/>
        <v>0</v>
      </c>
      <c r="H344" s="328">
        <f t="shared" si="212"/>
        <v>0</v>
      </c>
      <c r="I344" s="328">
        <f t="shared" si="201"/>
        <v>0</v>
      </c>
      <c r="J344" s="328">
        <f t="shared" si="213"/>
        <v>0</v>
      </c>
      <c r="K344" s="328">
        <f t="shared" si="213"/>
        <v>0</v>
      </c>
      <c r="L344" s="328">
        <f>+J344+K344</f>
        <v>0</v>
      </c>
      <c r="M344" s="328">
        <f t="shared" ref="M344:M348" si="214">+I344+L344</f>
        <v>0</v>
      </c>
      <c r="N344" s="327">
        <f t="shared" ref="N344:N348" si="215">+F344-M344</f>
        <v>80000000</v>
      </c>
      <c r="P344" s="330"/>
      <c r="R344" s="331"/>
      <c r="S344" s="351"/>
      <c r="T344" s="351"/>
      <c r="U344" s="333"/>
    </row>
    <row r="345" spans="1:21" s="381" customFormat="1" ht="18" customHeight="1" x14ac:dyDescent="0.25">
      <c r="A345" s="384"/>
      <c r="B345" s="397"/>
      <c r="C345" s="384"/>
      <c r="D345" s="335" t="s">
        <v>63</v>
      </c>
      <c r="E345" s="335" t="s">
        <v>30</v>
      </c>
      <c r="F345" s="337">
        <f t="shared" si="212"/>
        <v>80000000</v>
      </c>
      <c r="G345" s="344">
        <f t="shared" si="212"/>
        <v>0</v>
      </c>
      <c r="H345" s="344">
        <f t="shared" si="212"/>
        <v>0</v>
      </c>
      <c r="I345" s="344">
        <f t="shared" si="201"/>
        <v>0</v>
      </c>
      <c r="J345" s="344">
        <f t="shared" si="213"/>
        <v>0</v>
      </c>
      <c r="K345" s="344">
        <f t="shared" si="213"/>
        <v>0</v>
      </c>
      <c r="L345" s="344">
        <f>+J345+K345</f>
        <v>0</v>
      </c>
      <c r="M345" s="344">
        <f t="shared" si="214"/>
        <v>0</v>
      </c>
      <c r="N345" s="337">
        <f t="shared" si="215"/>
        <v>80000000</v>
      </c>
      <c r="P345" s="340"/>
      <c r="S345" s="347"/>
      <c r="T345" s="347"/>
      <c r="U345" s="382"/>
    </row>
    <row r="346" spans="1:21" s="339" customFormat="1" ht="18" customHeight="1" x14ac:dyDescent="0.25">
      <c r="A346" s="334"/>
      <c r="B346" s="335"/>
      <c r="C346" s="335"/>
      <c r="D346" s="365" t="s">
        <v>275</v>
      </c>
      <c r="E346" s="335" t="s">
        <v>276</v>
      </c>
      <c r="F346" s="337">
        <f t="shared" si="212"/>
        <v>80000000</v>
      </c>
      <c r="G346" s="344">
        <f t="shared" si="212"/>
        <v>0</v>
      </c>
      <c r="H346" s="344">
        <f t="shared" si="212"/>
        <v>0</v>
      </c>
      <c r="I346" s="344">
        <f t="shared" si="201"/>
        <v>0</v>
      </c>
      <c r="J346" s="344">
        <f t="shared" si="213"/>
        <v>0</v>
      </c>
      <c r="K346" s="344">
        <f t="shared" si="213"/>
        <v>0</v>
      </c>
      <c r="L346" s="344">
        <f>+J346+K346</f>
        <v>0</v>
      </c>
      <c r="M346" s="344">
        <f t="shared" si="214"/>
        <v>0</v>
      </c>
      <c r="N346" s="337">
        <f t="shared" si="215"/>
        <v>80000000</v>
      </c>
      <c r="P346" s="340"/>
      <c r="S346" s="347"/>
      <c r="T346" s="347"/>
      <c r="U346" s="342"/>
    </row>
    <row r="347" spans="1:21" s="381" customFormat="1" ht="18" customHeight="1" x14ac:dyDescent="0.25">
      <c r="A347" s="384"/>
      <c r="B347" s="397"/>
      <c r="C347" s="384"/>
      <c r="D347" s="335" t="s">
        <v>114</v>
      </c>
      <c r="E347" s="335" t="s">
        <v>43</v>
      </c>
      <c r="F347" s="337">
        <f>F348</f>
        <v>80000000</v>
      </c>
      <c r="G347" s="344">
        <f>+G348</f>
        <v>0</v>
      </c>
      <c r="H347" s="344">
        <f>+H348</f>
        <v>0</v>
      </c>
      <c r="I347" s="344">
        <f t="shared" si="201"/>
        <v>0</v>
      </c>
      <c r="J347" s="344">
        <f t="shared" si="213"/>
        <v>0</v>
      </c>
      <c r="K347" s="344">
        <f t="shared" si="213"/>
        <v>0</v>
      </c>
      <c r="L347" s="344">
        <f>+J347+K347</f>
        <v>0</v>
      </c>
      <c r="M347" s="344">
        <f t="shared" si="214"/>
        <v>0</v>
      </c>
      <c r="N347" s="337">
        <f t="shared" si="215"/>
        <v>80000000</v>
      </c>
      <c r="P347" s="340"/>
      <c r="S347" s="347"/>
      <c r="T347" s="347"/>
      <c r="U347" s="382"/>
    </row>
    <row r="348" spans="1:21" s="339" customFormat="1" ht="20.25" customHeight="1" x14ac:dyDescent="0.25">
      <c r="A348" s="399"/>
      <c r="B348" s="381"/>
      <c r="C348" s="366"/>
      <c r="D348" s="367" t="s">
        <v>349</v>
      </c>
      <c r="E348" s="369" t="s">
        <v>350</v>
      </c>
      <c r="F348" s="370">
        <v>80000000</v>
      </c>
      <c r="G348" s="400"/>
      <c r="H348" s="400"/>
      <c r="I348" s="400"/>
      <c r="J348" s="371"/>
      <c r="K348" s="371"/>
      <c r="L348" s="371">
        <f t="shared" ref="L348" si="216">+J348+K348</f>
        <v>0</v>
      </c>
      <c r="M348" s="371">
        <f t="shared" si="214"/>
        <v>0</v>
      </c>
      <c r="N348" s="370">
        <f t="shared" si="215"/>
        <v>80000000</v>
      </c>
      <c r="P348" s="340"/>
      <c r="S348" s="347"/>
      <c r="T348" s="347"/>
      <c r="U348" s="342"/>
    </row>
    <row r="349" spans="1:21" s="153" customFormat="1" ht="18" customHeight="1" x14ac:dyDescent="0.25">
      <c r="A349" s="353"/>
      <c r="B349" s="355"/>
      <c r="C349" s="355"/>
      <c r="D349" s="355"/>
      <c r="E349" s="355"/>
      <c r="F349" s="356"/>
      <c r="G349" s="357"/>
      <c r="H349" s="357"/>
      <c r="I349" s="357"/>
      <c r="J349" s="357"/>
      <c r="K349" s="357"/>
      <c r="L349" s="357"/>
      <c r="M349" s="357"/>
      <c r="N349" s="356"/>
      <c r="P349" s="200"/>
      <c r="S349" s="221"/>
      <c r="T349" s="221"/>
      <c r="U349" s="254"/>
    </row>
    <row r="350" spans="1:21" s="319" customFormat="1" ht="18.75" customHeight="1" x14ac:dyDescent="0.25">
      <c r="A350" s="276"/>
      <c r="B350" s="305" t="s">
        <v>410</v>
      </c>
      <c r="C350" s="305"/>
      <c r="D350" s="305"/>
      <c r="E350" s="396" t="s">
        <v>411</v>
      </c>
      <c r="F350" s="359">
        <f>+F351+F357+F369+F375</f>
        <v>352609205400</v>
      </c>
      <c r="G350" s="308">
        <f>G351+G357+G369+G375</f>
        <v>0</v>
      </c>
      <c r="H350" s="308">
        <f>+H351+H357+H369+H375</f>
        <v>0</v>
      </c>
      <c r="I350" s="360">
        <f>+G350+H350</f>
        <v>0</v>
      </c>
      <c r="J350" s="308">
        <f>J351+J357+J369+J375</f>
        <v>0</v>
      </c>
      <c r="K350" s="308">
        <f>+K352</f>
        <v>0</v>
      </c>
      <c r="L350" s="360">
        <f t="shared" ref="L350:L364" si="217">+J350+K350</f>
        <v>0</v>
      </c>
      <c r="M350" s="360">
        <f t="shared" ref="M350:M364" si="218">+I350+L350</f>
        <v>0</v>
      </c>
      <c r="N350" s="359">
        <f t="shared" ref="N350:N355" si="219">+F350-M350</f>
        <v>352609205400</v>
      </c>
      <c r="P350" s="361"/>
      <c r="R350" s="321"/>
      <c r="S350" s="362"/>
      <c r="T350" s="362"/>
      <c r="U350" s="350"/>
    </row>
    <row r="351" spans="1:21" s="319" customFormat="1" ht="32.25" hidden="1" customHeight="1" x14ac:dyDescent="0.25">
      <c r="A351" s="275">
        <v>21</v>
      </c>
      <c r="B351" s="314"/>
      <c r="C351" s="314" t="s">
        <v>280</v>
      </c>
      <c r="D351" s="315"/>
      <c r="E351" s="348" t="s">
        <v>279</v>
      </c>
      <c r="F351" s="317">
        <f t="shared" ref="F351:H355" si="220">+F352</f>
        <v>0</v>
      </c>
      <c r="G351" s="318">
        <f t="shared" si="220"/>
        <v>0</v>
      </c>
      <c r="H351" s="318">
        <f>+H352</f>
        <v>0</v>
      </c>
      <c r="I351" s="318">
        <f>+G351+H351</f>
        <v>0</v>
      </c>
      <c r="J351" s="318">
        <f>+J352</f>
        <v>0</v>
      </c>
      <c r="K351" s="318">
        <f>+K352</f>
        <v>0</v>
      </c>
      <c r="L351" s="318">
        <f t="shared" si="217"/>
        <v>0</v>
      </c>
      <c r="M351" s="318">
        <f>+I351+L351</f>
        <v>0</v>
      </c>
      <c r="N351" s="317">
        <f>+F351-M351</f>
        <v>0</v>
      </c>
      <c r="P351" s="320"/>
      <c r="R351" s="321"/>
      <c r="S351" s="349"/>
      <c r="T351" s="349"/>
      <c r="U351" s="350"/>
    </row>
    <row r="352" spans="1:21" s="329" customFormat="1" ht="18" hidden="1" customHeight="1" x14ac:dyDescent="0.25">
      <c r="A352" s="323"/>
      <c r="B352" s="324"/>
      <c r="C352" s="324"/>
      <c r="D352" s="325" t="s">
        <v>207</v>
      </c>
      <c r="E352" s="326" t="s">
        <v>262</v>
      </c>
      <c r="F352" s="327">
        <f t="shared" si="220"/>
        <v>0</v>
      </c>
      <c r="G352" s="328">
        <f t="shared" si="220"/>
        <v>0</v>
      </c>
      <c r="H352" s="328">
        <f t="shared" si="220"/>
        <v>0</v>
      </c>
      <c r="I352" s="328">
        <f t="shared" ref="I352:I368" si="221">+G352+H352</f>
        <v>0</v>
      </c>
      <c r="J352" s="328">
        <f>+J353</f>
        <v>0</v>
      </c>
      <c r="K352" s="328">
        <f>+K353</f>
        <v>0</v>
      </c>
      <c r="L352" s="328">
        <f t="shared" si="217"/>
        <v>0</v>
      </c>
      <c r="M352" s="328">
        <f t="shared" si="218"/>
        <v>0</v>
      </c>
      <c r="N352" s="327">
        <f t="shared" si="219"/>
        <v>0</v>
      </c>
      <c r="P352" s="330"/>
      <c r="R352" s="331"/>
      <c r="S352" s="351"/>
      <c r="T352" s="351"/>
      <c r="U352" s="333"/>
    </row>
    <row r="353" spans="1:21" s="381" customFormat="1" ht="18" hidden="1" customHeight="1" x14ac:dyDescent="0.25">
      <c r="A353" s="384"/>
      <c r="B353" s="335"/>
      <c r="C353" s="335"/>
      <c r="D353" s="335" t="s">
        <v>281</v>
      </c>
      <c r="E353" s="335" t="s">
        <v>282</v>
      </c>
      <c r="F353" s="337">
        <f t="shared" si="220"/>
        <v>0</v>
      </c>
      <c r="G353" s="338">
        <f t="shared" si="220"/>
        <v>0</v>
      </c>
      <c r="H353" s="338">
        <f t="shared" si="220"/>
        <v>0</v>
      </c>
      <c r="I353" s="338">
        <f>+G353+H353</f>
        <v>0</v>
      </c>
      <c r="J353" s="338">
        <f>+J354+J363</f>
        <v>0</v>
      </c>
      <c r="K353" s="338">
        <f>+K354+K363</f>
        <v>0</v>
      </c>
      <c r="L353" s="338">
        <f t="shared" si="217"/>
        <v>0</v>
      </c>
      <c r="M353" s="338">
        <f>+I353+L353</f>
        <v>0</v>
      </c>
      <c r="N353" s="405">
        <f t="shared" si="219"/>
        <v>0</v>
      </c>
      <c r="P353" s="340"/>
      <c r="S353" s="347"/>
      <c r="T353" s="347"/>
      <c r="U353" s="382"/>
    </row>
    <row r="354" spans="1:21" s="339" customFormat="1" ht="18" hidden="1" customHeight="1" x14ac:dyDescent="0.25">
      <c r="A354" s="334"/>
      <c r="B354" s="335"/>
      <c r="C354" s="335"/>
      <c r="D354" s="335" t="s">
        <v>283</v>
      </c>
      <c r="E354" s="336" t="s">
        <v>284</v>
      </c>
      <c r="F354" s="337">
        <f t="shared" si="220"/>
        <v>0</v>
      </c>
      <c r="G354" s="338">
        <f t="shared" si="220"/>
        <v>0</v>
      </c>
      <c r="H354" s="338">
        <f t="shared" si="220"/>
        <v>0</v>
      </c>
      <c r="I354" s="338">
        <f t="shared" si="221"/>
        <v>0</v>
      </c>
      <c r="J354" s="338">
        <f>+J355</f>
        <v>0</v>
      </c>
      <c r="K354" s="338">
        <f>+K355</f>
        <v>0</v>
      </c>
      <c r="L354" s="338">
        <f t="shared" si="217"/>
        <v>0</v>
      </c>
      <c r="M354" s="338">
        <f t="shared" si="218"/>
        <v>0</v>
      </c>
      <c r="N354" s="337">
        <f t="shared" si="219"/>
        <v>0</v>
      </c>
      <c r="P354" s="340"/>
      <c r="S354" s="347"/>
      <c r="T354" s="347"/>
      <c r="U354" s="342"/>
    </row>
    <row r="355" spans="1:21" s="339" customFormat="1" ht="31.5" hidden="1" customHeight="1" x14ac:dyDescent="0.25">
      <c r="A355" s="334"/>
      <c r="B355" s="335"/>
      <c r="C355" s="335"/>
      <c r="D355" s="335" t="s">
        <v>412</v>
      </c>
      <c r="E355" s="391" t="s">
        <v>413</v>
      </c>
      <c r="F355" s="337">
        <f t="shared" si="220"/>
        <v>0</v>
      </c>
      <c r="G355" s="344">
        <f t="shared" si="220"/>
        <v>0</v>
      </c>
      <c r="H355" s="344">
        <f t="shared" si="220"/>
        <v>0</v>
      </c>
      <c r="I355" s="344">
        <f t="shared" si="221"/>
        <v>0</v>
      </c>
      <c r="J355" s="344">
        <f>+J356</f>
        <v>0</v>
      </c>
      <c r="K355" s="344">
        <f>+K356</f>
        <v>0</v>
      </c>
      <c r="L355" s="344">
        <f t="shared" si="217"/>
        <v>0</v>
      </c>
      <c r="M355" s="344">
        <f t="shared" si="218"/>
        <v>0</v>
      </c>
      <c r="N355" s="337">
        <f t="shared" si="219"/>
        <v>0</v>
      </c>
      <c r="P355" s="340"/>
      <c r="S355" s="347"/>
      <c r="T355" s="347"/>
      <c r="U355" s="342"/>
    </row>
    <row r="356" spans="1:21" s="153" customFormat="1" ht="33.75" hidden="1" customHeight="1" x14ac:dyDescent="0.25">
      <c r="A356" s="353"/>
      <c r="B356" s="355"/>
      <c r="C356" s="355"/>
      <c r="D356" s="355" t="s">
        <v>414</v>
      </c>
      <c r="E356" s="402" t="s">
        <v>413</v>
      </c>
      <c r="F356" s="356"/>
      <c r="G356" s="406"/>
      <c r="H356" s="406"/>
      <c r="I356" s="406">
        <f t="shared" si="221"/>
        <v>0</v>
      </c>
      <c r="J356" s="357"/>
      <c r="K356" s="406"/>
      <c r="L356" s="406">
        <f t="shared" si="217"/>
        <v>0</v>
      </c>
      <c r="M356" s="406">
        <f t="shared" si="218"/>
        <v>0</v>
      </c>
      <c r="N356" s="356">
        <f>+F356-M356</f>
        <v>0</v>
      </c>
      <c r="P356" s="200"/>
      <c r="S356" s="221"/>
      <c r="T356" s="221"/>
      <c r="U356" s="254"/>
    </row>
    <row r="357" spans="1:21" s="319" customFormat="1" ht="18" customHeight="1" x14ac:dyDescent="0.25">
      <c r="A357" s="276">
        <v>21</v>
      </c>
      <c r="B357" s="305"/>
      <c r="C357" s="305" t="s">
        <v>285</v>
      </c>
      <c r="D357" s="363"/>
      <c r="E357" s="364" t="s">
        <v>286</v>
      </c>
      <c r="F357" s="307">
        <f>+F358</f>
        <v>325031788200</v>
      </c>
      <c r="G357" s="308">
        <f t="shared" ref="G357:H358" si="222">+G358</f>
        <v>0</v>
      </c>
      <c r="H357" s="308">
        <f>+H358</f>
        <v>0</v>
      </c>
      <c r="I357" s="308">
        <f t="shared" si="221"/>
        <v>0</v>
      </c>
      <c r="J357" s="308">
        <f t="shared" ref="J357:K358" si="223">+J358</f>
        <v>0</v>
      </c>
      <c r="K357" s="308">
        <f t="shared" si="223"/>
        <v>0</v>
      </c>
      <c r="L357" s="308">
        <f t="shared" si="217"/>
        <v>0</v>
      </c>
      <c r="M357" s="308">
        <f>+I357+L357</f>
        <v>0</v>
      </c>
      <c r="N357" s="307">
        <f>+F357-M357</f>
        <v>325031788200</v>
      </c>
      <c r="P357" s="320"/>
      <c r="R357" s="321"/>
      <c r="S357" s="349"/>
      <c r="T357" s="349"/>
      <c r="U357" s="350"/>
    </row>
    <row r="358" spans="1:21" s="329" customFormat="1" ht="18" customHeight="1" x14ac:dyDescent="0.25">
      <c r="A358" s="323"/>
      <c r="B358" s="324"/>
      <c r="C358" s="324"/>
      <c r="D358" s="325" t="s">
        <v>287</v>
      </c>
      <c r="E358" s="326" t="s">
        <v>288</v>
      </c>
      <c r="F358" s="327">
        <f>+F359</f>
        <v>325031788200</v>
      </c>
      <c r="G358" s="328">
        <f t="shared" si="222"/>
        <v>0</v>
      </c>
      <c r="H358" s="328">
        <f t="shared" si="222"/>
        <v>0</v>
      </c>
      <c r="I358" s="328">
        <f t="shared" si="221"/>
        <v>0</v>
      </c>
      <c r="J358" s="328">
        <f t="shared" si="223"/>
        <v>0</v>
      </c>
      <c r="K358" s="328">
        <f t="shared" si="223"/>
        <v>0</v>
      </c>
      <c r="L358" s="328">
        <f t="shared" si="217"/>
        <v>0</v>
      </c>
      <c r="M358" s="328">
        <f t="shared" ref="M358" si="224">+I358+L358</f>
        <v>0</v>
      </c>
      <c r="N358" s="327">
        <f t="shared" ref="N358:N366" si="225">+F358-M358</f>
        <v>325031788200</v>
      </c>
      <c r="P358" s="330"/>
      <c r="R358" s="331"/>
      <c r="S358" s="351"/>
      <c r="T358" s="351"/>
      <c r="U358" s="333"/>
    </row>
    <row r="359" spans="1:21" s="381" customFormat="1" ht="18" customHeight="1" x14ac:dyDescent="0.25">
      <c r="A359" s="384"/>
      <c r="B359" s="335"/>
      <c r="C359" s="335"/>
      <c r="D359" s="335" t="s">
        <v>289</v>
      </c>
      <c r="E359" s="335" t="s">
        <v>290</v>
      </c>
      <c r="F359" s="337">
        <f>+F363+F360</f>
        <v>325031788200</v>
      </c>
      <c r="G359" s="338">
        <f>+G363+G360</f>
        <v>0</v>
      </c>
      <c r="H359" s="338">
        <f>+H363+H360</f>
        <v>0</v>
      </c>
      <c r="I359" s="338">
        <f t="shared" si="221"/>
        <v>0</v>
      </c>
      <c r="J359" s="338">
        <f>+J363+J360</f>
        <v>0</v>
      </c>
      <c r="K359" s="338">
        <f>+K363+K360</f>
        <v>0</v>
      </c>
      <c r="L359" s="338">
        <f>+J359+K359</f>
        <v>0</v>
      </c>
      <c r="M359" s="338">
        <f>+I359+L359</f>
        <v>0</v>
      </c>
      <c r="N359" s="405">
        <f t="shared" si="225"/>
        <v>325031788200</v>
      </c>
      <c r="P359" s="340"/>
      <c r="S359" s="347"/>
      <c r="T359" s="347"/>
      <c r="U359" s="382"/>
    </row>
    <row r="360" spans="1:21" s="339" customFormat="1" ht="18" customHeight="1" x14ac:dyDescent="0.25">
      <c r="A360" s="366"/>
      <c r="B360" s="367"/>
      <c r="C360" s="367"/>
      <c r="D360" s="367" t="s">
        <v>291</v>
      </c>
      <c r="E360" s="407" t="s">
        <v>292</v>
      </c>
      <c r="F360" s="370">
        <f t="shared" ref="F360:H361" si="226">+F361</f>
        <v>540000000</v>
      </c>
      <c r="G360" s="408">
        <f t="shared" si="226"/>
        <v>0</v>
      </c>
      <c r="H360" s="408">
        <f t="shared" si="226"/>
        <v>0</v>
      </c>
      <c r="I360" s="408">
        <f t="shared" si="221"/>
        <v>0</v>
      </c>
      <c r="J360" s="408">
        <f>+J361</f>
        <v>0</v>
      </c>
      <c r="K360" s="408">
        <f>+K361</f>
        <v>0</v>
      </c>
      <c r="L360" s="408">
        <f>+J360+K360</f>
        <v>0</v>
      </c>
      <c r="M360" s="408">
        <f>+I360+L360</f>
        <v>0</v>
      </c>
      <c r="N360" s="370">
        <f t="shared" si="225"/>
        <v>540000000</v>
      </c>
      <c r="P360" s="340"/>
      <c r="S360" s="347"/>
      <c r="T360" s="347"/>
      <c r="U360" s="342"/>
    </row>
    <row r="361" spans="1:21" s="339" customFormat="1" ht="32.25" customHeight="1" x14ac:dyDescent="0.25">
      <c r="A361" s="366"/>
      <c r="B361" s="367"/>
      <c r="C361" s="367"/>
      <c r="D361" s="367" t="s">
        <v>293</v>
      </c>
      <c r="E361" s="369" t="s">
        <v>295</v>
      </c>
      <c r="F361" s="370">
        <f t="shared" si="226"/>
        <v>540000000</v>
      </c>
      <c r="G361" s="371">
        <f t="shared" si="226"/>
        <v>0</v>
      </c>
      <c r="H361" s="371">
        <f t="shared" si="226"/>
        <v>0</v>
      </c>
      <c r="I361" s="371">
        <f t="shared" si="221"/>
        <v>0</v>
      </c>
      <c r="J361" s="371">
        <f>+J362</f>
        <v>0</v>
      </c>
      <c r="K361" s="371">
        <f>+K362</f>
        <v>0</v>
      </c>
      <c r="L361" s="371">
        <f>+J361+K361</f>
        <v>0</v>
      </c>
      <c r="M361" s="371">
        <f>+I361+L361</f>
        <v>0</v>
      </c>
      <c r="N361" s="370">
        <f t="shared" si="225"/>
        <v>540000000</v>
      </c>
      <c r="P361" s="340"/>
      <c r="S361" s="347"/>
      <c r="T361" s="347"/>
      <c r="U361" s="342"/>
    </row>
    <row r="362" spans="1:21" s="339" customFormat="1" ht="29.25" customHeight="1" x14ac:dyDescent="0.25">
      <c r="A362" s="366"/>
      <c r="B362" s="367"/>
      <c r="C362" s="367"/>
      <c r="D362" s="367" t="s">
        <v>294</v>
      </c>
      <c r="E362" s="369" t="s">
        <v>295</v>
      </c>
      <c r="F362" s="370">
        <v>540000000</v>
      </c>
      <c r="G362" s="408"/>
      <c r="H362" s="408"/>
      <c r="I362" s="408">
        <f t="shared" si="221"/>
        <v>0</v>
      </c>
      <c r="J362" s="371"/>
      <c r="K362" s="408"/>
      <c r="L362" s="408">
        <f>+J362+K362</f>
        <v>0</v>
      </c>
      <c r="M362" s="408">
        <f>+I362+L362</f>
        <v>0</v>
      </c>
      <c r="N362" s="409">
        <f t="shared" si="225"/>
        <v>540000000</v>
      </c>
      <c r="P362" s="340"/>
      <c r="S362" s="347"/>
      <c r="T362" s="347"/>
      <c r="U362" s="342"/>
    </row>
    <row r="363" spans="1:21" s="339" customFormat="1" ht="18" customHeight="1" x14ac:dyDescent="0.25">
      <c r="A363" s="334"/>
      <c r="B363" s="335"/>
      <c r="C363" s="335"/>
      <c r="D363" s="335" t="s">
        <v>296</v>
      </c>
      <c r="E363" s="336" t="s">
        <v>298</v>
      </c>
      <c r="F363" s="337">
        <f>+F364+F366</f>
        <v>324491788200</v>
      </c>
      <c r="G363" s="338">
        <f>+G364+G366</f>
        <v>0</v>
      </c>
      <c r="H363" s="338">
        <f>+H364+H366</f>
        <v>0</v>
      </c>
      <c r="I363" s="338">
        <f t="shared" si="221"/>
        <v>0</v>
      </c>
      <c r="J363" s="338">
        <f>+J364+J366</f>
        <v>0</v>
      </c>
      <c r="K363" s="338">
        <f>+K364+K366</f>
        <v>0</v>
      </c>
      <c r="L363" s="338">
        <f t="shared" si="217"/>
        <v>0</v>
      </c>
      <c r="M363" s="338">
        <f t="shared" si="218"/>
        <v>0</v>
      </c>
      <c r="N363" s="337">
        <f t="shared" si="225"/>
        <v>324491788200</v>
      </c>
      <c r="P363" s="340"/>
      <c r="S363" s="347"/>
      <c r="T363" s="347"/>
      <c r="U363" s="342"/>
    </row>
    <row r="364" spans="1:21" s="339" customFormat="1" ht="32.25" customHeight="1" x14ac:dyDescent="0.25">
      <c r="A364" s="334"/>
      <c r="B364" s="335"/>
      <c r="C364" s="335"/>
      <c r="D364" s="335" t="s">
        <v>297</v>
      </c>
      <c r="E364" s="391" t="s">
        <v>300</v>
      </c>
      <c r="F364" s="337">
        <f>F365</f>
        <v>268985638200</v>
      </c>
      <c r="G364" s="344">
        <f>+G365</f>
        <v>0</v>
      </c>
      <c r="H364" s="344">
        <f>+H365</f>
        <v>0</v>
      </c>
      <c r="I364" s="338">
        <f t="shared" si="221"/>
        <v>0</v>
      </c>
      <c r="J364" s="344">
        <f>+J365</f>
        <v>0</v>
      </c>
      <c r="K364" s="344">
        <f>+K365</f>
        <v>0</v>
      </c>
      <c r="L364" s="338">
        <f t="shared" si="217"/>
        <v>0</v>
      </c>
      <c r="M364" s="344">
        <f t="shared" si="218"/>
        <v>0</v>
      </c>
      <c r="N364" s="337">
        <f t="shared" si="225"/>
        <v>268985638200</v>
      </c>
      <c r="P364" s="340"/>
      <c r="S364" s="347"/>
      <c r="T364" s="347"/>
      <c r="U364" s="342"/>
    </row>
    <row r="365" spans="1:21" s="339" customFormat="1" ht="29.25" customHeight="1" x14ac:dyDescent="0.25">
      <c r="A365" s="334"/>
      <c r="B365" s="335"/>
      <c r="C365" s="335"/>
      <c r="D365" s="335" t="s">
        <v>299</v>
      </c>
      <c r="E365" s="391" t="s">
        <v>300</v>
      </c>
      <c r="F365" s="337">
        <v>268985638200</v>
      </c>
      <c r="G365" s="338"/>
      <c r="H365" s="338"/>
      <c r="I365" s="338">
        <f t="shared" si="221"/>
        <v>0</v>
      </c>
      <c r="J365" s="344"/>
      <c r="K365" s="338"/>
      <c r="L365" s="338">
        <f>J365+K365</f>
        <v>0</v>
      </c>
      <c r="M365" s="338">
        <f>+I365+L365</f>
        <v>0</v>
      </c>
      <c r="N365" s="405">
        <f t="shared" si="225"/>
        <v>268985638200</v>
      </c>
      <c r="P365" s="340"/>
      <c r="S365" s="345"/>
      <c r="T365" s="345"/>
      <c r="U365" s="342"/>
    </row>
    <row r="366" spans="1:21" s="339" customFormat="1" ht="32.25" customHeight="1" x14ac:dyDescent="0.25">
      <c r="A366" s="334"/>
      <c r="B366" s="335"/>
      <c r="C366" s="335"/>
      <c r="D366" s="335" t="s">
        <v>301</v>
      </c>
      <c r="E366" s="391" t="s">
        <v>303</v>
      </c>
      <c r="F366" s="337">
        <f>F367+F368</f>
        <v>55506150000</v>
      </c>
      <c r="G366" s="344">
        <f>+G367</f>
        <v>0</v>
      </c>
      <c r="H366" s="338">
        <f>+H367</f>
        <v>0</v>
      </c>
      <c r="I366" s="338">
        <f>+G366+H366</f>
        <v>0</v>
      </c>
      <c r="J366" s="344">
        <f>+J367</f>
        <v>0</v>
      </c>
      <c r="K366" s="344">
        <f>+K367</f>
        <v>0</v>
      </c>
      <c r="L366" s="344">
        <f>+J366+K366</f>
        <v>0</v>
      </c>
      <c r="M366" s="344">
        <f t="shared" ref="M366" si="227">+I366+L366</f>
        <v>0</v>
      </c>
      <c r="N366" s="337">
        <f t="shared" si="225"/>
        <v>55506150000</v>
      </c>
      <c r="P366" s="340"/>
      <c r="S366" s="345"/>
      <c r="T366" s="345"/>
      <c r="U366" s="342"/>
    </row>
    <row r="367" spans="1:21" s="153" customFormat="1" ht="29.25" customHeight="1" x14ac:dyDescent="0.25">
      <c r="A367" s="353"/>
      <c r="B367" s="355"/>
      <c r="C367" s="355"/>
      <c r="D367" s="355" t="s">
        <v>480</v>
      </c>
      <c r="E367" s="402" t="s">
        <v>481</v>
      </c>
      <c r="F367" s="356">
        <v>70000000</v>
      </c>
      <c r="G367" s="406"/>
      <c r="H367" s="406"/>
      <c r="I367" s="406">
        <f t="shared" si="221"/>
        <v>0</v>
      </c>
      <c r="J367" s="357"/>
      <c r="K367" s="406"/>
      <c r="L367" s="406">
        <f>J367+K367</f>
        <v>0</v>
      </c>
      <c r="M367" s="406">
        <f>+I367+L367</f>
        <v>0</v>
      </c>
      <c r="N367" s="405">
        <f>+F367-M367</f>
        <v>70000000</v>
      </c>
      <c r="P367" s="200"/>
      <c r="S367" s="410"/>
      <c r="T367" s="410"/>
      <c r="U367" s="254"/>
    </row>
    <row r="368" spans="1:21" s="153" customFormat="1" ht="29.25" customHeight="1" x14ac:dyDescent="0.25">
      <c r="A368" s="353"/>
      <c r="B368" s="355"/>
      <c r="C368" s="355"/>
      <c r="D368" s="355" t="s">
        <v>482</v>
      </c>
      <c r="E368" s="402" t="s">
        <v>483</v>
      </c>
      <c r="F368" s="356">
        <v>55436150000</v>
      </c>
      <c r="G368" s="406"/>
      <c r="H368" s="406"/>
      <c r="I368" s="406">
        <f t="shared" si="221"/>
        <v>0</v>
      </c>
      <c r="J368" s="357"/>
      <c r="K368" s="406"/>
      <c r="L368" s="406">
        <f>J368+K368</f>
        <v>0</v>
      </c>
      <c r="M368" s="406">
        <f>+I368+L368</f>
        <v>0</v>
      </c>
      <c r="N368" s="405">
        <f>+F368-M368</f>
        <v>55436150000</v>
      </c>
      <c r="P368" s="200"/>
      <c r="S368" s="410"/>
      <c r="T368" s="410"/>
      <c r="U368" s="254"/>
    </row>
    <row r="369" spans="1:21" s="319" customFormat="1" ht="18" customHeight="1" x14ac:dyDescent="0.25">
      <c r="A369" s="276">
        <v>22</v>
      </c>
      <c r="B369" s="305"/>
      <c r="C369" s="305" t="s">
        <v>304</v>
      </c>
      <c r="D369" s="363"/>
      <c r="E369" s="364" t="s">
        <v>305</v>
      </c>
      <c r="F369" s="307">
        <f t="shared" ref="F369:H372" si="228">+F370</f>
        <v>8000000000</v>
      </c>
      <c r="G369" s="308">
        <f t="shared" si="228"/>
        <v>0</v>
      </c>
      <c r="H369" s="308">
        <f t="shared" si="228"/>
        <v>0</v>
      </c>
      <c r="I369" s="308">
        <f>+G369+H369</f>
        <v>0</v>
      </c>
      <c r="J369" s="308">
        <f t="shared" ref="J369:K373" si="229">+J370</f>
        <v>0</v>
      </c>
      <c r="K369" s="308">
        <f t="shared" si="229"/>
        <v>0</v>
      </c>
      <c r="L369" s="308">
        <f>+J369+K369</f>
        <v>0</v>
      </c>
      <c r="M369" s="308">
        <f>+I369+L369</f>
        <v>0</v>
      </c>
      <c r="N369" s="307">
        <f>+F369-M369</f>
        <v>8000000000</v>
      </c>
      <c r="P369" s="320"/>
      <c r="R369" s="321"/>
      <c r="S369" s="411"/>
      <c r="T369" s="411"/>
      <c r="U369" s="350"/>
    </row>
    <row r="370" spans="1:21" s="329" customFormat="1" ht="18" customHeight="1" x14ac:dyDescent="0.25">
      <c r="A370" s="323"/>
      <c r="B370" s="324"/>
      <c r="C370" s="324"/>
      <c r="D370" s="325" t="s">
        <v>306</v>
      </c>
      <c r="E370" s="326" t="s">
        <v>307</v>
      </c>
      <c r="F370" s="327">
        <f t="shared" si="228"/>
        <v>8000000000</v>
      </c>
      <c r="G370" s="328">
        <f t="shared" si="228"/>
        <v>0</v>
      </c>
      <c r="H370" s="328">
        <f t="shared" si="228"/>
        <v>0</v>
      </c>
      <c r="I370" s="328">
        <f>+G370+H370</f>
        <v>0</v>
      </c>
      <c r="J370" s="328">
        <f t="shared" si="229"/>
        <v>0</v>
      </c>
      <c r="K370" s="328">
        <f t="shared" si="229"/>
        <v>0</v>
      </c>
      <c r="L370" s="328">
        <f>+J370+K370</f>
        <v>0</v>
      </c>
      <c r="M370" s="328">
        <f t="shared" ref="M370:M373" si="230">+I370+L370</f>
        <v>0</v>
      </c>
      <c r="N370" s="327">
        <f t="shared" ref="N370:N373" si="231">+F370-M370</f>
        <v>8000000000</v>
      </c>
      <c r="P370" s="330"/>
      <c r="R370" s="331"/>
      <c r="S370" s="332"/>
      <c r="T370" s="332"/>
      <c r="U370" s="333"/>
    </row>
    <row r="371" spans="1:21" s="381" customFormat="1" ht="18" customHeight="1" x14ac:dyDescent="0.25">
      <c r="A371" s="384"/>
      <c r="B371" s="335"/>
      <c r="C371" s="335"/>
      <c r="D371" s="335" t="s">
        <v>308</v>
      </c>
      <c r="E371" s="335" t="s">
        <v>307</v>
      </c>
      <c r="F371" s="337">
        <f t="shared" si="228"/>
        <v>8000000000</v>
      </c>
      <c r="G371" s="338">
        <f t="shared" si="228"/>
        <v>0</v>
      </c>
      <c r="H371" s="338">
        <f t="shared" si="228"/>
        <v>0</v>
      </c>
      <c r="I371" s="338">
        <f>+G371+H371</f>
        <v>0</v>
      </c>
      <c r="J371" s="338">
        <f t="shared" si="229"/>
        <v>0</v>
      </c>
      <c r="K371" s="338">
        <f t="shared" si="229"/>
        <v>0</v>
      </c>
      <c r="L371" s="338">
        <f>+J371+K371</f>
        <v>0</v>
      </c>
      <c r="M371" s="338">
        <f t="shared" si="230"/>
        <v>0</v>
      </c>
      <c r="N371" s="405">
        <f t="shared" si="231"/>
        <v>8000000000</v>
      </c>
      <c r="P371" s="340"/>
      <c r="S371" s="412"/>
      <c r="T371" s="412"/>
      <c r="U371" s="382"/>
    </row>
    <row r="372" spans="1:21" s="339" customFormat="1" ht="18" customHeight="1" x14ac:dyDescent="0.25">
      <c r="A372" s="334"/>
      <c r="B372" s="335"/>
      <c r="C372" s="335"/>
      <c r="D372" s="335" t="s">
        <v>309</v>
      </c>
      <c r="E372" s="336" t="s">
        <v>307</v>
      </c>
      <c r="F372" s="337">
        <f t="shared" si="228"/>
        <v>8000000000</v>
      </c>
      <c r="G372" s="338">
        <f t="shared" si="228"/>
        <v>0</v>
      </c>
      <c r="H372" s="338">
        <f t="shared" si="228"/>
        <v>0</v>
      </c>
      <c r="I372" s="338">
        <f>+G372+H372</f>
        <v>0</v>
      </c>
      <c r="J372" s="338">
        <f t="shared" si="229"/>
        <v>0</v>
      </c>
      <c r="K372" s="338">
        <f t="shared" si="229"/>
        <v>0</v>
      </c>
      <c r="L372" s="338">
        <f>+J372+K372</f>
        <v>0</v>
      </c>
      <c r="M372" s="338">
        <f t="shared" si="230"/>
        <v>0</v>
      </c>
      <c r="N372" s="337">
        <f t="shared" si="231"/>
        <v>8000000000</v>
      </c>
      <c r="P372" s="340"/>
      <c r="S372" s="341"/>
      <c r="T372" s="341"/>
      <c r="U372" s="342"/>
    </row>
    <row r="373" spans="1:21" s="339" customFormat="1" ht="17.25" customHeight="1" x14ac:dyDescent="0.25">
      <c r="A373" s="334"/>
      <c r="B373" s="335"/>
      <c r="C373" s="335"/>
      <c r="D373" s="335" t="s">
        <v>310</v>
      </c>
      <c r="E373" s="391" t="s">
        <v>307</v>
      </c>
      <c r="F373" s="337">
        <f>F374</f>
        <v>8000000000</v>
      </c>
      <c r="G373" s="344">
        <f>+G374</f>
        <v>0</v>
      </c>
      <c r="H373" s="344">
        <f>+H374</f>
        <v>0</v>
      </c>
      <c r="I373" s="338">
        <f>+G373+H373</f>
        <v>0</v>
      </c>
      <c r="J373" s="344">
        <f t="shared" si="229"/>
        <v>0</v>
      </c>
      <c r="K373" s="344">
        <f t="shared" si="229"/>
        <v>0</v>
      </c>
      <c r="L373" s="338">
        <f>+J373+K373</f>
        <v>0</v>
      </c>
      <c r="M373" s="344">
        <f t="shared" si="230"/>
        <v>0</v>
      </c>
      <c r="N373" s="337">
        <f t="shared" si="231"/>
        <v>8000000000</v>
      </c>
      <c r="P373" s="340"/>
      <c r="S373" s="345"/>
      <c r="T373" s="345"/>
      <c r="U373" s="342"/>
    </row>
    <row r="374" spans="1:21" s="153" customFormat="1" ht="20.25" customHeight="1" x14ac:dyDescent="0.25">
      <c r="A374" s="353"/>
      <c r="B374" s="355"/>
      <c r="C374" s="355"/>
      <c r="D374" s="355" t="s">
        <v>311</v>
      </c>
      <c r="E374" s="402" t="s">
        <v>307</v>
      </c>
      <c r="F374" s="356">
        <v>8000000000</v>
      </c>
      <c r="G374" s="406"/>
      <c r="H374" s="406"/>
      <c r="I374" s="406">
        <f t="shared" ref="I374:I383" si="232">+G374+H374</f>
        <v>0</v>
      </c>
      <c r="J374" s="357"/>
      <c r="K374" s="406"/>
      <c r="L374" s="406">
        <f>J374+K374</f>
        <v>0</v>
      </c>
      <c r="M374" s="406">
        <f>+I374+L374</f>
        <v>0</v>
      </c>
      <c r="N374" s="405">
        <f>+F374-M374</f>
        <v>8000000000</v>
      </c>
      <c r="P374" s="200"/>
      <c r="S374" s="410"/>
      <c r="T374" s="410"/>
      <c r="U374" s="254"/>
    </row>
    <row r="375" spans="1:21" s="319" customFormat="1" ht="18" customHeight="1" x14ac:dyDescent="0.25">
      <c r="A375" s="276">
        <v>23</v>
      </c>
      <c r="B375" s="305"/>
      <c r="C375" s="305" t="s">
        <v>320</v>
      </c>
      <c r="D375" s="363"/>
      <c r="E375" s="364" t="s">
        <v>312</v>
      </c>
      <c r="F375" s="307">
        <f t="shared" ref="F375:H376" si="233">+F376</f>
        <v>19577417200</v>
      </c>
      <c r="G375" s="308">
        <f t="shared" si="233"/>
        <v>0</v>
      </c>
      <c r="H375" s="308">
        <f t="shared" si="233"/>
        <v>0</v>
      </c>
      <c r="I375" s="308">
        <f t="shared" si="232"/>
        <v>0</v>
      </c>
      <c r="J375" s="308">
        <f>+J376</f>
        <v>0</v>
      </c>
      <c r="K375" s="308">
        <f>+K376</f>
        <v>0</v>
      </c>
      <c r="L375" s="308">
        <f>+J375+K375</f>
        <v>0</v>
      </c>
      <c r="M375" s="308">
        <f>+I375+L375</f>
        <v>0</v>
      </c>
      <c r="N375" s="307">
        <f>+F375-M375</f>
        <v>19577417200</v>
      </c>
      <c r="P375" s="320"/>
      <c r="R375" s="321"/>
      <c r="S375" s="411"/>
      <c r="T375" s="411"/>
      <c r="U375" s="350"/>
    </row>
    <row r="376" spans="1:21" s="329" customFormat="1" ht="18" customHeight="1" x14ac:dyDescent="0.25">
      <c r="A376" s="323"/>
      <c r="B376" s="324"/>
      <c r="C376" s="324"/>
      <c r="D376" s="325" t="s">
        <v>287</v>
      </c>
      <c r="E376" s="326" t="s">
        <v>288</v>
      </c>
      <c r="F376" s="327">
        <f t="shared" si="233"/>
        <v>19577417200</v>
      </c>
      <c r="G376" s="328">
        <f t="shared" si="233"/>
        <v>0</v>
      </c>
      <c r="H376" s="328">
        <f t="shared" si="233"/>
        <v>0</v>
      </c>
      <c r="I376" s="328">
        <f t="shared" si="232"/>
        <v>0</v>
      </c>
      <c r="J376" s="328">
        <f>+J377</f>
        <v>0</v>
      </c>
      <c r="K376" s="328">
        <f>+K377</f>
        <v>0</v>
      </c>
      <c r="L376" s="328">
        <f>+J376+K376</f>
        <v>0</v>
      </c>
      <c r="M376" s="328">
        <f t="shared" ref="M376:M379" si="234">+I376+L376</f>
        <v>0</v>
      </c>
      <c r="N376" s="327">
        <f t="shared" ref="N376:N379" si="235">+F376-M376</f>
        <v>19577417200</v>
      </c>
      <c r="P376" s="330"/>
      <c r="R376" s="331"/>
      <c r="S376" s="332"/>
      <c r="T376" s="332"/>
      <c r="U376" s="333"/>
    </row>
    <row r="377" spans="1:21" s="381" customFormat="1" ht="18" customHeight="1" x14ac:dyDescent="0.25">
      <c r="A377" s="384"/>
      <c r="B377" s="335"/>
      <c r="C377" s="335"/>
      <c r="D377" s="335" t="s">
        <v>313</v>
      </c>
      <c r="E377" s="335" t="s">
        <v>415</v>
      </c>
      <c r="F377" s="337">
        <f>+F378+F381</f>
        <v>19577417200</v>
      </c>
      <c r="G377" s="338">
        <f>+G378+G381</f>
        <v>0</v>
      </c>
      <c r="H377" s="338">
        <f>+H378+H381</f>
        <v>0</v>
      </c>
      <c r="I377" s="338">
        <f t="shared" si="232"/>
        <v>0</v>
      </c>
      <c r="J377" s="338">
        <f>+J378+J381</f>
        <v>0</v>
      </c>
      <c r="K377" s="338">
        <f>+K378+K381</f>
        <v>0</v>
      </c>
      <c r="L377" s="338">
        <f>+J377+K377</f>
        <v>0</v>
      </c>
      <c r="M377" s="338">
        <f t="shared" si="234"/>
        <v>0</v>
      </c>
      <c r="N377" s="405">
        <f t="shared" si="235"/>
        <v>19577417200</v>
      </c>
      <c r="P377" s="340"/>
      <c r="S377" s="412"/>
      <c r="T377" s="412"/>
      <c r="U377" s="382"/>
    </row>
    <row r="378" spans="1:21" s="339" customFormat="1" ht="31.5" customHeight="1" x14ac:dyDescent="0.25">
      <c r="A378" s="334"/>
      <c r="B378" s="335"/>
      <c r="C378" s="335"/>
      <c r="D378" s="335" t="s">
        <v>314</v>
      </c>
      <c r="E378" s="413" t="s">
        <v>416</v>
      </c>
      <c r="F378" s="337">
        <f>+F379</f>
        <v>18835000000</v>
      </c>
      <c r="G378" s="338">
        <f>+G379</f>
        <v>0</v>
      </c>
      <c r="H378" s="338">
        <f>+H379</f>
        <v>0</v>
      </c>
      <c r="I378" s="338">
        <f t="shared" si="232"/>
        <v>0</v>
      </c>
      <c r="J378" s="338">
        <f>+J379</f>
        <v>0</v>
      </c>
      <c r="K378" s="338">
        <f>+K379</f>
        <v>0</v>
      </c>
      <c r="L378" s="338">
        <f>+J378+K378</f>
        <v>0</v>
      </c>
      <c r="M378" s="338">
        <f t="shared" si="234"/>
        <v>0</v>
      </c>
      <c r="N378" s="337">
        <f t="shared" si="235"/>
        <v>18835000000</v>
      </c>
      <c r="P378" s="340"/>
      <c r="S378" s="341"/>
      <c r="T378" s="341"/>
      <c r="U378" s="342"/>
    </row>
    <row r="379" spans="1:21" s="339" customFormat="1" ht="17.25" customHeight="1" x14ac:dyDescent="0.25">
      <c r="A379" s="334"/>
      <c r="B379" s="335"/>
      <c r="C379" s="335"/>
      <c r="D379" s="335" t="s">
        <v>315</v>
      </c>
      <c r="E379" s="391" t="s">
        <v>417</v>
      </c>
      <c r="F379" s="337">
        <f>F380</f>
        <v>18835000000</v>
      </c>
      <c r="G379" s="344">
        <f>+G380</f>
        <v>0</v>
      </c>
      <c r="H379" s="344">
        <f>+H380</f>
        <v>0</v>
      </c>
      <c r="I379" s="338">
        <f t="shared" si="232"/>
        <v>0</v>
      </c>
      <c r="J379" s="344">
        <f>+J380</f>
        <v>0</v>
      </c>
      <c r="K379" s="344">
        <f>+K380</f>
        <v>0</v>
      </c>
      <c r="L379" s="338">
        <f>+J379+K379</f>
        <v>0</v>
      </c>
      <c r="M379" s="344">
        <f t="shared" si="234"/>
        <v>0</v>
      </c>
      <c r="N379" s="337">
        <f t="shared" si="235"/>
        <v>18835000000</v>
      </c>
      <c r="P379" s="340"/>
      <c r="S379" s="345"/>
      <c r="T379" s="345"/>
      <c r="U379" s="342"/>
    </row>
    <row r="380" spans="1:21" s="339" customFormat="1" ht="20.25" customHeight="1" x14ac:dyDescent="0.25">
      <c r="A380" s="334"/>
      <c r="B380" s="335"/>
      <c r="C380" s="335"/>
      <c r="D380" s="335" t="s">
        <v>316</v>
      </c>
      <c r="E380" s="391" t="s">
        <v>417</v>
      </c>
      <c r="F380" s="337">
        <v>18835000000</v>
      </c>
      <c r="G380" s="338"/>
      <c r="H380" s="338"/>
      <c r="I380" s="338">
        <f t="shared" si="232"/>
        <v>0</v>
      </c>
      <c r="J380" s="344"/>
      <c r="K380" s="338"/>
      <c r="L380" s="338">
        <f>J380+K380</f>
        <v>0</v>
      </c>
      <c r="M380" s="338">
        <f>+I380+L380</f>
        <v>0</v>
      </c>
      <c r="N380" s="405">
        <f>+F380-M380</f>
        <v>18835000000</v>
      </c>
      <c r="P380" s="340"/>
      <c r="S380" s="345"/>
      <c r="T380" s="345"/>
      <c r="U380" s="342"/>
    </row>
    <row r="381" spans="1:21" s="339" customFormat="1" ht="20.25" customHeight="1" x14ac:dyDescent="0.25">
      <c r="A381" s="334"/>
      <c r="B381" s="335"/>
      <c r="C381" s="335"/>
      <c r="D381" s="335" t="s">
        <v>317</v>
      </c>
      <c r="E381" s="413" t="s">
        <v>418</v>
      </c>
      <c r="F381" s="337">
        <f>+F382</f>
        <v>742417200</v>
      </c>
      <c r="G381" s="338">
        <f>+G382</f>
        <v>0</v>
      </c>
      <c r="H381" s="338">
        <f>+H382</f>
        <v>0</v>
      </c>
      <c r="I381" s="338">
        <f t="shared" si="232"/>
        <v>0</v>
      </c>
      <c r="J381" s="338">
        <f>+J382</f>
        <v>0</v>
      </c>
      <c r="K381" s="338">
        <f>+K382</f>
        <v>0</v>
      </c>
      <c r="L381" s="338">
        <f>+J381+K381</f>
        <v>0</v>
      </c>
      <c r="M381" s="338">
        <f t="shared" ref="M381:M382" si="236">+I381+L381</f>
        <v>0</v>
      </c>
      <c r="N381" s="337">
        <f t="shared" ref="N381:N382" si="237">+F381-M381</f>
        <v>742417200</v>
      </c>
      <c r="P381" s="340"/>
      <c r="S381" s="341"/>
      <c r="T381" s="341"/>
      <c r="U381" s="342"/>
    </row>
    <row r="382" spans="1:21" s="339" customFormat="1" ht="17.25" customHeight="1" x14ac:dyDescent="0.25">
      <c r="A382" s="334"/>
      <c r="B382" s="335"/>
      <c r="C382" s="335"/>
      <c r="D382" s="335" t="s">
        <v>318</v>
      </c>
      <c r="E382" s="391" t="s">
        <v>418</v>
      </c>
      <c r="F382" s="337">
        <f>F383</f>
        <v>742417200</v>
      </c>
      <c r="G382" s="344">
        <f>+G383</f>
        <v>0</v>
      </c>
      <c r="H382" s="344">
        <f>+H383</f>
        <v>0</v>
      </c>
      <c r="I382" s="338">
        <f t="shared" si="232"/>
        <v>0</v>
      </c>
      <c r="J382" s="344">
        <f>+J383</f>
        <v>0</v>
      </c>
      <c r="K382" s="344">
        <f>+K383</f>
        <v>0</v>
      </c>
      <c r="L382" s="338">
        <f>+J382+K382</f>
        <v>0</v>
      </c>
      <c r="M382" s="344">
        <f t="shared" si="236"/>
        <v>0</v>
      </c>
      <c r="N382" s="337">
        <f t="shared" si="237"/>
        <v>742417200</v>
      </c>
      <c r="P382" s="340"/>
      <c r="S382" s="345"/>
      <c r="T382" s="345"/>
      <c r="U382" s="342"/>
    </row>
    <row r="383" spans="1:21" ht="20.25" customHeight="1" x14ac:dyDescent="0.25">
      <c r="A383" s="301"/>
      <c r="B383" s="414"/>
      <c r="C383" s="414"/>
      <c r="D383" s="414" t="s">
        <v>319</v>
      </c>
      <c r="E383" s="415" t="s">
        <v>418</v>
      </c>
      <c r="F383" s="416">
        <v>742417200</v>
      </c>
      <c r="G383" s="417"/>
      <c r="H383" s="417"/>
      <c r="I383" s="417">
        <f t="shared" si="232"/>
        <v>0</v>
      </c>
      <c r="J383" s="35"/>
      <c r="K383" s="417"/>
      <c r="L383" s="417">
        <f>J383+K383</f>
        <v>0</v>
      </c>
      <c r="M383" s="417">
        <f>+I383+L383</f>
        <v>0</v>
      </c>
      <c r="N383" s="418">
        <f>+F383-M383</f>
        <v>742417200</v>
      </c>
      <c r="S383" s="419"/>
      <c r="T383" s="419"/>
      <c r="U383" s="420"/>
    </row>
    <row r="384" spans="1:21" ht="18" customHeight="1" x14ac:dyDescent="0.25">
      <c r="A384" s="302"/>
      <c r="B384" s="421"/>
      <c r="C384" s="421"/>
      <c r="D384" s="421"/>
      <c r="E384" s="421"/>
      <c r="F384" s="422"/>
      <c r="G384" s="423"/>
      <c r="H384" s="423"/>
      <c r="I384" s="423"/>
      <c r="J384" s="423"/>
      <c r="K384" s="423"/>
      <c r="L384" s="423"/>
      <c r="M384" s="423"/>
      <c r="N384" s="422"/>
      <c r="U384" s="420"/>
    </row>
    <row r="385" spans="1:21" ht="18" customHeight="1" x14ac:dyDescent="0.25">
      <c r="A385" s="301"/>
      <c r="B385" s="414"/>
      <c r="C385" s="414"/>
      <c r="D385" s="414"/>
      <c r="E385" s="414" t="s">
        <v>41</v>
      </c>
      <c r="F385" s="35"/>
      <c r="G385" s="35"/>
      <c r="H385" s="35"/>
      <c r="I385" s="35"/>
      <c r="J385" s="35"/>
      <c r="K385" s="35"/>
      <c r="L385" s="35"/>
      <c r="M385" s="35"/>
      <c r="N385" s="416"/>
      <c r="U385" s="420"/>
    </row>
    <row r="386" spans="1:21" ht="18" customHeight="1" x14ac:dyDescent="0.25">
      <c r="A386" s="301"/>
      <c r="B386" s="414"/>
      <c r="C386" s="414"/>
      <c r="D386" s="414"/>
      <c r="E386" s="414" t="s">
        <v>21</v>
      </c>
      <c r="F386" s="35"/>
      <c r="G386" s="35">
        <f>+G17</f>
        <v>0</v>
      </c>
      <c r="H386" s="35">
        <f>+H17</f>
        <v>3650670167</v>
      </c>
      <c r="I386" s="35">
        <f>+I17</f>
        <v>3650670167</v>
      </c>
      <c r="J386" s="35">
        <f>+J17</f>
        <v>0</v>
      </c>
      <c r="K386" s="35">
        <f>+K17</f>
        <v>114284700</v>
      </c>
      <c r="L386" s="35">
        <f t="shared" ref="L386:L391" si="238">+J386+K386</f>
        <v>114284700</v>
      </c>
      <c r="M386" s="35">
        <f>+I386+L386</f>
        <v>3764954867</v>
      </c>
      <c r="N386" s="416"/>
      <c r="U386" s="420"/>
    </row>
    <row r="387" spans="1:21" ht="18" customHeight="1" x14ac:dyDescent="0.25">
      <c r="A387" s="301"/>
      <c r="B387" s="414"/>
      <c r="C387" s="414"/>
      <c r="D387" s="414"/>
      <c r="E387" s="414" t="s">
        <v>42</v>
      </c>
      <c r="F387" s="35"/>
      <c r="G387" s="35">
        <f>+SUM(G388:G401)</f>
        <v>0</v>
      </c>
      <c r="H387" s="35">
        <f>+SUM(H388:H401)</f>
        <v>69770614</v>
      </c>
      <c r="I387" s="35">
        <f>+G387+H387</f>
        <v>69770614</v>
      </c>
      <c r="J387" s="35">
        <f>+SUM(J388:J401)</f>
        <v>0</v>
      </c>
      <c r="K387" s="35">
        <f>+SUM(K388:K401)</f>
        <v>2165454</v>
      </c>
      <c r="L387" s="35">
        <f>+J387+K387</f>
        <v>2165454</v>
      </c>
      <c r="M387" s="424">
        <f>+I387+L387</f>
        <v>71936068</v>
      </c>
      <c r="N387" s="416"/>
      <c r="P387" s="294">
        <f>+M386+M387</f>
        <v>3836890935</v>
      </c>
      <c r="U387" s="420"/>
    </row>
    <row r="388" spans="1:21" ht="18" customHeight="1" x14ac:dyDescent="0.25">
      <c r="A388" s="301"/>
      <c r="B388" s="414"/>
      <c r="C388" s="414"/>
      <c r="D388" s="414"/>
      <c r="E388" s="425" t="s">
        <v>24</v>
      </c>
      <c r="F388" s="35"/>
      <c r="G388" s="35"/>
      <c r="H388" s="35"/>
      <c r="I388" s="35">
        <f>+G388+H388</f>
        <v>0</v>
      </c>
      <c r="J388" s="35"/>
      <c r="K388" s="35">
        <v>1804545</v>
      </c>
      <c r="L388" s="35">
        <f t="shared" si="238"/>
        <v>1804545</v>
      </c>
      <c r="M388" s="35">
        <f t="shared" ref="M388:M391" si="239">+I388+L388</f>
        <v>1804545</v>
      </c>
      <c r="N388" s="416"/>
      <c r="U388" s="420"/>
    </row>
    <row r="389" spans="1:21" ht="18" customHeight="1" x14ac:dyDescent="0.25">
      <c r="A389" s="301"/>
      <c r="B389" s="414"/>
      <c r="C389" s="414"/>
      <c r="D389" s="414"/>
      <c r="E389" s="425" t="s">
        <v>22</v>
      </c>
      <c r="F389" s="35"/>
      <c r="G389" s="35"/>
      <c r="H389" s="35">
        <f>22526970+277647</f>
        <v>22804617</v>
      </c>
      <c r="I389" s="35">
        <f>+G389+H389</f>
        <v>22804617</v>
      </c>
      <c r="J389" s="35"/>
      <c r="K389" s="35"/>
      <c r="L389" s="35">
        <f t="shared" si="238"/>
        <v>0</v>
      </c>
      <c r="M389" s="35">
        <f t="shared" si="239"/>
        <v>22804617</v>
      </c>
      <c r="N389" s="416"/>
      <c r="U389" s="420"/>
    </row>
    <row r="390" spans="1:21" ht="18" customHeight="1" x14ac:dyDescent="0.25">
      <c r="A390" s="299"/>
      <c r="B390" s="426"/>
      <c r="C390" s="426"/>
      <c r="D390" s="426"/>
      <c r="E390" s="427" t="s">
        <v>25</v>
      </c>
      <c r="F390" s="236"/>
      <c r="G390" s="236"/>
      <c r="H390" s="236"/>
      <c r="I390" s="236">
        <f>+G390+H390</f>
        <v>0</v>
      </c>
      <c r="J390" s="236"/>
      <c r="K390" s="236"/>
      <c r="L390" s="236">
        <f t="shared" si="238"/>
        <v>0</v>
      </c>
      <c r="M390" s="236">
        <f t="shared" si="239"/>
        <v>0</v>
      </c>
      <c r="N390" s="428"/>
      <c r="Q390" s="298"/>
      <c r="U390" s="420"/>
    </row>
    <row r="391" spans="1:21" ht="18" customHeight="1" x14ac:dyDescent="0.25">
      <c r="A391" s="301"/>
      <c r="B391" s="414"/>
      <c r="C391" s="414"/>
      <c r="D391" s="414"/>
      <c r="E391" s="425" t="s">
        <v>26</v>
      </c>
      <c r="F391" s="35"/>
      <c r="G391" s="35"/>
      <c r="H391" s="35"/>
      <c r="I391" s="35">
        <f>+G391+H391</f>
        <v>0</v>
      </c>
      <c r="J391" s="35"/>
      <c r="K391" s="35">
        <v>360909</v>
      </c>
      <c r="L391" s="35">
        <f t="shared" si="238"/>
        <v>360909</v>
      </c>
      <c r="M391" s="35">
        <f t="shared" si="239"/>
        <v>360909</v>
      </c>
      <c r="N391" s="416"/>
      <c r="U391" s="420"/>
    </row>
    <row r="392" spans="1:21" ht="18" customHeight="1" x14ac:dyDescent="0.25">
      <c r="A392" s="301"/>
      <c r="B392" s="414"/>
      <c r="C392" s="414"/>
      <c r="D392" s="414"/>
      <c r="E392" s="425" t="s">
        <v>40</v>
      </c>
      <c r="F392" s="35"/>
      <c r="G392" s="35"/>
      <c r="H392" s="35"/>
      <c r="I392" s="35"/>
      <c r="J392" s="35"/>
      <c r="K392" s="35"/>
      <c r="L392" s="35"/>
      <c r="M392" s="35"/>
      <c r="N392" s="416"/>
      <c r="U392" s="420"/>
    </row>
    <row r="393" spans="1:21" ht="18" customHeight="1" x14ac:dyDescent="0.25">
      <c r="A393" s="301"/>
      <c r="B393" s="414"/>
      <c r="C393" s="414"/>
      <c r="D393" s="414"/>
      <c r="E393" s="425" t="s">
        <v>321</v>
      </c>
      <c r="F393" s="35"/>
      <c r="G393" s="35"/>
      <c r="H393" s="35"/>
      <c r="I393" s="35">
        <f>+G393+H393</f>
        <v>0</v>
      </c>
      <c r="J393" s="35"/>
      <c r="K393" s="35"/>
      <c r="L393" s="35">
        <f>+J393+K393</f>
        <v>0</v>
      </c>
      <c r="M393" s="35">
        <f>+I393+L393</f>
        <v>0</v>
      </c>
      <c r="N393" s="416"/>
      <c r="U393" s="420"/>
    </row>
    <row r="394" spans="1:21" ht="18" customHeight="1" x14ac:dyDescent="0.25">
      <c r="A394" s="301"/>
      <c r="B394" s="414"/>
      <c r="C394" s="414"/>
      <c r="D394" s="414"/>
      <c r="E394" s="425" t="s">
        <v>322</v>
      </c>
      <c r="F394" s="35"/>
      <c r="G394" s="35"/>
      <c r="H394" s="35">
        <f>1737798+2928768</f>
        <v>4666566</v>
      </c>
      <c r="I394" s="35">
        <f t="shared" ref="I394:I400" si="240">+G394+H394</f>
        <v>4666566</v>
      </c>
      <c r="J394" s="35"/>
      <c r="K394" s="35"/>
      <c r="L394" s="35">
        <f>+J394+K394</f>
        <v>0</v>
      </c>
      <c r="M394" s="35">
        <f t="shared" ref="M394:M400" si="241">+I394+L394</f>
        <v>4666566</v>
      </c>
      <c r="N394" s="416"/>
      <c r="U394" s="420"/>
    </row>
    <row r="395" spans="1:21" ht="18" customHeight="1" x14ac:dyDescent="0.25">
      <c r="A395" s="301"/>
      <c r="B395" s="414"/>
      <c r="C395" s="414"/>
      <c r="D395" s="414"/>
      <c r="E395" s="425" t="s">
        <v>323</v>
      </c>
      <c r="F395" s="35"/>
      <c r="G395" s="35"/>
      <c r="H395" s="35">
        <f>6951187+11715091</f>
        <v>18666278</v>
      </c>
      <c r="I395" s="35">
        <f t="shared" si="240"/>
        <v>18666278</v>
      </c>
      <c r="J395" s="35"/>
      <c r="K395" s="35"/>
      <c r="L395" s="35"/>
      <c r="M395" s="35">
        <f t="shared" si="241"/>
        <v>18666278</v>
      </c>
      <c r="N395" s="416"/>
      <c r="U395" s="420"/>
    </row>
    <row r="396" spans="1:21" ht="18" customHeight="1" x14ac:dyDescent="0.25">
      <c r="A396" s="301"/>
      <c r="B396" s="414"/>
      <c r="C396" s="414"/>
      <c r="D396" s="414"/>
      <c r="E396" s="425" t="s">
        <v>324</v>
      </c>
      <c r="F396" s="35"/>
      <c r="G396" s="35"/>
      <c r="H396" s="35">
        <v>580644</v>
      </c>
      <c r="I396" s="35">
        <f t="shared" si="240"/>
        <v>580644</v>
      </c>
      <c r="J396" s="35"/>
      <c r="K396" s="35"/>
      <c r="L396" s="35"/>
      <c r="M396" s="35">
        <f t="shared" si="241"/>
        <v>580644</v>
      </c>
      <c r="N396" s="416"/>
      <c r="U396" s="420"/>
    </row>
    <row r="397" spans="1:21" ht="18" customHeight="1" x14ac:dyDescent="0.25">
      <c r="A397" s="301"/>
      <c r="B397" s="414"/>
      <c r="C397" s="414"/>
      <c r="D397" s="414"/>
      <c r="E397" s="425" t="s">
        <v>325</v>
      </c>
      <c r="F397" s="35"/>
      <c r="G397" s="35"/>
      <c r="H397" s="35">
        <v>1741930</v>
      </c>
      <c r="I397" s="35">
        <f t="shared" si="240"/>
        <v>1741930</v>
      </c>
      <c r="J397" s="35"/>
      <c r="K397" s="35"/>
      <c r="L397" s="35"/>
      <c r="M397" s="35">
        <f t="shared" si="241"/>
        <v>1741930</v>
      </c>
      <c r="N397" s="416"/>
      <c r="U397" s="420"/>
    </row>
    <row r="398" spans="1:21" ht="18" customHeight="1" x14ac:dyDescent="0.25">
      <c r="A398" s="301"/>
      <c r="B398" s="414"/>
      <c r="C398" s="414"/>
      <c r="D398" s="414"/>
      <c r="E398" s="425" t="s">
        <v>326</v>
      </c>
      <c r="F398" s="35"/>
      <c r="G398" s="35"/>
      <c r="H398" s="35">
        <v>21310579</v>
      </c>
      <c r="I398" s="35">
        <f t="shared" si="240"/>
        <v>21310579</v>
      </c>
      <c r="J398" s="35"/>
      <c r="K398" s="35"/>
      <c r="L398" s="35"/>
      <c r="M398" s="35">
        <f t="shared" si="241"/>
        <v>21310579</v>
      </c>
      <c r="N398" s="416"/>
      <c r="U398" s="420"/>
    </row>
    <row r="399" spans="1:21" ht="18" customHeight="1" x14ac:dyDescent="0.25">
      <c r="A399" s="299"/>
      <c r="B399" s="426"/>
      <c r="C399" s="426"/>
      <c r="D399" s="426"/>
      <c r="E399" s="427" t="s">
        <v>327</v>
      </c>
      <c r="F399" s="236"/>
      <c r="G399" s="236"/>
      <c r="H399" s="236"/>
      <c r="I399" s="236"/>
      <c r="J399" s="236"/>
      <c r="K399" s="236"/>
      <c r="L399" s="236">
        <f>+J399+K399</f>
        <v>0</v>
      </c>
      <c r="M399" s="236">
        <f t="shared" si="241"/>
        <v>0</v>
      </c>
      <c r="N399" s="428"/>
      <c r="U399" s="420"/>
    </row>
    <row r="400" spans="1:21" ht="18" customHeight="1" x14ac:dyDescent="0.25">
      <c r="A400" s="301"/>
      <c r="B400" s="414"/>
      <c r="C400" s="414"/>
      <c r="D400" s="414"/>
      <c r="E400" s="425" t="s">
        <v>426</v>
      </c>
      <c r="F400" s="35"/>
      <c r="G400" s="35"/>
      <c r="H400" s="35"/>
      <c r="I400" s="35">
        <f t="shared" si="240"/>
        <v>0</v>
      </c>
      <c r="J400" s="35"/>
      <c r="K400" s="35"/>
      <c r="L400" s="35"/>
      <c r="M400" s="35">
        <f t="shared" si="241"/>
        <v>0</v>
      </c>
      <c r="N400" s="416"/>
      <c r="U400" s="420"/>
    </row>
    <row r="401" spans="1:21" ht="18" customHeight="1" x14ac:dyDescent="0.25">
      <c r="A401" s="301"/>
      <c r="B401" s="414"/>
      <c r="C401" s="414"/>
      <c r="D401" s="414"/>
      <c r="E401" s="414" t="s">
        <v>23</v>
      </c>
      <c r="F401" s="35"/>
      <c r="G401" s="35"/>
      <c r="H401" s="35"/>
      <c r="I401" s="35"/>
      <c r="J401" s="35"/>
      <c r="K401" s="35"/>
      <c r="L401" s="35"/>
      <c r="M401" s="35"/>
      <c r="N401" s="416"/>
      <c r="U401" s="420"/>
    </row>
    <row r="402" spans="1:21" ht="18" customHeight="1" x14ac:dyDescent="0.25">
      <c r="A402" s="301"/>
      <c r="B402" s="414"/>
      <c r="C402" s="414"/>
      <c r="D402" s="414"/>
      <c r="E402" s="429" t="s">
        <v>27</v>
      </c>
      <c r="F402" s="423"/>
      <c r="G402" s="430"/>
      <c r="H402" s="430">
        <v>0</v>
      </c>
      <c r="I402" s="430">
        <v>0</v>
      </c>
      <c r="J402" s="430">
        <v>0</v>
      </c>
      <c r="K402" s="430">
        <v>0</v>
      </c>
      <c r="L402" s="430">
        <v>0</v>
      </c>
      <c r="M402" s="430">
        <v>0</v>
      </c>
      <c r="N402" s="422"/>
      <c r="Q402" s="298"/>
      <c r="U402" s="420"/>
    </row>
    <row r="403" spans="1:21" ht="18" customHeight="1" x14ac:dyDescent="0.25">
      <c r="A403" s="301"/>
      <c r="B403" s="414"/>
      <c r="C403" s="414"/>
      <c r="D403" s="414"/>
      <c r="E403" s="414"/>
      <c r="F403" s="35"/>
      <c r="G403" s="35"/>
      <c r="H403" s="35"/>
      <c r="I403" s="35"/>
      <c r="J403" s="35"/>
      <c r="K403" s="35"/>
      <c r="L403" s="35"/>
      <c r="M403" s="35"/>
      <c r="N403" s="416"/>
      <c r="U403" s="420"/>
    </row>
    <row r="404" spans="1:21" ht="18" customHeight="1" x14ac:dyDescent="0.25">
      <c r="A404" s="301"/>
      <c r="B404" s="414"/>
      <c r="C404" s="414"/>
      <c r="D404" s="414"/>
      <c r="E404" s="414" t="s">
        <v>328</v>
      </c>
      <c r="F404" s="35"/>
      <c r="G404" s="35"/>
      <c r="H404" s="35"/>
      <c r="I404" s="35"/>
      <c r="J404" s="35"/>
      <c r="K404" s="35"/>
      <c r="L404" s="35"/>
      <c r="M404" s="35"/>
      <c r="N404" s="416"/>
      <c r="U404" s="420"/>
    </row>
    <row r="405" spans="1:21" ht="18" customHeight="1" x14ac:dyDescent="0.25">
      <c r="A405" s="301"/>
      <c r="B405" s="414"/>
      <c r="C405" s="414"/>
      <c r="D405" s="414"/>
      <c r="E405" s="414" t="s">
        <v>21</v>
      </c>
      <c r="F405" s="35"/>
      <c r="G405" s="35">
        <f>+G386</f>
        <v>0</v>
      </c>
      <c r="H405" s="424">
        <f>+H386</f>
        <v>3650670167</v>
      </c>
      <c r="I405" s="35">
        <f t="shared" ref="I405:L405" si="242">+I386</f>
        <v>3650670167</v>
      </c>
      <c r="J405" s="35">
        <f t="shared" si="242"/>
        <v>0</v>
      </c>
      <c r="K405" s="35">
        <f t="shared" si="242"/>
        <v>114284700</v>
      </c>
      <c r="L405" s="35">
        <f t="shared" si="242"/>
        <v>114284700</v>
      </c>
      <c r="M405" s="35">
        <f>+M386</f>
        <v>3764954867</v>
      </c>
      <c r="N405" s="416"/>
      <c r="O405" s="431"/>
      <c r="U405" s="420"/>
    </row>
    <row r="406" spans="1:21" ht="18" customHeight="1" x14ac:dyDescent="0.25">
      <c r="A406" s="301"/>
      <c r="B406" s="414"/>
      <c r="C406" s="414"/>
      <c r="D406" s="414"/>
      <c r="E406" s="414" t="s">
        <v>42</v>
      </c>
      <c r="F406" s="35"/>
      <c r="G406" s="35">
        <f>+SUM(G407:G420)</f>
        <v>0</v>
      </c>
      <c r="H406" s="35">
        <f>+SUM(H407:H420)</f>
        <v>69770614</v>
      </c>
      <c r="I406" s="35">
        <f>+G406+H406</f>
        <v>69770614</v>
      </c>
      <c r="J406" s="35">
        <f>+SUM(J407:J420)</f>
        <v>0</v>
      </c>
      <c r="K406" s="35">
        <f>+SUM(K407:K420)</f>
        <v>2165454</v>
      </c>
      <c r="L406" s="35">
        <f>+J406+K406</f>
        <v>2165454</v>
      </c>
      <c r="M406" s="424">
        <f>+I406+L406</f>
        <v>71936068</v>
      </c>
      <c r="N406" s="416"/>
      <c r="U406" s="420"/>
    </row>
    <row r="407" spans="1:21" ht="15" customHeight="1" x14ac:dyDescent="0.25">
      <c r="A407" s="301"/>
      <c r="B407" s="414"/>
      <c r="C407" s="414"/>
      <c r="D407" s="414"/>
      <c r="E407" s="425" t="s">
        <v>24</v>
      </c>
      <c r="F407" s="35"/>
      <c r="G407" s="35"/>
      <c r="H407" s="35"/>
      <c r="I407" s="35">
        <f>+G407+H407</f>
        <v>0</v>
      </c>
      <c r="J407" s="35"/>
      <c r="K407" s="35">
        <v>1804545</v>
      </c>
      <c r="L407" s="35">
        <f>+J407+K407</f>
        <v>1804545</v>
      </c>
      <c r="M407" s="35">
        <f>+I407+L407</f>
        <v>1804545</v>
      </c>
      <c r="N407" s="416"/>
      <c r="U407" s="420"/>
    </row>
    <row r="408" spans="1:21" ht="15" customHeight="1" x14ac:dyDescent="0.25">
      <c r="A408" s="301"/>
      <c r="B408" s="414"/>
      <c r="C408" s="414"/>
      <c r="D408" s="414"/>
      <c r="E408" s="425" t="s">
        <v>22</v>
      </c>
      <c r="F408" s="35"/>
      <c r="G408" s="35"/>
      <c r="H408" s="35">
        <f>22526970+277647</f>
        <v>22804617</v>
      </c>
      <c r="I408" s="35">
        <f>+G408+H408</f>
        <v>22804617</v>
      </c>
      <c r="J408" s="35"/>
      <c r="K408" s="35"/>
      <c r="L408" s="35">
        <f>+J408+K408</f>
        <v>0</v>
      </c>
      <c r="M408" s="35">
        <f>+I408+L408</f>
        <v>22804617</v>
      </c>
      <c r="N408" s="416"/>
      <c r="U408" s="420"/>
    </row>
    <row r="409" spans="1:21" ht="15" customHeight="1" x14ac:dyDescent="0.25">
      <c r="A409" s="301"/>
      <c r="B409" s="414"/>
      <c r="C409" s="414"/>
      <c r="D409" s="414"/>
      <c r="E409" s="425" t="s">
        <v>25</v>
      </c>
      <c r="F409" s="35"/>
      <c r="G409" s="35"/>
      <c r="H409" s="236"/>
      <c r="I409" s="35">
        <f>+G409+H409</f>
        <v>0</v>
      </c>
      <c r="J409" s="35"/>
      <c r="K409" s="236"/>
      <c r="L409" s="35">
        <f>+J409+K409</f>
        <v>0</v>
      </c>
      <c r="M409" s="35">
        <f>+I409+L409</f>
        <v>0</v>
      </c>
      <c r="N409" s="416"/>
      <c r="U409" s="420"/>
    </row>
    <row r="410" spans="1:21" ht="15" customHeight="1" x14ac:dyDescent="0.25">
      <c r="A410" s="301"/>
      <c r="B410" s="414"/>
      <c r="C410" s="414"/>
      <c r="D410" s="414"/>
      <c r="E410" s="425" t="s">
        <v>26</v>
      </c>
      <c r="F410" s="35"/>
      <c r="G410" s="35"/>
      <c r="H410" s="35"/>
      <c r="I410" s="35">
        <f>+G410+H410</f>
        <v>0</v>
      </c>
      <c r="J410" s="35"/>
      <c r="K410" s="35">
        <v>360909</v>
      </c>
      <c r="L410" s="35">
        <f>+J410+K410</f>
        <v>360909</v>
      </c>
      <c r="M410" s="35">
        <f>+I410+L410</f>
        <v>360909</v>
      </c>
      <c r="N410" s="416"/>
      <c r="U410" s="420"/>
    </row>
    <row r="411" spans="1:21" ht="15" customHeight="1" x14ac:dyDescent="0.25">
      <c r="A411" s="301"/>
      <c r="B411" s="414"/>
      <c r="C411" s="414"/>
      <c r="D411" s="414"/>
      <c r="E411" s="425" t="s">
        <v>40</v>
      </c>
      <c r="F411" s="35"/>
      <c r="G411" s="35"/>
      <c r="H411" s="35"/>
      <c r="I411" s="35"/>
      <c r="J411" s="35"/>
      <c r="K411" s="35"/>
      <c r="L411" s="35"/>
      <c r="M411" s="35"/>
      <c r="N411" s="416"/>
      <c r="U411" s="420"/>
    </row>
    <row r="412" spans="1:21" ht="15" customHeight="1" x14ac:dyDescent="0.25">
      <c r="A412" s="301"/>
      <c r="B412" s="414"/>
      <c r="C412" s="414"/>
      <c r="D412" s="414"/>
      <c r="E412" s="425" t="s">
        <v>321</v>
      </c>
      <c r="F412" s="35"/>
      <c r="G412" s="35"/>
      <c r="H412" s="35"/>
      <c r="I412" s="35">
        <f>+G412+H412</f>
        <v>0</v>
      </c>
      <c r="J412" s="35"/>
      <c r="K412" s="35"/>
      <c r="L412" s="35">
        <f>+J412+K412</f>
        <v>0</v>
      </c>
      <c r="M412" s="35">
        <f t="shared" ref="M412:M419" si="243">+I412+L412</f>
        <v>0</v>
      </c>
      <c r="N412" s="416"/>
      <c r="U412" s="420"/>
    </row>
    <row r="413" spans="1:21" ht="15" customHeight="1" x14ac:dyDescent="0.25">
      <c r="A413" s="301"/>
      <c r="B413" s="414"/>
      <c r="C413" s="414"/>
      <c r="D413" s="414"/>
      <c r="E413" s="425" t="s">
        <v>322</v>
      </c>
      <c r="F413" s="35"/>
      <c r="G413" s="35"/>
      <c r="H413" s="35">
        <f>1737798+2928768</f>
        <v>4666566</v>
      </c>
      <c r="I413" s="35">
        <f t="shared" ref="I413:I419" si="244">+G413+H413</f>
        <v>4666566</v>
      </c>
      <c r="J413" s="35"/>
      <c r="K413" s="35"/>
      <c r="L413" s="35"/>
      <c r="M413" s="35">
        <f t="shared" si="243"/>
        <v>4666566</v>
      </c>
      <c r="N413" s="416"/>
      <c r="U413" s="420"/>
    </row>
    <row r="414" spans="1:21" ht="15" customHeight="1" x14ac:dyDescent="0.25">
      <c r="A414" s="301"/>
      <c r="B414" s="414"/>
      <c r="C414" s="414"/>
      <c r="D414" s="414"/>
      <c r="E414" s="425" t="s">
        <v>323</v>
      </c>
      <c r="F414" s="35"/>
      <c r="G414" s="35"/>
      <c r="H414" s="35">
        <f>6951187+11715091</f>
        <v>18666278</v>
      </c>
      <c r="I414" s="35">
        <f t="shared" si="244"/>
        <v>18666278</v>
      </c>
      <c r="J414" s="35"/>
      <c r="K414" s="35"/>
      <c r="L414" s="35"/>
      <c r="M414" s="35">
        <f t="shared" si="243"/>
        <v>18666278</v>
      </c>
      <c r="N414" s="416"/>
      <c r="U414" s="420"/>
    </row>
    <row r="415" spans="1:21" ht="15" customHeight="1" x14ac:dyDescent="0.25">
      <c r="A415" s="301"/>
      <c r="B415" s="414"/>
      <c r="C415" s="414"/>
      <c r="D415" s="414"/>
      <c r="E415" s="425" t="s">
        <v>324</v>
      </c>
      <c r="F415" s="35"/>
      <c r="G415" s="35"/>
      <c r="H415" s="35">
        <v>580644</v>
      </c>
      <c r="I415" s="35">
        <f t="shared" si="244"/>
        <v>580644</v>
      </c>
      <c r="J415" s="35"/>
      <c r="K415" s="35"/>
      <c r="L415" s="35"/>
      <c r="M415" s="35">
        <f t="shared" si="243"/>
        <v>580644</v>
      </c>
      <c r="N415" s="416"/>
      <c r="U415" s="420"/>
    </row>
    <row r="416" spans="1:21" ht="15" customHeight="1" x14ac:dyDescent="0.25">
      <c r="A416" s="301"/>
      <c r="B416" s="414"/>
      <c r="C416" s="414"/>
      <c r="D416" s="414"/>
      <c r="E416" s="425" t="s">
        <v>325</v>
      </c>
      <c r="F416" s="35"/>
      <c r="G416" s="35"/>
      <c r="H416" s="35">
        <v>1741930</v>
      </c>
      <c r="I416" s="35">
        <f t="shared" si="244"/>
        <v>1741930</v>
      </c>
      <c r="J416" s="35"/>
      <c r="K416" s="35"/>
      <c r="L416" s="35"/>
      <c r="M416" s="35">
        <f t="shared" si="243"/>
        <v>1741930</v>
      </c>
      <c r="N416" s="416"/>
      <c r="U416" s="420"/>
    </row>
    <row r="417" spans="1:21" ht="15" customHeight="1" x14ac:dyDescent="0.25">
      <c r="A417" s="301"/>
      <c r="B417" s="414"/>
      <c r="C417" s="414"/>
      <c r="D417" s="414"/>
      <c r="E417" s="425" t="s">
        <v>326</v>
      </c>
      <c r="F417" s="35"/>
      <c r="G417" s="35"/>
      <c r="H417" s="35">
        <v>21310579</v>
      </c>
      <c r="I417" s="35">
        <f t="shared" si="244"/>
        <v>21310579</v>
      </c>
      <c r="J417" s="35"/>
      <c r="K417" s="35"/>
      <c r="L417" s="35"/>
      <c r="M417" s="35">
        <f t="shared" si="243"/>
        <v>21310579</v>
      </c>
      <c r="N417" s="416"/>
      <c r="U417" s="420"/>
    </row>
    <row r="418" spans="1:21" ht="15" customHeight="1" x14ac:dyDescent="0.25">
      <c r="A418" s="301"/>
      <c r="B418" s="414"/>
      <c r="C418" s="414"/>
      <c r="D418" s="414"/>
      <c r="E418" s="425" t="s">
        <v>327</v>
      </c>
      <c r="F418" s="35"/>
      <c r="G418" s="35"/>
      <c r="H418" s="236"/>
      <c r="I418" s="35"/>
      <c r="J418" s="35"/>
      <c r="K418" s="236"/>
      <c r="L418" s="35">
        <f>+J418+K418</f>
        <v>0</v>
      </c>
      <c r="M418" s="35">
        <f t="shared" si="243"/>
        <v>0</v>
      </c>
      <c r="N418" s="416"/>
      <c r="U418" s="420"/>
    </row>
    <row r="419" spans="1:21" ht="15" customHeight="1" x14ac:dyDescent="0.25">
      <c r="A419" s="301"/>
      <c r="B419" s="414"/>
      <c r="C419" s="414"/>
      <c r="D419" s="414"/>
      <c r="E419" s="425" t="s">
        <v>426</v>
      </c>
      <c r="F419" s="35"/>
      <c r="G419" s="35"/>
      <c r="H419" s="35"/>
      <c r="I419" s="35">
        <f t="shared" si="244"/>
        <v>0</v>
      </c>
      <c r="J419" s="35"/>
      <c r="K419" s="35"/>
      <c r="L419" s="35"/>
      <c r="M419" s="35">
        <f t="shared" si="243"/>
        <v>0</v>
      </c>
      <c r="N419" s="416"/>
      <c r="U419" s="420"/>
    </row>
    <row r="420" spans="1:21" ht="18" customHeight="1" x14ac:dyDescent="0.25">
      <c r="A420" s="301"/>
      <c r="B420" s="414"/>
      <c r="C420" s="414"/>
      <c r="D420" s="414"/>
      <c r="E420" s="414" t="s">
        <v>23</v>
      </c>
      <c r="F420" s="35"/>
      <c r="G420" s="35"/>
      <c r="H420" s="35"/>
      <c r="I420" s="35"/>
      <c r="J420" s="35"/>
      <c r="K420" s="35"/>
      <c r="L420" s="35"/>
      <c r="M420" s="35"/>
      <c r="N420" s="416"/>
      <c r="U420" s="420"/>
    </row>
    <row r="421" spans="1:21" ht="18" customHeight="1" x14ac:dyDescent="0.25">
      <c r="A421" s="301"/>
      <c r="B421" s="414"/>
      <c r="C421" s="414"/>
      <c r="D421" s="414"/>
      <c r="E421" s="429" t="s">
        <v>27</v>
      </c>
      <c r="F421" s="423"/>
      <c r="G421" s="430" t="s">
        <v>49</v>
      </c>
      <c r="H421" s="430" t="s">
        <v>49</v>
      </c>
      <c r="I421" s="430" t="s">
        <v>49</v>
      </c>
      <c r="J421" s="430" t="s">
        <v>49</v>
      </c>
      <c r="K421" s="430" t="s">
        <v>49</v>
      </c>
      <c r="L421" s="430" t="s">
        <v>49</v>
      </c>
      <c r="M421" s="430" t="s">
        <v>49</v>
      </c>
      <c r="N421" s="422"/>
      <c r="U421" s="420"/>
    </row>
    <row r="422" spans="1:21" ht="18" customHeight="1" x14ac:dyDescent="0.25">
      <c r="A422" s="301"/>
      <c r="B422" s="414"/>
      <c r="C422" s="414"/>
      <c r="D422" s="414"/>
      <c r="E422" s="414"/>
      <c r="F422" s="416"/>
      <c r="G422" s="416"/>
      <c r="H422" s="416"/>
      <c r="I422" s="416"/>
      <c r="J422" s="416"/>
      <c r="K422" s="416"/>
      <c r="L422" s="416"/>
      <c r="M422" s="416"/>
      <c r="N422" s="416"/>
      <c r="U422" s="420"/>
    </row>
    <row r="423" spans="1:21" ht="18" customHeight="1" x14ac:dyDescent="0.25">
      <c r="A423" s="432"/>
      <c r="B423" s="432"/>
      <c r="C423" s="432"/>
      <c r="D423" s="432"/>
      <c r="E423" s="429" t="s">
        <v>28</v>
      </c>
      <c r="F423" s="422"/>
      <c r="G423" s="422">
        <v>0</v>
      </c>
      <c r="H423" s="422">
        <v>0</v>
      </c>
      <c r="I423" s="422">
        <v>0</v>
      </c>
      <c r="J423" s="422">
        <v>0</v>
      </c>
      <c r="K423" s="422">
        <v>0</v>
      </c>
      <c r="L423" s="422">
        <v>0</v>
      </c>
      <c r="M423" s="422">
        <v>0</v>
      </c>
      <c r="N423" s="422"/>
      <c r="U423" s="420"/>
    </row>
    <row r="424" spans="1:21" ht="18" customHeight="1" x14ac:dyDescent="0.25">
      <c r="U424" s="420"/>
    </row>
    <row r="425" spans="1:21" ht="18" customHeight="1" x14ac:dyDescent="0.25">
      <c r="A425" s="537" t="s">
        <v>52</v>
      </c>
      <c r="B425" s="537"/>
      <c r="C425" s="537"/>
      <c r="D425" s="537"/>
      <c r="L425" s="539" t="s">
        <v>450</v>
      </c>
      <c r="M425" s="539"/>
      <c r="N425" s="539"/>
      <c r="U425" s="420"/>
    </row>
    <row r="426" spans="1:21" ht="18" customHeight="1" x14ac:dyDescent="0.25">
      <c r="A426" s="537" t="s">
        <v>59</v>
      </c>
      <c r="B426" s="537"/>
      <c r="C426" s="537"/>
      <c r="D426" s="537"/>
      <c r="U426" s="420"/>
    </row>
    <row r="427" spans="1:21" ht="18" customHeight="1" x14ac:dyDescent="0.25">
      <c r="A427" s="537" t="s">
        <v>60</v>
      </c>
      <c r="B427" s="537"/>
      <c r="C427" s="537"/>
      <c r="D427" s="537"/>
      <c r="E427" s="434" t="s">
        <v>38</v>
      </c>
      <c r="F427" s="538" t="s">
        <v>39</v>
      </c>
      <c r="G427" s="538"/>
      <c r="H427" s="538"/>
      <c r="I427" s="435"/>
      <c r="J427" s="435"/>
      <c r="K427" s="435"/>
      <c r="L427" s="538" t="s">
        <v>422</v>
      </c>
      <c r="M427" s="538"/>
      <c r="N427" s="538"/>
      <c r="U427" s="420"/>
    </row>
    <row r="428" spans="1:21" ht="18" customHeight="1" x14ac:dyDescent="0.25">
      <c r="A428" s="537" t="s">
        <v>53</v>
      </c>
      <c r="B428" s="537"/>
      <c r="C428" s="537"/>
      <c r="D428" s="537"/>
      <c r="E428" s="434" t="s">
        <v>330</v>
      </c>
      <c r="F428" s="538" t="s">
        <v>54</v>
      </c>
      <c r="G428" s="538"/>
      <c r="H428" s="538"/>
      <c r="I428" s="435"/>
      <c r="J428" s="435"/>
      <c r="K428" s="435"/>
      <c r="L428" s="538" t="s">
        <v>330</v>
      </c>
      <c r="M428" s="538"/>
      <c r="N428" s="538"/>
      <c r="U428" s="420"/>
    </row>
    <row r="429" spans="1:21" ht="18" customHeight="1" x14ac:dyDescent="0.25">
      <c r="A429" s="274"/>
      <c r="B429" s="436"/>
      <c r="C429" s="436"/>
      <c r="D429" s="436"/>
      <c r="E429" s="274"/>
      <c r="G429" s="437"/>
      <c r="H429" s="438"/>
      <c r="I429" s="438"/>
      <c r="K429" s="438"/>
      <c r="L429" s="438"/>
      <c r="M429" s="438"/>
      <c r="N429" s="438"/>
      <c r="U429" s="420"/>
    </row>
    <row r="430" spans="1:21" ht="18" customHeight="1" x14ac:dyDescent="0.25">
      <c r="A430" s="274"/>
      <c r="B430" s="436"/>
      <c r="C430" s="436"/>
      <c r="D430" s="436"/>
      <c r="E430" s="274"/>
      <c r="G430" s="438"/>
      <c r="H430" s="438"/>
      <c r="K430" s="438"/>
      <c r="L430" s="438"/>
      <c r="M430" s="438"/>
    </row>
    <row r="431" spans="1:21" ht="18" customHeight="1" x14ac:dyDescent="0.25">
      <c r="A431" s="439"/>
      <c r="B431" s="436"/>
      <c r="C431" s="436"/>
      <c r="D431" s="436"/>
      <c r="E431" s="274"/>
      <c r="G431" s="438"/>
      <c r="H431" s="438"/>
      <c r="K431" s="438"/>
      <c r="L431" s="438"/>
      <c r="M431" s="438"/>
    </row>
    <row r="432" spans="1:21" ht="18" customHeight="1" x14ac:dyDescent="0.25">
      <c r="A432" s="537" t="s">
        <v>56</v>
      </c>
      <c r="B432" s="537"/>
      <c r="C432" s="537"/>
      <c r="D432" s="537"/>
      <c r="E432" s="274" t="s">
        <v>421</v>
      </c>
      <c r="F432" s="539" t="s">
        <v>51</v>
      </c>
      <c r="G432" s="539"/>
      <c r="H432" s="539"/>
      <c r="I432" s="161"/>
      <c r="J432" s="161"/>
      <c r="K432" s="161"/>
      <c r="L432" s="539" t="s">
        <v>423</v>
      </c>
      <c r="M432" s="539"/>
      <c r="N432" s="539"/>
    </row>
    <row r="433" spans="1:14" ht="18" customHeight="1" x14ac:dyDescent="0.25">
      <c r="A433" s="537" t="s">
        <v>29</v>
      </c>
      <c r="B433" s="537"/>
      <c r="C433" s="537"/>
      <c r="D433" s="537"/>
      <c r="E433" s="274" t="s">
        <v>419</v>
      </c>
      <c r="F433" s="540" t="s">
        <v>58</v>
      </c>
      <c r="G433" s="540"/>
      <c r="H433" s="540"/>
      <c r="I433" s="161"/>
      <c r="J433" s="161"/>
      <c r="K433" s="161"/>
      <c r="L433" s="540" t="s">
        <v>425</v>
      </c>
      <c r="M433" s="540"/>
      <c r="N433" s="540"/>
    </row>
    <row r="434" spans="1:14" ht="18" customHeight="1" x14ac:dyDescent="0.25">
      <c r="A434" s="537" t="s">
        <v>57</v>
      </c>
      <c r="B434" s="537"/>
      <c r="C434" s="537"/>
      <c r="D434" s="537"/>
      <c r="E434" s="274" t="s">
        <v>420</v>
      </c>
      <c r="F434" s="539" t="s">
        <v>47</v>
      </c>
      <c r="G434" s="539"/>
      <c r="H434" s="539"/>
      <c r="I434" s="161"/>
      <c r="J434" s="161"/>
      <c r="K434" s="161"/>
      <c r="L434" s="539" t="s">
        <v>424</v>
      </c>
      <c r="M434" s="539"/>
      <c r="N434" s="539"/>
    </row>
  </sheetData>
  <mergeCells count="33">
    <mergeCell ref="A428:D428"/>
    <mergeCell ref="F428:H428"/>
    <mergeCell ref="L428:N428"/>
    <mergeCell ref="A434:D434"/>
    <mergeCell ref="F434:H434"/>
    <mergeCell ref="L434:N434"/>
    <mergeCell ref="A432:D432"/>
    <mergeCell ref="F432:H432"/>
    <mergeCell ref="L432:N432"/>
    <mergeCell ref="A433:D433"/>
    <mergeCell ref="F433:H433"/>
    <mergeCell ref="L433:N433"/>
    <mergeCell ref="B17:D17"/>
    <mergeCell ref="A426:D426"/>
    <mergeCell ref="A427:D427"/>
    <mergeCell ref="F427:H427"/>
    <mergeCell ref="L427:N427"/>
    <mergeCell ref="A425:D425"/>
    <mergeCell ref="L425:N425"/>
    <mergeCell ref="B15:D15"/>
    <mergeCell ref="B16:D16"/>
    <mergeCell ref="A1:N1"/>
    <mergeCell ref="A2:N2"/>
    <mergeCell ref="A3:N3"/>
    <mergeCell ref="D8:F8"/>
    <mergeCell ref="A13:A14"/>
    <mergeCell ref="B13:D14"/>
    <mergeCell ref="E13:E14"/>
    <mergeCell ref="F13:F14"/>
    <mergeCell ref="G13:I13"/>
    <mergeCell ref="J13:L13"/>
    <mergeCell ref="M13:M14"/>
    <mergeCell ref="N13:N14"/>
  </mergeCells>
  <printOptions horizontalCentered="1"/>
  <pageMargins left="0.59055118110236227" right="0.19685039370078741" top="0.39370078740157483" bottom="0.19685039370078741" header="0.31496062992125984" footer="0.31496062992125984"/>
  <pageSetup paperSize="258" scale="5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01</vt:lpstr>
      <vt:lpstr>01 (5)</vt:lpstr>
      <vt:lpstr>02</vt:lpstr>
      <vt:lpstr>02 (4)</vt:lpstr>
      <vt:lpstr>03</vt:lpstr>
      <vt:lpstr>02 (3)</vt:lpstr>
      <vt:lpstr>02 (2)</vt:lpstr>
      <vt:lpstr>01 (4)</vt:lpstr>
      <vt:lpstr>01 (3)</vt:lpstr>
      <vt:lpstr>01 (2)</vt:lpstr>
      <vt:lpstr>03 (2)</vt:lpstr>
      <vt:lpstr>04</vt:lpstr>
      <vt:lpstr>04 (2)</vt:lpstr>
      <vt:lpstr>05</vt:lpstr>
      <vt:lpstr>Sheet2</vt:lpstr>
      <vt:lpstr>'01'!Print_Area</vt:lpstr>
      <vt:lpstr>'01 (2)'!Print_Area</vt:lpstr>
      <vt:lpstr>'01 (3)'!Print_Area</vt:lpstr>
      <vt:lpstr>'01 (4)'!Print_Area</vt:lpstr>
      <vt:lpstr>'01 (5)'!Print_Area</vt:lpstr>
      <vt:lpstr>'02'!Print_Area</vt:lpstr>
      <vt:lpstr>'02 (2)'!Print_Area</vt:lpstr>
      <vt:lpstr>'02 (3)'!Print_Area</vt:lpstr>
      <vt:lpstr>'02 (4)'!Print_Area</vt:lpstr>
      <vt:lpstr>'03'!Print_Area</vt:lpstr>
      <vt:lpstr>'03 (2)'!Print_Area</vt:lpstr>
      <vt:lpstr>'04'!Print_Area</vt:lpstr>
      <vt:lpstr>'04 (2)'!Print_Area</vt:lpstr>
      <vt:lpstr>'05'!Print_Area</vt:lpstr>
      <vt:lpstr>'01'!Print_Titles</vt:lpstr>
      <vt:lpstr>'01 (2)'!Print_Titles</vt:lpstr>
      <vt:lpstr>'01 (3)'!Print_Titles</vt:lpstr>
      <vt:lpstr>'01 (4)'!Print_Titles</vt:lpstr>
      <vt:lpstr>'01 (5)'!Print_Titles</vt:lpstr>
      <vt:lpstr>'02'!Print_Titles</vt:lpstr>
      <vt:lpstr>'02 (2)'!Print_Titles</vt:lpstr>
      <vt:lpstr>'02 (3)'!Print_Titles</vt:lpstr>
      <vt:lpstr>'02 (4)'!Print_Titles</vt:lpstr>
      <vt:lpstr>'03'!Print_Titles</vt:lpstr>
      <vt:lpstr>'03 (2)'!Print_Titles</vt:lpstr>
      <vt:lpstr>'04'!Print_Titles</vt:lpstr>
      <vt:lpstr>'04 (2)'!Print_Titles</vt:lpstr>
      <vt:lpstr>'05'!Print_Titles</vt:lpstr>
    </vt:vector>
  </TitlesOfParts>
  <Company>PRIMAKOM.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2023-06-06T07:09:23Z</cp:lastPrinted>
  <dcterms:created xsi:type="dcterms:W3CDTF">2015-01-26T01:33:38Z</dcterms:created>
  <dcterms:modified xsi:type="dcterms:W3CDTF">2023-06-06T07:10:01Z</dcterms:modified>
</cp:coreProperties>
</file>