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ARET" sheetId="1" r:id="rId1"/>
    <sheet name="LABA2 MARET" sheetId="2" r:id="rId2"/>
    <sheet name="Masalah-Hambatan" sheetId="3" r:id="rId3"/>
    <sheet name="Pekerjaan-Kegiatan" sheetId="4" r:id="rId4"/>
  </sheets>
  <definedNames>
    <definedName name="_xlnm.Print_Area" localSheetId="1">'LABA2 MARET'!$B$1:$AN$116</definedName>
    <definedName name="_xlnm.Print_Area" localSheetId="0">'MARET'!$A$1:$M$86</definedName>
    <definedName name="_xlnm.Print_Area" localSheetId="2">'Masalah-Hambatan'!$A$1:$I$27</definedName>
    <definedName name="_xlnm.Print_Area" localSheetId="3">'Pekerjaan-Kegiatan'!$A$1:$J$27</definedName>
    <definedName name="_xlnm.Print_Titles" localSheetId="1">'LABA2 MARET'!$9:$12</definedName>
    <definedName name="_xlnm.Print_Titles" localSheetId="0">'MARET'!$9:$12</definedName>
  </definedNames>
  <calcPr fullCalcOnLoad="1"/>
</workbook>
</file>

<file path=xl/sharedStrings.xml><?xml version="1.0" encoding="utf-8"?>
<sst xmlns="http://schemas.openxmlformats.org/spreadsheetml/2006/main" count="223" uniqueCount="159">
  <si>
    <t>PEKERJAAN / KEGIATAN DI KABUPATEN KARANGANYAR</t>
  </si>
  <si>
    <t>NO</t>
  </si>
  <si>
    <t xml:space="preserve">KODE REKENNG / </t>
  </si>
  <si>
    <t>NAMA KEGIATAN</t>
  </si>
  <si>
    <t>DANA (Rp)</t>
  </si>
  <si>
    <t>a. DPA</t>
  </si>
  <si>
    <t>b. KONTRAK</t>
  </si>
  <si>
    <t>LOKASI</t>
  </si>
  <si>
    <t>KEGIATAN</t>
  </si>
  <si>
    <t>PELAKSANAAN</t>
  </si>
  <si>
    <t>MULAI</t>
  </si>
  <si>
    <t>SELESAI</t>
  </si>
  <si>
    <t>DIKERJAKAN</t>
  </si>
  <si>
    <t>OLEH</t>
  </si>
  <si>
    <t>TENAGA KERJA YANG</t>
  </si>
  <si>
    <t>TERSERAP</t>
  </si>
  <si>
    <t>TIAP BULAN</t>
  </si>
  <si>
    <t>KODE REKENING</t>
  </si>
  <si>
    <t>DANA</t>
  </si>
  <si>
    <t>SP2D</t>
  </si>
  <si>
    <t>s/d Bulan</t>
  </si>
  <si>
    <t>Lalu (Rp)</t>
  </si>
  <si>
    <t>Bulan Ini</t>
  </si>
  <si>
    <t>(Rp)</t>
  </si>
  <si>
    <t xml:space="preserve">s/d Bulan </t>
  </si>
  <si>
    <t>Ini (Rp)</t>
  </si>
  <si>
    <t>%</t>
  </si>
  <si>
    <t>SPJ</t>
  </si>
  <si>
    <t>Fisik</t>
  </si>
  <si>
    <t>DI KABUPATEN KARANGANYAR</t>
  </si>
  <si>
    <t>FORM POK-1</t>
  </si>
  <si>
    <t>1.20.1.20.27.01.12</t>
  </si>
  <si>
    <t>JUMLAH</t>
  </si>
  <si>
    <t>SERTA USAHA YANG DILAKUKAN DAN ATAU DISARANKAN UNTUK MENGATASI</t>
  </si>
  <si>
    <t>KODE REKENING /</t>
  </si>
  <si>
    <t xml:space="preserve">URAIAN / PERINCIAN </t>
  </si>
  <si>
    <t>APA MASALAHNYA)</t>
  </si>
  <si>
    <t>MASALAH  (KAPAN DAN</t>
  </si>
  <si>
    <t>USAHA YANG TELAH DI</t>
  </si>
  <si>
    <t>LAKUKAN (KAPAN DAN APA /</t>
  </si>
  <si>
    <t>BAGAIMANA)</t>
  </si>
  <si>
    <t>YA</t>
  </si>
  <si>
    <t>TIDAK</t>
  </si>
  <si>
    <t>OLEH SIAPA (INSTANSI</t>
  </si>
  <si>
    <t>YANG DI HARAPKAN</t>
  </si>
  <si>
    <t>DAPAT MEMBANTU</t>
  </si>
  <si>
    <t>KETERANGAN</t>
  </si>
  <si>
    <t>APAKAH MASIH DIPERLUKAN TINDAK LANJUT</t>
  </si>
  <si>
    <t>SUMBER DANA</t>
  </si>
  <si>
    <t>TAHUN ANGGARAN</t>
  </si>
  <si>
    <t>S/D TUTUP BULAN</t>
  </si>
  <si>
    <t>FORM POK - 4</t>
  </si>
  <si>
    <t>FORM POK - 3</t>
  </si>
  <si>
    <t>MASALAH / HAMBATAN YANG DITEMUI DALAM PELAKSANAAN PEKERJAAN / KEGIATAN</t>
  </si>
  <si>
    <t>Sisa</t>
  </si>
  <si>
    <t>1.20.1.20.27.02.07</t>
  </si>
  <si>
    <t>Pengadaan Perlengkapan Gedung Kantor</t>
  </si>
  <si>
    <t>Penyusunan Laporan Capaian Kinerja dan Ikhtisar Realisasi Kinerja SKPD</t>
  </si>
  <si>
    <t>1.20.1.20.27.06.01</t>
  </si>
  <si>
    <t>Pelaksanaan Musyawarah Pembangunan Desa</t>
  </si>
  <si>
    <t>Pembinaan Perangkat Desa</t>
  </si>
  <si>
    <t>Pembinaan PKK Desa</t>
  </si>
  <si>
    <t>REALISASI PERKEMBANGAN PELAKSANAAN PEKERJAAN / KEGIATAN SAMPAI DENGAN BULAN (%)</t>
  </si>
  <si>
    <t>JAN.</t>
  </si>
  <si>
    <t>FEB.</t>
  </si>
  <si>
    <t>MARET</t>
  </si>
  <si>
    <t>APRIL</t>
  </si>
  <si>
    <t>MEI</t>
  </si>
  <si>
    <t>JUNI</t>
  </si>
  <si>
    <t>JULI</t>
  </si>
  <si>
    <t>AGST.</t>
  </si>
  <si>
    <t>SEPT.</t>
  </si>
  <si>
    <t>OKT.</t>
  </si>
  <si>
    <t>NOP.</t>
  </si>
  <si>
    <t>DES.</t>
  </si>
  <si>
    <t>:</t>
  </si>
  <si>
    <t>KECAMATAN KEBAKKRAMAT</t>
  </si>
  <si>
    <t>APBD</t>
  </si>
  <si>
    <t>TUTUP BULAN</t>
  </si>
  <si>
    <t>Keterangan :</t>
  </si>
  <si>
    <t>A.  Target</t>
  </si>
  <si>
    <t>B.  Realisasi Fisik</t>
  </si>
  <si>
    <t>C.  SP2D</t>
  </si>
  <si>
    <t>D.  SPJ</t>
  </si>
  <si>
    <t xml:space="preserve">   </t>
  </si>
  <si>
    <t>N</t>
  </si>
  <si>
    <t>I</t>
  </si>
  <si>
    <t>H</t>
  </si>
  <si>
    <t>L</t>
  </si>
  <si>
    <t>A</t>
  </si>
  <si>
    <t>C</t>
  </si>
  <si>
    <t>B</t>
  </si>
  <si>
    <t>D</t>
  </si>
  <si>
    <t>Fasilitasi Kegiatan FKUB Tingkat Kecamatan</t>
  </si>
  <si>
    <t>1.19.1.20.27.17.17</t>
  </si>
  <si>
    <t>1.22.1.20.27.17.02</t>
  </si>
  <si>
    <t>Evaluasi Pemberdayaan Masyarakat, Perlombaan Desa / Kelurahan</t>
  </si>
  <si>
    <t>1.22.1.20.27.17.15</t>
  </si>
  <si>
    <t>Penyediaan Komponen Instalasi Listrik &amp; Penerangan Bangunan Kantor</t>
  </si>
  <si>
    <t>1.22.1.20.27.18.05</t>
  </si>
  <si>
    <t>1.22.1.20.27.19.03</t>
  </si>
  <si>
    <t>Pembinaan Kegiatan Administrasi Pemerintahan Desa</t>
  </si>
  <si>
    <t>Monitoring dan Evaluasi Pelaporan Pemerintahan Desa</t>
  </si>
  <si>
    <t>1.22.1.20.27.18.06</t>
  </si>
  <si>
    <t>1.22.1.20.27.18.26</t>
  </si>
  <si>
    <t>RATA RATA</t>
  </si>
  <si>
    <t>OPD</t>
  </si>
  <si>
    <t>Fasilitasi Pelaksanaan Dana Desa</t>
  </si>
  <si>
    <t>1.22.1.20.27.17.03</t>
  </si>
  <si>
    <t>Penyediaan Peralatan Rumah Tangga</t>
  </si>
  <si>
    <t>Penyusunan Renstra OPD</t>
  </si>
  <si>
    <t>1.20.1.20.27.06.24</t>
  </si>
  <si>
    <t>CAMAT KEBAKKRAMAT</t>
  </si>
  <si>
    <t>Penyediaan Gaji dan Tunjangan ASN</t>
  </si>
  <si>
    <t>01.2.02.01</t>
  </si>
  <si>
    <t>Penyusunan Pelaporan dan Analis Prognosis Realisasi Anggaran</t>
  </si>
  <si>
    <t>01.2.02.08</t>
  </si>
  <si>
    <t>Penyediaan Peralatan dan Perlengkapan Kantor</t>
  </si>
  <si>
    <t>01.2.06.02</t>
  </si>
  <si>
    <t>01.2.06.03</t>
  </si>
  <si>
    <t>Penyediaan Bahan Logistik Kantor</t>
  </si>
  <si>
    <t>01.2.06.04</t>
  </si>
  <si>
    <t xml:space="preserve">Penyediaan Barang Cetakan dan Penggandaan </t>
  </si>
  <si>
    <t>01.2.06.05</t>
  </si>
  <si>
    <t>Penyediaan Bahan Bacaan dan Peraturan Perundang-undangan</t>
  </si>
  <si>
    <t>01.2.06.06</t>
  </si>
  <si>
    <t>Penyelenggaraan Rapat Koordinasi dan Konsultasi SKPD</t>
  </si>
  <si>
    <t>01.2.06.09</t>
  </si>
  <si>
    <t>Pengadaan Peralatan dan Mesin Lainnya</t>
  </si>
  <si>
    <t>01.2.07.06</t>
  </si>
  <si>
    <t>01.2.08.02</t>
  </si>
  <si>
    <t>Penyediaan Jasa Pelayanan Umum Kantor</t>
  </si>
  <si>
    <t>01.2.08.04</t>
  </si>
  <si>
    <t>Penyediaan Jasa Pemeliharaan, Biaya Pemeliharaan dan Pajak Kendaraan Perorangan Dinas atau Kendaraan  Dinas Jabatan</t>
  </si>
  <si>
    <t>01.2.09.01</t>
  </si>
  <si>
    <t>Pemeliharaan Peralatan dan Mesin Lainnya</t>
  </si>
  <si>
    <t>01.2.09.06</t>
  </si>
  <si>
    <t>Fasilitasi Percepatan Pencapaian Standar Pelayanan Minimal di Wilayah Kecamatan</t>
  </si>
  <si>
    <t>02.2.02.02</t>
  </si>
  <si>
    <t>Peningkatan Partisipasi Masyarakat dalam Forum Musyawarah Perencanaan Pembangunan di Desa</t>
  </si>
  <si>
    <t>03.2.01.01</t>
  </si>
  <si>
    <t>Peningkatan Kapasitas Lembaga Kemasyarakatan</t>
  </si>
  <si>
    <t>03.2.03.02</t>
  </si>
  <si>
    <t>REALISASI PENGGUNAAN DANA PEKERJAAN / KEGIATAN TAHUN ANGGARAN 2021</t>
  </si>
  <si>
    <t>Sinergitas dengan Kepolisian Negara Republik Indonesia, Tentara Nasional Indonesia dan Instansi Vertikal di Wilayah Kecamatan</t>
  </si>
  <si>
    <t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t>
  </si>
  <si>
    <t>04.2.03.01</t>
  </si>
  <si>
    <t>05.2.01.01</t>
  </si>
  <si>
    <t>Fasilitasi Administrasi Tata Pemerintahan Desa</t>
  </si>
  <si>
    <t>06.2.01.02</t>
  </si>
  <si>
    <t>2022</t>
  </si>
  <si>
    <t xml:space="preserve">Penyediaan Jasa Komunikasi, Sumber Daya Air dan Listrik </t>
  </si>
  <si>
    <t>qq</t>
  </si>
  <si>
    <t>Joko Sutrisno, S.H., M.M.</t>
  </si>
  <si>
    <t xml:space="preserve">Pembina </t>
  </si>
  <si>
    <t>NIP. 19680305 199003 1 010</t>
  </si>
  <si>
    <t>0</t>
  </si>
  <si>
    <t>P</t>
  </si>
  <si>
    <t>Kebakkramat, 4 April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</si>
</sst>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%"/>
    <numFmt numFmtId="180" formatCode="0.000%"/>
    <numFmt numFmtId="181" formatCode="0.0000%"/>
    <numFmt numFmtId="182" formatCode="0.00000%"/>
    <numFmt numFmtId="183" formatCode="0.000000%"/>
    <numFmt numFmtId="184" formatCode="_(* #,##0.0_);_(* \(#,##0.0\);_(* &quot;-&quot;_);_(@_)"/>
    <numFmt numFmtId="185" formatCode="_(* #,##0.0_);_(* \(#,##0.0\);_(* &quot;-&quot;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21]dd\ mmmm\ yyyy"/>
    <numFmt numFmtId="191" formatCode="[$-F400]h:mm:ss\ AM/PM"/>
    <numFmt numFmtId="192" formatCode="_-[$Rp-421]* #,##0_-;\-[$Rp-421]* #,##0_-;_-[$Rp-421]* &quot;-&quot;_-;_-@_-"/>
    <numFmt numFmtId="193" formatCode="#,##0.0000"/>
    <numFmt numFmtId="194" formatCode="[$-421]dddd\,\ dd\ mmmm\ yyyy"/>
    <numFmt numFmtId="195" formatCode="hh\.mm\.ss"/>
    <numFmt numFmtId="196" formatCode="[$-409]dddd\,\ mmmm\ d\,\ yyyy"/>
    <numFmt numFmtId="197" formatCode="[$-409]h:mm:ss\ AM/PM"/>
    <numFmt numFmtId="198" formatCode="_(* #,##0.000_);_(* \(#,##0.000\);_(* &quot;-&quot;??_);_(@_)"/>
    <numFmt numFmtId="199" formatCode="_(* #,##0.0000_);_(* \(#,##0.0000\);_(* &quot;-&quot;??_);_(@_)"/>
    <numFmt numFmtId="200" formatCode="_(* #,##0.0_);_(* \(#,##0.0\);_(* &quot;-&quot;??_);_(@_)"/>
    <numFmt numFmtId="201" formatCode="_(* #,##0_);_(* \(#,##0\);_(* &quot;-&quot;??_);_(@_)"/>
    <numFmt numFmtId="202" formatCode="_-* #,##0.0_-;\-* #,##0.0_-;_-* &quot;-&quot;??_-;_-@_-"/>
    <numFmt numFmtId="203" formatCode="_-* #,##0_-;\-* #,##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48"/>
      <color indexed="8"/>
      <name val="Arial"/>
      <family val="2"/>
    </font>
    <font>
      <b/>
      <sz val="6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/>
      <top style="thin"/>
      <bottom/>
      <diagonal style="thin"/>
    </border>
    <border>
      <left/>
      <right/>
      <top style="thin"/>
      <bottom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/>
      <right/>
      <top/>
      <bottom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/>
      <top/>
      <bottom style="thin"/>
      <diagonal style="thin"/>
    </border>
    <border>
      <left/>
      <right/>
      <top/>
      <bottom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Up="1">
      <left style="thin"/>
      <right/>
      <top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5">
    <xf numFmtId="0" fontId="0" fillId="0" borderId="0" xfId="0" applyFont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7" fillId="0" borderId="12" xfId="57" applyNumberFormat="1" applyFont="1" applyFill="1" applyBorder="1" applyAlignment="1">
      <alignment horizontal="right" vertical="justify"/>
      <protection/>
    </xf>
    <xf numFmtId="3" fontId="7" fillId="0" borderId="12" xfId="0" applyNumberFormat="1" applyFont="1" applyFill="1" applyBorder="1" applyAlignment="1">
      <alignment horizontal="right" vertical="justify"/>
    </xf>
    <xf numFmtId="3" fontId="5" fillId="0" borderId="13" xfId="0" applyNumberFormat="1" applyFont="1" applyFill="1" applyBorder="1" applyAlignment="1">
      <alignment/>
    </xf>
    <xf numFmtId="3" fontId="7" fillId="0" borderId="13" xfId="57" applyNumberFormat="1" applyFont="1" applyFill="1" applyBorder="1" applyAlignment="1">
      <alignment horizontal="right" vertical="justify"/>
      <protection/>
    </xf>
    <xf numFmtId="3" fontId="7" fillId="0" borderId="13" xfId="0" applyNumberFormat="1" applyFont="1" applyFill="1" applyBorder="1" applyAlignment="1">
      <alignment horizontal="right" vertical="justify"/>
    </xf>
    <xf numFmtId="3" fontId="7" fillId="0" borderId="14" xfId="57" applyNumberFormat="1" applyFont="1" applyFill="1" applyBorder="1" applyAlignment="1">
      <alignment horizontal="right" vertical="justify"/>
      <protection/>
    </xf>
    <xf numFmtId="3" fontId="7" fillId="0" borderId="14" xfId="0" applyNumberFormat="1" applyFont="1" applyFill="1" applyBorder="1" applyAlignment="1">
      <alignment horizontal="right" vertical="justify"/>
    </xf>
    <xf numFmtId="3" fontId="5" fillId="0" borderId="14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vertical="justify"/>
    </xf>
    <xf numFmtId="3" fontId="6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justify"/>
    </xf>
    <xf numFmtId="3" fontId="5" fillId="0" borderId="14" xfId="0" applyNumberFormat="1" applyFont="1" applyFill="1" applyBorder="1" applyAlignment="1">
      <alignment vertical="justify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49" fontId="5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3" fontId="9" fillId="0" borderId="2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21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2" xfId="0" applyFont="1" applyBorder="1" applyAlignment="1">
      <alignment/>
    </xf>
    <xf numFmtId="14" fontId="20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12" xfId="0" applyFont="1" applyBorder="1" applyAlignment="1" quotePrefix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  <xf numFmtId="3" fontId="9" fillId="0" borderId="11" xfId="0" applyNumberFormat="1" applyFont="1" applyFill="1" applyBorder="1" applyAlignment="1" quotePrefix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16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/>
    </xf>
    <xf numFmtId="3" fontId="15" fillId="0" borderId="32" xfId="0" applyNumberFormat="1" applyFont="1" applyFill="1" applyBorder="1" applyAlignment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6" fillId="0" borderId="33" xfId="0" applyNumberFormat="1" applyFont="1" applyFill="1" applyBorder="1" applyAlignment="1">
      <alignment horizontal="center"/>
    </xf>
    <xf numFmtId="3" fontId="16" fillId="0" borderId="24" xfId="0" applyNumberFormat="1" applyFont="1" applyFill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vertical="top" wrapText="1"/>
    </xf>
    <xf numFmtId="3" fontId="9" fillId="32" borderId="15" xfId="0" applyNumberFormat="1" applyFont="1" applyFill="1" applyBorder="1" applyAlignment="1">
      <alignment horizontal="center" vertical="center"/>
    </xf>
    <xf numFmtId="3" fontId="9" fillId="32" borderId="16" xfId="0" applyNumberFormat="1" applyFont="1" applyFill="1" applyBorder="1" applyAlignment="1">
      <alignment horizontal="center" vertical="center"/>
    </xf>
    <xf numFmtId="3" fontId="9" fillId="32" borderId="17" xfId="0" applyNumberFormat="1" applyFont="1" applyFill="1" applyBorder="1" applyAlignment="1">
      <alignment horizontal="center" vertical="center"/>
    </xf>
    <xf numFmtId="3" fontId="7" fillId="32" borderId="15" xfId="0" applyNumberFormat="1" applyFont="1" applyFill="1" applyBorder="1" applyAlignment="1">
      <alignment horizontal="center" vertical="center"/>
    </xf>
    <xf numFmtId="3" fontId="7" fillId="32" borderId="16" xfId="0" applyNumberFormat="1" applyFont="1" applyFill="1" applyBorder="1" applyAlignment="1">
      <alignment horizontal="center" vertical="center"/>
    </xf>
    <xf numFmtId="3" fontId="7" fillId="32" borderId="17" xfId="0" applyNumberFormat="1" applyFont="1" applyFill="1" applyBorder="1" applyAlignment="1">
      <alignment horizontal="center" vertical="center"/>
    </xf>
    <xf numFmtId="3" fontId="7" fillId="32" borderId="18" xfId="0" applyNumberFormat="1" applyFont="1" applyFill="1" applyBorder="1" applyAlignment="1">
      <alignment horizontal="center" vertical="center"/>
    </xf>
    <xf numFmtId="3" fontId="6" fillId="32" borderId="0" xfId="0" applyNumberFormat="1" applyFont="1" applyFill="1" applyAlignment="1">
      <alignment/>
    </xf>
    <xf numFmtId="3" fontId="6" fillId="32" borderId="12" xfId="0" applyNumberFormat="1" applyFont="1" applyFill="1" applyBorder="1" applyAlignment="1">
      <alignment horizontal="center"/>
    </xf>
    <xf numFmtId="3" fontId="6" fillId="32" borderId="12" xfId="0" applyNumberFormat="1" applyFont="1" applyFill="1" applyBorder="1" applyAlignment="1">
      <alignment vertical="top" wrapText="1"/>
    </xf>
    <xf numFmtId="3" fontId="9" fillId="32" borderId="19" xfId="0" applyNumberFormat="1" applyFont="1" applyFill="1" applyBorder="1" applyAlignment="1">
      <alignment horizontal="center" vertical="center"/>
    </xf>
    <xf numFmtId="3" fontId="9" fillId="32" borderId="20" xfId="0" applyNumberFormat="1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3" fontId="6" fillId="32" borderId="22" xfId="0" applyNumberFormat="1" applyFont="1" applyFill="1" applyBorder="1" applyAlignment="1">
      <alignment horizontal="center"/>
    </xf>
    <xf numFmtId="3" fontId="6" fillId="32" borderId="22" xfId="0" applyNumberFormat="1" applyFont="1" applyFill="1" applyBorder="1" applyAlignment="1">
      <alignment vertical="top" wrapText="1"/>
    </xf>
    <xf numFmtId="3" fontId="9" fillId="32" borderId="23" xfId="0" applyNumberFormat="1" applyFont="1" applyFill="1" applyBorder="1" applyAlignment="1">
      <alignment horizontal="center" vertical="center"/>
    </xf>
    <xf numFmtId="3" fontId="9" fillId="32" borderId="24" xfId="0" applyNumberFormat="1" applyFont="1" applyFill="1" applyBorder="1" applyAlignment="1">
      <alignment horizontal="center" vertical="center"/>
    </xf>
    <xf numFmtId="3" fontId="9" fillId="32" borderId="25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3" fontId="6" fillId="32" borderId="22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/>
    </xf>
    <xf numFmtId="3" fontId="14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22" xfId="0" applyNumberFormat="1" applyFont="1" applyFill="1" applyBorder="1" applyAlignment="1">
      <alignment vertical="top" wrapText="1"/>
    </xf>
    <xf numFmtId="3" fontId="9" fillId="32" borderId="21" xfId="0" applyNumberFormat="1" applyFont="1" applyFill="1" applyBorder="1" applyAlignment="1">
      <alignment horizontal="center" vertical="center"/>
    </xf>
    <xf numFmtId="3" fontId="9" fillId="32" borderId="26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justify"/>
    </xf>
    <xf numFmtId="3" fontId="7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left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horizontal="right" vertical="justify"/>
      <protection/>
    </xf>
    <xf numFmtId="3" fontId="7" fillId="0" borderId="10" xfId="0" applyNumberFormat="1" applyFont="1" applyFill="1" applyBorder="1" applyAlignment="1">
      <alignment horizontal="right" vertical="justify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/>
    </xf>
    <xf numFmtId="3" fontId="7" fillId="0" borderId="22" xfId="57" applyNumberFormat="1" applyFont="1" applyFill="1" applyBorder="1" applyAlignment="1">
      <alignment horizontal="right" vertical="justify"/>
      <protection/>
    </xf>
    <xf numFmtId="3" fontId="5" fillId="0" borderId="27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justify"/>
    </xf>
    <xf numFmtId="3" fontId="8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7" fillId="0" borderId="0" xfId="0" applyNumberFormat="1" applyFont="1" applyAlignment="1">
      <alignment horizontal="left"/>
    </xf>
    <xf numFmtId="3" fontId="6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vertical="top"/>
    </xf>
    <xf numFmtId="3" fontId="6" fillId="0" borderId="12" xfId="0" applyNumberFormat="1" applyFont="1" applyFill="1" applyBorder="1" applyAlignment="1">
      <alignment horizontal="center" vertical="top"/>
    </xf>
    <xf numFmtId="171" fontId="7" fillId="0" borderId="22" xfId="0" applyNumberFormat="1" applyFont="1" applyFill="1" applyBorder="1" applyAlignment="1">
      <alignment horizontal="right" vertical="justify"/>
    </xf>
    <xf numFmtId="171" fontId="7" fillId="0" borderId="12" xfId="0" applyNumberFormat="1" applyFont="1" applyFill="1" applyBorder="1" applyAlignment="1">
      <alignment horizontal="right" vertical="justify"/>
    </xf>
    <xf numFmtId="171" fontId="7" fillId="0" borderId="13" xfId="0" applyNumberFormat="1" applyFont="1" applyFill="1" applyBorder="1" applyAlignment="1">
      <alignment horizontal="right" vertical="justify"/>
    </xf>
    <xf numFmtId="171" fontId="7" fillId="0" borderId="14" xfId="0" applyNumberFormat="1" applyFont="1" applyFill="1" applyBorder="1" applyAlignment="1">
      <alignment horizontal="right" vertical="justify"/>
    </xf>
    <xf numFmtId="3" fontId="59" fillId="0" borderId="0" xfId="0" applyNumberFormat="1" applyFont="1" applyFill="1" applyAlignment="1">
      <alignment/>
    </xf>
    <xf numFmtId="3" fontId="59" fillId="32" borderId="10" xfId="0" applyNumberFormat="1" applyFont="1" applyFill="1" applyBorder="1" applyAlignment="1">
      <alignment horizontal="center"/>
    </xf>
    <xf numFmtId="3" fontId="59" fillId="32" borderId="10" xfId="0" applyNumberFormat="1" applyFont="1" applyFill="1" applyBorder="1" applyAlignment="1">
      <alignment/>
    </xf>
    <xf numFmtId="3" fontId="60" fillId="32" borderId="15" xfId="0" applyNumberFormat="1" applyFont="1" applyFill="1" applyBorder="1" applyAlignment="1">
      <alignment horizontal="center" vertical="center"/>
    </xf>
    <xf numFmtId="3" fontId="60" fillId="32" borderId="16" xfId="0" applyNumberFormat="1" applyFont="1" applyFill="1" applyBorder="1" applyAlignment="1">
      <alignment horizontal="center" vertical="center"/>
    </xf>
    <xf numFmtId="3" fontId="60" fillId="32" borderId="17" xfId="0" applyNumberFormat="1" applyFont="1" applyFill="1" applyBorder="1" applyAlignment="1">
      <alignment horizontal="center" vertical="center"/>
    </xf>
    <xf numFmtId="3" fontId="61" fillId="32" borderId="15" xfId="0" applyNumberFormat="1" applyFont="1" applyFill="1" applyBorder="1" applyAlignment="1">
      <alignment horizontal="center" vertical="center"/>
    </xf>
    <xf numFmtId="3" fontId="61" fillId="32" borderId="17" xfId="0" applyNumberFormat="1" applyFont="1" applyFill="1" applyBorder="1" applyAlignment="1">
      <alignment horizontal="center" vertical="center"/>
    </xf>
    <xf numFmtId="3" fontId="61" fillId="32" borderId="16" xfId="0" applyNumberFormat="1" applyFont="1" applyFill="1" applyBorder="1" applyAlignment="1">
      <alignment horizontal="center" vertical="center"/>
    </xf>
    <xf numFmtId="3" fontId="61" fillId="32" borderId="18" xfId="0" applyNumberFormat="1" applyFont="1" applyFill="1" applyBorder="1" applyAlignment="1">
      <alignment horizontal="center" vertical="center"/>
    </xf>
    <xf numFmtId="3" fontId="59" fillId="32" borderId="12" xfId="0" applyNumberFormat="1" applyFont="1" applyFill="1" applyBorder="1" applyAlignment="1">
      <alignment horizontal="center"/>
    </xf>
    <xf numFmtId="3" fontId="59" fillId="32" borderId="12" xfId="0" applyNumberFormat="1" applyFont="1" applyFill="1" applyBorder="1" applyAlignment="1">
      <alignment/>
    </xf>
    <xf numFmtId="3" fontId="60" fillId="32" borderId="19" xfId="0" applyNumberFormat="1" applyFont="1" applyFill="1" applyBorder="1" applyAlignment="1">
      <alignment horizontal="center" vertical="center"/>
    </xf>
    <xf numFmtId="3" fontId="60" fillId="32" borderId="20" xfId="0" applyNumberFormat="1" applyFont="1" applyFill="1" applyBorder="1" applyAlignment="1">
      <alignment horizontal="center" vertical="center"/>
    </xf>
    <xf numFmtId="3" fontId="60" fillId="32" borderId="0" xfId="0" applyNumberFormat="1" applyFont="1" applyFill="1" applyBorder="1" applyAlignment="1">
      <alignment horizontal="center" vertical="center"/>
    </xf>
    <xf numFmtId="3" fontId="60" fillId="32" borderId="21" xfId="0" applyNumberFormat="1" applyFont="1" applyFill="1" applyBorder="1" applyAlignment="1">
      <alignment horizontal="center" vertical="center"/>
    </xf>
    <xf numFmtId="3" fontId="59" fillId="32" borderId="22" xfId="0" applyNumberFormat="1" applyFont="1" applyFill="1" applyBorder="1" applyAlignment="1">
      <alignment horizontal="center"/>
    </xf>
    <xf numFmtId="3" fontId="59" fillId="32" borderId="22" xfId="0" applyNumberFormat="1" applyFont="1" applyFill="1" applyBorder="1" applyAlignment="1">
      <alignment/>
    </xf>
    <xf numFmtId="3" fontId="60" fillId="32" borderId="23" xfId="0" applyNumberFormat="1" applyFont="1" applyFill="1" applyBorder="1" applyAlignment="1">
      <alignment horizontal="center" vertical="center"/>
    </xf>
    <xf numFmtId="3" fontId="60" fillId="32" borderId="24" xfId="0" applyNumberFormat="1" applyFont="1" applyFill="1" applyBorder="1" applyAlignment="1">
      <alignment horizontal="center" vertical="center"/>
    </xf>
    <xf numFmtId="3" fontId="60" fillId="32" borderId="25" xfId="0" applyNumberFormat="1" applyFont="1" applyFill="1" applyBorder="1" applyAlignment="1">
      <alignment horizontal="center" vertical="center"/>
    </xf>
    <xf numFmtId="3" fontId="60" fillId="32" borderId="26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9" fillId="33" borderId="15" xfId="0" applyNumberFormat="1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3" fontId="6" fillId="33" borderId="12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/>
    </xf>
    <xf numFmtId="3" fontId="9" fillId="33" borderId="19" xfId="0" applyNumberFormat="1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/>
    </xf>
    <xf numFmtId="3" fontId="6" fillId="33" borderId="22" xfId="0" applyNumberFormat="1" applyFont="1" applyFill="1" applyBorder="1" applyAlignment="1">
      <alignment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5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7" fillId="33" borderId="16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/>
    </xf>
    <xf numFmtId="3" fontId="8" fillId="32" borderId="10" xfId="0" applyNumberFormat="1" applyFont="1" applyFill="1" applyBorder="1" applyAlignment="1">
      <alignment/>
    </xf>
    <xf numFmtId="3" fontId="23" fillId="32" borderId="15" xfId="0" applyNumberFormat="1" applyFont="1" applyFill="1" applyBorder="1" applyAlignment="1">
      <alignment horizontal="center" vertical="center"/>
    </xf>
    <xf numFmtId="3" fontId="23" fillId="32" borderId="16" xfId="0" applyNumberFormat="1" applyFont="1" applyFill="1" applyBorder="1" applyAlignment="1">
      <alignment horizontal="center" vertical="center"/>
    </xf>
    <xf numFmtId="3" fontId="23" fillId="32" borderId="17" xfId="0" applyNumberFormat="1" applyFont="1" applyFill="1" applyBorder="1" applyAlignment="1">
      <alignment horizontal="center" vertical="center"/>
    </xf>
    <xf numFmtId="3" fontId="24" fillId="32" borderId="15" xfId="0" applyNumberFormat="1" applyFont="1" applyFill="1" applyBorder="1" applyAlignment="1">
      <alignment horizontal="center" vertical="center"/>
    </xf>
    <xf numFmtId="3" fontId="24" fillId="32" borderId="17" xfId="0" applyNumberFormat="1" applyFont="1" applyFill="1" applyBorder="1" applyAlignment="1">
      <alignment horizontal="center" vertical="center"/>
    </xf>
    <xf numFmtId="3" fontId="24" fillId="32" borderId="18" xfId="0" applyNumberFormat="1" applyFont="1" applyFill="1" applyBorder="1" applyAlignment="1">
      <alignment horizontal="center" vertical="center"/>
    </xf>
    <xf numFmtId="3" fontId="8" fillId="32" borderId="12" xfId="0" applyNumberFormat="1" applyFont="1" applyFill="1" applyBorder="1" applyAlignment="1">
      <alignment horizontal="center"/>
    </xf>
    <xf numFmtId="3" fontId="8" fillId="32" borderId="12" xfId="0" applyNumberFormat="1" applyFont="1" applyFill="1" applyBorder="1" applyAlignment="1">
      <alignment/>
    </xf>
    <xf numFmtId="3" fontId="23" fillId="32" borderId="19" xfId="0" applyNumberFormat="1" applyFont="1" applyFill="1" applyBorder="1" applyAlignment="1">
      <alignment horizontal="center" vertical="center"/>
    </xf>
    <xf numFmtId="3" fontId="23" fillId="32" borderId="20" xfId="0" applyNumberFormat="1" applyFont="1" applyFill="1" applyBorder="1" applyAlignment="1">
      <alignment horizontal="center" vertical="center"/>
    </xf>
    <xf numFmtId="3" fontId="23" fillId="32" borderId="0" xfId="0" applyNumberFormat="1" applyFont="1" applyFill="1" applyBorder="1" applyAlignment="1">
      <alignment horizontal="center" vertical="center"/>
    </xf>
    <xf numFmtId="3" fontId="23" fillId="32" borderId="21" xfId="0" applyNumberFormat="1" applyFont="1" applyFill="1" applyBorder="1" applyAlignment="1">
      <alignment horizontal="center" vertical="center"/>
    </xf>
    <xf numFmtId="3" fontId="8" fillId="32" borderId="22" xfId="0" applyNumberFormat="1" applyFont="1" applyFill="1" applyBorder="1" applyAlignment="1">
      <alignment horizontal="center"/>
    </xf>
    <xf numFmtId="3" fontId="8" fillId="32" borderId="22" xfId="0" applyNumberFormat="1" applyFont="1" applyFill="1" applyBorder="1" applyAlignment="1">
      <alignment/>
    </xf>
    <xf numFmtId="3" fontId="23" fillId="32" borderId="23" xfId="0" applyNumberFormat="1" applyFont="1" applyFill="1" applyBorder="1" applyAlignment="1">
      <alignment horizontal="center" vertical="center"/>
    </xf>
    <xf numFmtId="3" fontId="23" fillId="32" borderId="24" xfId="0" applyNumberFormat="1" applyFont="1" applyFill="1" applyBorder="1" applyAlignment="1">
      <alignment horizontal="center" vertical="center"/>
    </xf>
    <xf numFmtId="3" fontId="23" fillId="32" borderId="25" xfId="0" applyNumberFormat="1" applyFont="1" applyFill="1" applyBorder="1" applyAlignment="1">
      <alignment horizontal="center" vertical="center"/>
    </xf>
    <xf numFmtId="3" fontId="23" fillId="32" borderId="26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43" fontId="25" fillId="33" borderId="15" xfId="0" applyNumberFormat="1" applyFont="1" applyFill="1" applyBorder="1" applyAlignment="1">
      <alignment horizontal="center" vertical="center"/>
    </xf>
    <xf numFmtId="43" fontId="25" fillId="33" borderId="16" xfId="0" applyNumberFormat="1" applyFont="1" applyFill="1" applyBorder="1" applyAlignment="1">
      <alignment horizontal="center" vertical="center"/>
    </xf>
    <xf numFmtId="43" fontId="25" fillId="33" borderId="17" xfId="0" applyNumberFormat="1" applyFont="1" applyFill="1" applyBorder="1" applyAlignment="1">
      <alignment horizontal="center" vertical="center"/>
    </xf>
    <xf numFmtId="43" fontId="25" fillId="33" borderId="18" xfId="0" applyNumberFormat="1" applyFont="1" applyFill="1" applyBorder="1" applyAlignment="1">
      <alignment horizontal="center" vertical="center"/>
    </xf>
    <xf numFmtId="43" fontId="25" fillId="33" borderId="20" xfId="0" applyNumberFormat="1" applyFont="1" applyFill="1" applyBorder="1" applyAlignment="1">
      <alignment horizontal="center" vertical="center"/>
    </xf>
    <xf numFmtId="43" fontId="25" fillId="33" borderId="0" xfId="0" applyNumberFormat="1" applyFont="1" applyFill="1" applyBorder="1" applyAlignment="1">
      <alignment horizontal="center" vertical="center"/>
    </xf>
    <xf numFmtId="43" fontId="25" fillId="33" borderId="21" xfId="0" applyNumberFormat="1" applyFont="1" applyFill="1" applyBorder="1" applyAlignment="1">
      <alignment horizontal="center" vertical="center"/>
    </xf>
    <xf numFmtId="43" fontId="25" fillId="33" borderId="23" xfId="0" applyNumberFormat="1" applyFont="1" applyFill="1" applyBorder="1" applyAlignment="1">
      <alignment horizontal="center" vertical="center"/>
    </xf>
    <xf numFmtId="43" fontId="25" fillId="33" borderId="24" xfId="0" applyNumberFormat="1" applyFont="1" applyFill="1" applyBorder="1" applyAlignment="1">
      <alignment horizontal="center" vertical="center"/>
    </xf>
    <xf numFmtId="43" fontId="25" fillId="33" borderId="25" xfId="0" applyNumberFormat="1" applyFont="1" applyFill="1" applyBorder="1" applyAlignment="1">
      <alignment horizontal="center" vertical="center"/>
    </xf>
    <xf numFmtId="43" fontId="25" fillId="33" borderId="26" xfId="0" applyNumberFormat="1" applyFont="1" applyFill="1" applyBorder="1" applyAlignment="1">
      <alignment horizontal="center" vertical="center"/>
    </xf>
    <xf numFmtId="43" fontId="25" fillId="33" borderId="19" xfId="0" applyNumberFormat="1" applyFont="1" applyFill="1" applyBorder="1" applyAlignment="1" quotePrefix="1">
      <alignment horizontal="center" vertical="center"/>
    </xf>
    <xf numFmtId="201" fontId="7" fillId="0" borderId="10" xfId="42" applyNumberFormat="1" applyFont="1" applyFill="1" applyBorder="1" applyAlignment="1">
      <alignment horizontal="right" vertical="justify"/>
    </xf>
    <xf numFmtId="201" fontId="7" fillId="0" borderId="22" xfId="42" applyNumberFormat="1" applyFont="1" applyFill="1" applyBorder="1" applyAlignment="1">
      <alignment horizontal="right" vertical="justify"/>
    </xf>
    <xf numFmtId="201" fontId="7" fillId="0" borderId="12" xfId="42" applyNumberFormat="1" applyFont="1" applyFill="1" applyBorder="1" applyAlignment="1">
      <alignment horizontal="right" vertical="justify"/>
    </xf>
    <xf numFmtId="201" fontId="7" fillId="0" borderId="13" xfId="42" applyNumberFormat="1" applyFont="1" applyFill="1" applyBorder="1" applyAlignment="1">
      <alignment horizontal="right" vertical="justify"/>
    </xf>
    <xf numFmtId="201" fontId="7" fillId="0" borderId="14" xfId="42" applyNumberFormat="1" applyFont="1" applyFill="1" applyBorder="1" applyAlignment="1">
      <alignment horizontal="right" vertical="justify"/>
    </xf>
    <xf numFmtId="203" fontId="5" fillId="0" borderId="27" xfId="0" applyNumberFormat="1" applyFont="1" applyFill="1" applyBorder="1" applyAlignment="1">
      <alignment/>
    </xf>
    <xf numFmtId="201" fontId="25" fillId="33" borderId="15" xfId="0" applyNumberFormat="1" applyFont="1" applyFill="1" applyBorder="1" applyAlignment="1">
      <alignment horizontal="center" vertical="center"/>
    </xf>
    <xf numFmtId="201" fontId="25" fillId="33" borderId="16" xfId="0" applyNumberFormat="1" applyFont="1" applyFill="1" applyBorder="1" applyAlignment="1">
      <alignment horizontal="center" vertical="center"/>
    </xf>
    <xf numFmtId="201" fontId="25" fillId="33" borderId="17" xfId="0" applyNumberFormat="1" applyFont="1" applyFill="1" applyBorder="1" applyAlignment="1">
      <alignment horizontal="center" vertical="center"/>
    </xf>
    <xf numFmtId="201" fontId="25" fillId="33" borderId="19" xfId="0" applyNumberFormat="1" applyFont="1" applyFill="1" applyBorder="1" applyAlignment="1">
      <alignment horizontal="center" vertical="center"/>
    </xf>
    <xf numFmtId="201" fontId="25" fillId="33" borderId="20" xfId="0" applyNumberFormat="1" applyFont="1" applyFill="1" applyBorder="1" applyAlignment="1">
      <alignment horizontal="center" vertical="center"/>
    </xf>
    <xf numFmtId="201" fontId="25" fillId="33" borderId="0" xfId="0" applyNumberFormat="1" applyFont="1" applyFill="1" applyBorder="1" applyAlignment="1">
      <alignment horizontal="center" vertical="center"/>
    </xf>
    <xf numFmtId="201" fontId="25" fillId="33" borderId="19" xfId="0" applyNumberFormat="1" applyFont="1" applyFill="1" applyBorder="1" applyAlignment="1" quotePrefix="1">
      <alignment horizontal="center" vertical="center"/>
    </xf>
    <xf numFmtId="201" fontId="25" fillId="33" borderId="23" xfId="0" applyNumberFormat="1" applyFont="1" applyFill="1" applyBorder="1" applyAlignment="1">
      <alignment horizontal="center" vertical="center"/>
    </xf>
    <xf numFmtId="201" fontId="25" fillId="33" borderId="24" xfId="0" applyNumberFormat="1" applyFont="1" applyFill="1" applyBorder="1" applyAlignment="1">
      <alignment horizontal="center" vertical="center"/>
    </xf>
    <xf numFmtId="201" fontId="25" fillId="33" borderId="2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left" vertical="top" wrapText="1"/>
    </xf>
    <xf numFmtId="0" fontId="0" fillId="32" borderId="12" xfId="0" applyFill="1" applyBorder="1" applyAlignment="1">
      <alignment/>
    </xf>
    <xf numFmtId="0" fontId="0" fillId="32" borderId="22" xfId="0" applyFill="1" applyBorder="1" applyAlignment="1">
      <alignment/>
    </xf>
    <xf numFmtId="3" fontId="6" fillId="33" borderId="1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3" fontId="8" fillId="32" borderId="10" xfId="0" applyNumberFormat="1" applyFont="1" applyFill="1" applyBorder="1" applyAlignment="1">
      <alignment horizontal="left" vertical="top" wrapText="1"/>
    </xf>
    <xf numFmtId="0" fontId="42" fillId="32" borderId="12" xfId="0" applyFont="1" applyFill="1" applyBorder="1" applyAlignment="1">
      <alignment/>
    </xf>
    <xf numFmtId="0" fontId="42" fillId="32" borderId="22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left" vertical="top" wrapText="1"/>
    </xf>
    <xf numFmtId="3" fontId="6" fillId="33" borderId="22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3" fontId="6" fillId="0" borderId="12" xfId="0" applyNumberFormat="1" applyFont="1" applyFill="1" applyBorder="1" applyAlignment="1">
      <alignment horizontal="left" vertical="top" wrapText="1"/>
    </xf>
    <xf numFmtId="3" fontId="6" fillId="0" borderId="22" xfId="0" applyNumberFormat="1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3" fontId="6" fillId="32" borderId="12" xfId="0" applyNumberFormat="1" applyFont="1" applyFill="1" applyBorder="1" applyAlignment="1">
      <alignment horizontal="left" vertical="top" wrapText="1"/>
    </xf>
    <xf numFmtId="3" fontId="6" fillId="32" borderId="22" xfId="0" applyNumberFormat="1" applyFont="1" applyFill="1" applyBorder="1" applyAlignment="1">
      <alignment horizontal="left" vertical="top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>
      <alignment horizontal="center"/>
    </xf>
    <xf numFmtId="3" fontId="59" fillId="32" borderId="10" xfId="0" applyNumberFormat="1" applyFont="1" applyFill="1" applyBorder="1" applyAlignment="1">
      <alignment horizontal="left" vertical="top" wrapText="1"/>
    </xf>
    <xf numFmtId="3" fontId="59" fillId="32" borderId="12" xfId="0" applyNumberFormat="1" applyFont="1" applyFill="1" applyBorder="1" applyAlignment="1">
      <alignment horizontal="left" vertical="top" wrapText="1"/>
    </xf>
    <xf numFmtId="3" fontId="59" fillId="32" borderId="22" xfId="0" applyNumberFormat="1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94"/>
  <sheetViews>
    <sheetView showGridLines="0" tabSelected="1" zoomScaleSheetLayoutView="130" workbookViewId="0" topLeftCell="A50">
      <selection activeCell="E74" sqref="E74"/>
    </sheetView>
  </sheetViews>
  <sheetFormatPr defaultColWidth="9.140625" defaultRowHeight="15"/>
  <cols>
    <col min="1" max="1" width="3.57421875" style="2" customWidth="1"/>
    <col min="2" max="2" width="55.00390625" style="2" customWidth="1"/>
    <col min="3" max="3" width="12.57421875" style="2" customWidth="1"/>
    <col min="4" max="4" width="12.28125" style="2" customWidth="1"/>
    <col min="5" max="5" width="11.28125" style="2" customWidth="1"/>
    <col min="6" max="6" width="11.00390625" style="2" customWidth="1"/>
    <col min="7" max="7" width="7.00390625" style="2" customWidth="1"/>
    <col min="8" max="8" width="11.421875" style="2" customWidth="1"/>
    <col min="9" max="9" width="11.7109375" style="2" customWidth="1"/>
    <col min="10" max="10" width="12.421875" style="2" customWidth="1"/>
    <col min="11" max="11" width="7.140625" style="2" customWidth="1"/>
    <col min="12" max="12" width="7.00390625" style="2" customWidth="1"/>
    <col min="13" max="13" width="14.57421875" style="2" customWidth="1"/>
    <col min="14" max="16384" width="9.140625" style="2" customWidth="1"/>
  </cols>
  <sheetData>
    <row r="1" spans="1:13" ht="12.75">
      <c r="A1" s="301" t="s">
        <v>143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2.75">
      <c r="A2" s="301" t="s">
        <v>29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1" ht="12.75">
      <c r="A4" s="3"/>
      <c r="B4" s="3"/>
      <c r="C4" s="3"/>
      <c r="D4" s="3" t="s">
        <v>106</v>
      </c>
      <c r="E4" s="3"/>
      <c r="F4" s="4" t="s">
        <v>75</v>
      </c>
      <c r="G4" s="3" t="s">
        <v>76</v>
      </c>
      <c r="H4" s="3"/>
      <c r="I4" s="3"/>
      <c r="J4" s="3"/>
      <c r="K4" s="3"/>
    </row>
    <row r="5" spans="1:11" ht="12.75">
      <c r="A5" s="3"/>
      <c r="B5" s="3"/>
      <c r="C5" s="3"/>
      <c r="D5" s="5" t="s">
        <v>48</v>
      </c>
      <c r="E5" s="3"/>
      <c r="F5" s="4" t="s">
        <v>75</v>
      </c>
      <c r="G5" s="3" t="s">
        <v>77</v>
      </c>
      <c r="H5" s="3"/>
      <c r="I5" s="3"/>
      <c r="J5" s="3"/>
      <c r="K5" s="3"/>
    </row>
    <row r="6" spans="1:11" ht="12.75">
      <c r="A6" s="3"/>
      <c r="B6" s="3"/>
      <c r="C6" s="3"/>
      <c r="D6" s="3" t="s">
        <v>49</v>
      </c>
      <c r="E6" s="3"/>
      <c r="F6" s="4" t="s">
        <v>75</v>
      </c>
      <c r="G6" s="6" t="s">
        <v>150</v>
      </c>
      <c r="H6" s="3"/>
      <c r="I6" s="3"/>
      <c r="J6" s="3"/>
      <c r="K6" s="3"/>
    </row>
    <row r="7" spans="1:11" ht="12.75">
      <c r="A7" s="3"/>
      <c r="B7" s="3"/>
      <c r="C7" s="3"/>
      <c r="D7" s="3" t="s">
        <v>50</v>
      </c>
      <c r="E7" s="3"/>
      <c r="F7" s="4" t="s">
        <v>75</v>
      </c>
      <c r="G7" s="248" t="s">
        <v>65</v>
      </c>
      <c r="H7" s="3"/>
      <c r="I7" s="3"/>
      <c r="J7" s="3"/>
      <c r="K7" s="3"/>
    </row>
    <row r="8" ht="12.75">
      <c r="M8" s="4" t="s">
        <v>52</v>
      </c>
    </row>
    <row r="9" spans="1:13" ht="12.75">
      <c r="A9" s="7"/>
      <c r="B9" s="7" t="s">
        <v>17</v>
      </c>
      <c r="C9" s="7" t="s">
        <v>18</v>
      </c>
      <c r="D9" s="302" t="s">
        <v>19</v>
      </c>
      <c r="E9" s="302"/>
      <c r="F9" s="302"/>
      <c r="G9" s="302"/>
      <c r="H9" s="302" t="s">
        <v>27</v>
      </c>
      <c r="I9" s="302"/>
      <c r="J9" s="302"/>
      <c r="K9" s="302"/>
      <c r="L9" s="7" t="s">
        <v>28</v>
      </c>
      <c r="M9" s="7"/>
    </row>
    <row r="10" spans="1:13" ht="12.75">
      <c r="A10" s="9" t="s">
        <v>1</v>
      </c>
      <c r="B10" s="9" t="s">
        <v>3</v>
      </c>
      <c r="C10" s="10" t="s">
        <v>5</v>
      </c>
      <c r="D10" s="7" t="s">
        <v>20</v>
      </c>
      <c r="E10" s="7" t="s">
        <v>22</v>
      </c>
      <c r="F10" s="7" t="s">
        <v>24</v>
      </c>
      <c r="G10" s="307" t="s">
        <v>26</v>
      </c>
      <c r="H10" s="7" t="s">
        <v>20</v>
      </c>
      <c r="I10" s="7" t="s">
        <v>22</v>
      </c>
      <c r="J10" s="7" t="s">
        <v>24</v>
      </c>
      <c r="K10" s="307" t="s">
        <v>26</v>
      </c>
      <c r="L10" s="305" t="s">
        <v>26</v>
      </c>
      <c r="M10" s="9" t="s">
        <v>54</v>
      </c>
    </row>
    <row r="11" spans="1:13" ht="12.75">
      <c r="A11" s="9"/>
      <c r="B11" s="9"/>
      <c r="C11" s="10" t="s">
        <v>6</v>
      </c>
      <c r="D11" s="9" t="s">
        <v>21</v>
      </c>
      <c r="E11" s="9" t="s">
        <v>23</v>
      </c>
      <c r="F11" s="9" t="s">
        <v>25</v>
      </c>
      <c r="G11" s="306"/>
      <c r="H11" s="9" t="s">
        <v>21</v>
      </c>
      <c r="I11" s="9" t="s">
        <v>23</v>
      </c>
      <c r="J11" s="9" t="s">
        <v>25</v>
      </c>
      <c r="K11" s="306"/>
      <c r="L11" s="306"/>
      <c r="M11" s="9"/>
    </row>
    <row r="12" spans="1:13" s="11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ht="2.2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3.5" customHeight="1">
      <c r="A14" s="181">
        <v>1</v>
      </c>
      <c r="B14" s="182" t="s">
        <v>113</v>
      </c>
      <c r="C14" s="183">
        <v>1819729000</v>
      </c>
      <c r="D14" s="185">
        <v>199207836</v>
      </c>
      <c r="E14" s="184">
        <v>78524526</v>
      </c>
      <c r="F14" s="185">
        <f>SUM(D14:E14)</f>
        <v>277732362</v>
      </c>
      <c r="G14" s="285">
        <f>F14/C14*100</f>
        <v>15.262292462229265</v>
      </c>
      <c r="H14" s="185">
        <v>199207836</v>
      </c>
      <c r="I14" s="184">
        <v>78524526</v>
      </c>
      <c r="J14" s="185">
        <f>SUM(H14:I14)</f>
        <v>277732362</v>
      </c>
      <c r="K14" s="185">
        <f>J14/C14*100</f>
        <v>15.262292462229265</v>
      </c>
      <c r="L14" s="185"/>
      <c r="M14" s="185">
        <f>SUM(C14-F14)</f>
        <v>1541996638</v>
      </c>
    </row>
    <row r="15" spans="1:13" ht="15.75" customHeight="1">
      <c r="A15" s="186"/>
      <c r="B15" s="187" t="s">
        <v>114</v>
      </c>
      <c r="C15" s="188"/>
      <c r="D15" s="189"/>
      <c r="E15" s="189"/>
      <c r="F15" s="178"/>
      <c r="G15" s="286"/>
      <c r="H15" s="189"/>
      <c r="I15" s="189"/>
      <c r="J15" s="178"/>
      <c r="K15" s="201"/>
      <c r="L15" s="178"/>
      <c r="M15" s="178"/>
    </row>
    <row r="16" spans="1:13" ht="13.5" customHeight="1">
      <c r="A16" s="108">
        <v>2</v>
      </c>
      <c r="B16" s="109" t="s">
        <v>115</v>
      </c>
      <c r="C16" s="14">
        <v>4000000</v>
      </c>
      <c r="D16" s="15">
        <v>1000000</v>
      </c>
      <c r="E16" s="2">
        <v>0</v>
      </c>
      <c r="F16" s="16">
        <f>SUM(D16:E16)</f>
        <v>1000000</v>
      </c>
      <c r="G16" s="285">
        <f>F16/C16*100</f>
        <v>25</v>
      </c>
      <c r="H16" s="15">
        <v>1000000</v>
      </c>
      <c r="I16" s="2">
        <v>0</v>
      </c>
      <c r="J16" s="16">
        <f>SUM(H16:I16)</f>
        <v>1000000</v>
      </c>
      <c r="K16" s="185">
        <f>J16/C16*100</f>
        <v>25</v>
      </c>
      <c r="L16" s="16"/>
      <c r="M16" s="16">
        <f>SUM(C16-F16)</f>
        <v>3000000</v>
      </c>
    </row>
    <row r="17" spans="1:13" ht="16.5" customHeight="1">
      <c r="A17" s="186"/>
      <c r="B17" s="187" t="s">
        <v>116</v>
      </c>
      <c r="C17" s="190"/>
      <c r="D17" s="189"/>
      <c r="F17" s="178"/>
      <c r="G17" s="286"/>
      <c r="H17" s="189"/>
      <c r="J17" s="178"/>
      <c r="K17" s="201"/>
      <c r="L17" s="178"/>
      <c r="M17" s="178"/>
    </row>
    <row r="18" spans="1:13" ht="13.5" customHeight="1">
      <c r="A18" s="108">
        <v>3</v>
      </c>
      <c r="B18" s="109" t="s">
        <v>117</v>
      </c>
      <c r="C18" s="14">
        <v>31131300</v>
      </c>
      <c r="D18" s="15">
        <v>2994300</v>
      </c>
      <c r="E18" s="184">
        <v>4368800</v>
      </c>
      <c r="F18" s="16">
        <f>SUM(D18:E18)</f>
        <v>7363100</v>
      </c>
      <c r="G18" s="285">
        <f>F18/C18*100</f>
        <v>23.651758840780822</v>
      </c>
      <c r="H18" s="15">
        <v>2994300</v>
      </c>
      <c r="I18" s="184">
        <v>4368800</v>
      </c>
      <c r="J18" s="16">
        <f>SUM(H18:I18)</f>
        <v>7363100</v>
      </c>
      <c r="K18" s="185">
        <f>J18/C18*100</f>
        <v>23.651758840780822</v>
      </c>
      <c r="L18" s="16"/>
      <c r="M18" s="16">
        <f>SUM(C18-F18)</f>
        <v>23768200</v>
      </c>
    </row>
    <row r="19" spans="1:13" ht="15" customHeight="1">
      <c r="A19" s="186"/>
      <c r="B19" s="187" t="s">
        <v>118</v>
      </c>
      <c r="C19" s="188"/>
      <c r="D19" s="189"/>
      <c r="E19" s="189"/>
      <c r="F19" s="178"/>
      <c r="G19" s="286"/>
      <c r="H19" s="189"/>
      <c r="I19" s="189"/>
      <c r="J19" s="178"/>
      <c r="K19" s="201"/>
      <c r="L19" s="178"/>
      <c r="M19" s="178"/>
    </row>
    <row r="20" spans="1:13" ht="13.5" customHeight="1">
      <c r="A20" s="108">
        <v>4</v>
      </c>
      <c r="B20" s="114" t="s">
        <v>109</v>
      </c>
      <c r="C20" s="14">
        <v>2099000</v>
      </c>
      <c r="D20" s="15">
        <v>0</v>
      </c>
      <c r="E20" s="15">
        <v>1000000</v>
      </c>
      <c r="F20" s="16">
        <f>SUM(D20:E20)</f>
        <v>1000000</v>
      </c>
      <c r="G20" s="285">
        <f>F20/C20*100</f>
        <v>47.641734159123395</v>
      </c>
      <c r="H20" s="15">
        <v>0</v>
      </c>
      <c r="I20" s="15">
        <v>1000000</v>
      </c>
      <c r="J20" s="16">
        <f>SUM(H20:I20)</f>
        <v>1000000</v>
      </c>
      <c r="K20" s="185">
        <f>J20/C20*100</f>
        <v>47.641734159123395</v>
      </c>
      <c r="L20" s="16"/>
      <c r="M20" s="16">
        <f>SUM(C20-F20)</f>
        <v>1099000</v>
      </c>
    </row>
    <row r="21" spans="1:13" ht="15" customHeight="1">
      <c r="A21" s="186"/>
      <c r="B21" s="187" t="s">
        <v>119</v>
      </c>
      <c r="C21" s="188"/>
      <c r="D21" s="189"/>
      <c r="E21" s="189"/>
      <c r="F21" s="178"/>
      <c r="G21" s="286"/>
      <c r="H21" s="189"/>
      <c r="I21" s="189"/>
      <c r="J21" s="178"/>
      <c r="K21" s="201"/>
      <c r="L21" s="178"/>
      <c r="M21" s="178"/>
    </row>
    <row r="22" spans="1:13" ht="26.25" customHeight="1" hidden="1">
      <c r="A22" s="108">
        <v>5</v>
      </c>
      <c r="B22" s="191" t="s">
        <v>98</v>
      </c>
      <c r="C22" s="26">
        <v>0</v>
      </c>
      <c r="D22" s="15">
        <v>0</v>
      </c>
      <c r="E22" s="15">
        <v>1331340</v>
      </c>
      <c r="F22" s="16">
        <f>SUM(D22:E22)</f>
        <v>1331340</v>
      </c>
      <c r="G22" s="287">
        <v>0</v>
      </c>
      <c r="H22" s="15">
        <v>0</v>
      </c>
      <c r="I22" s="15">
        <v>1331340</v>
      </c>
      <c r="J22" s="16">
        <f>SUM(H22:I22)</f>
        <v>1331340</v>
      </c>
      <c r="K22" s="202">
        <v>0</v>
      </c>
      <c r="L22" s="19"/>
      <c r="M22" s="19">
        <f>SUM(C22-F22)</f>
        <v>-1331340</v>
      </c>
    </row>
    <row r="23" spans="1:13" ht="13.5" customHeight="1" hidden="1">
      <c r="A23" s="110"/>
      <c r="B23" s="111" t="s">
        <v>31</v>
      </c>
      <c r="C23" s="17"/>
      <c r="D23" s="18"/>
      <c r="E23" s="189"/>
      <c r="F23" s="16"/>
      <c r="G23" s="287"/>
      <c r="H23" s="18"/>
      <c r="I23" s="189"/>
      <c r="J23" s="16"/>
      <c r="K23" s="202"/>
      <c r="L23" s="16"/>
      <c r="M23" s="19"/>
    </row>
    <row r="24" spans="1:13" ht="16.5" customHeight="1">
      <c r="A24" s="112">
        <v>5</v>
      </c>
      <c r="B24" s="109" t="s">
        <v>120</v>
      </c>
      <c r="C24" s="14">
        <v>17083800</v>
      </c>
      <c r="D24" s="15">
        <v>394680</v>
      </c>
      <c r="E24" s="15">
        <v>1331340</v>
      </c>
      <c r="F24" s="21">
        <f>SUM(D24:E24)</f>
        <v>1726020</v>
      </c>
      <c r="G24" s="285">
        <f>F24/C24*100</f>
        <v>10.103255715941419</v>
      </c>
      <c r="H24" s="15">
        <v>394680</v>
      </c>
      <c r="I24" s="15">
        <v>1331340</v>
      </c>
      <c r="J24" s="21">
        <f>SUM(H24:I24)</f>
        <v>1726020</v>
      </c>
      <c r="K24" s="185">
        <f>J24/C24*100</f>
        <v>10.103255715941419</v>
      </c>
      <c r="L24" s="16"/>
      <c r="M24" s="16">
        <f>SUM(C24-F24)</f>
        <v>15357780</v>
      </c>
    </row>
    <row r="25" spans="1:13" ht="15.75" customHeight="1">
      <c r="A25" s="186"/>
      <c r="B25" s="187" t="s">
        <v>121</v>
      </c>
      <c r="C25" s="188"/>
      <c r="D25" s="189"/>
      <c r="E25" s="18"/>
      <c r="F25" s="178"/>
      <c r="G25" s="286"/>
      <c r="H25" s="189"/>
      <c r="I25" s="18"/>
      <c r="J25" s="178"/>
      <c r="K25" s="201"/>
      <c r="L25" s="178"/>
      <c r="M25" s="178"/>
    </row>
    <row r="26" spans="1:13" ht="13.5" customHeight="1">
      <c r="A26" s="108">
        <v>6</v>
      </c>
      <c r="B26" s="109" t="s">
        <v>122</v>
      </c>
      <c r="C26" s="14">
        <v>14622400</v>
      </c>
      <c r="D26" s="15">
        <v>0</v>
      </c>
      <c r="E26" s="15">
        <v>1895000</v>
      </c>
      <c r="F26" s="16">
        <f>SUM(D26:E26)</f>
        <v>1895000</v>
      </c>
      <c r="G26" s="285">
        <f>F26/C26*100</f>
        <v>12.95956888062151</v>
      </c>
      <c r="H26" s="15">
        <v>0</v>
      </c>
      <c r="I26" s="15">
        <v>1895000</v>
      </c>
      <c r="J26" s="16">
        <f>SUM(H26:I26)</f>
        <v>1895000</v>
      </c>
      <c r="K26" s="185">
        <f>J26/C26*100</f>
        <v>12.95956888062151</v>
      </c>
      <c r="L26" s="16"/>
      <c r="M26" s="16">
        <f>SUM(C26-F26)</f>
        <v>12727400</v>
      </c>
    </row>
    <row r="27" spans="1:13" ht="15" customHeight="1">
      <c r="A27" s="186"/>
      <c r="B27" s="187" t="s">
        <v>123</v>
      </c>
      <c r="C27" s="188"/>
      <c r="D27" s="189"/>
      <c r="E27" s="189"/>
      <c r="F27" s="178"/>
      <c r="G27" s="286"/>
      <c r="H27" s="189"/>
      <c r="I27" s="189"/>
      <c r="J27" s="178"/>
      <c r="K27" s="201"/>
      <c r="L27" s="178"/>
      <c r="M27" s="178"/>
    </row>
    <row r="28" spans="1:13" ht="13.5" customHeight="1">
      <c r="A28" s="108">
        <v>7</v>
      </c>
      <c r="B28" s="2" t="s">
        <v>124</v>
      </c>
      <c r="C28" s="14">
        <v>1920000</v>
      </c>
      <c r="D28" s="15">
        <v>160000</v>
      </c>
      <c r="E28" s="15">
        <v>160000</v>
      </c>
      <c r="F28" s="16">
        <f>SUM(D28:E28)</f>
        <v>320000</v>
      </c>
      <c r="G28" s="285">
        <f>F28/C28*100</f>
        <v>16.666666666666664</v>
      </c>
      <c r="H28" s="15">
        <v>160000</v>
      </c>
      <c r="I28" s="15">
        <v>160000</v>
      </c>
      <c r="J28" s="16">
        <f>SUM(H28:I28)</f>
        <v>320000</v>
      </c>
      <c r="K28" s="185">
        <f>J28/C28*100</f>
        <v>16.666666666666664</v>
      </c>
      <c r="L28" s="16"/>
      <c r="M28" s="16">
        <f>SUM(C28-F28)</f>
        <v>1600000</v>
      </c>
    </row>
    <row r="29" spans="1:13" ht="17.25" customHeight="1">
      <c r="A29" s="186"/>
      <c r="B29" s="187" t="s">
        <v>125</v>
      </c>
      <c r="C29" s="188"/>
      <c r="D29" s="189"/>
      <c r="E29" s="189"/>
      <c r="F29" s="178"/>
      <c r="G29" s="286"/>
      <c r="H29" s="189"/>
      <c r="I29" s="189"/>
      <c r="J29" s="178"/>
      <c r="K29" s="201"/>
      <c r="L29" s="178"/>
      <c r="M29" s="178"/>
    </row>
    <row r="30" spans="1:13" ht="13.5" customHeight="1">
      <c r="A30" s="108">
        <v>8</v>
      </c>
      <c r="B30" s="109" t="s">
        <v>126</v>
      </c>
      <c r="C30" s="14">
        <v>41000000</v>
      </c>
      <c r="D30" s="15">
        <v>2550000</v>
      </c>
      <c r="E30" s="15">
        <v>2550000</v>
      </c>
      <c r="F30" s="16">
        <f>SUM(D30:E30)</f>
        <v>5100000</v>
      </c>
      <c r="G30" s="285">
        <f>F30/C30*100</f>
        <v>12.439024390243903</v>
      </c>
      <c r="H30" s="15">
        <v>2550000</v>
      </c>
      <c r="I30" s="15">
        <v>2550000</v>
      </c>
      <c r="J30" s="16">
        <f>SUM(H30:I30)</f>
        <v>5100000</v>
      </c>
      <c r="K30" s="185">
        <f>J30/C30*100</f>
        <v>12.439024390243903</v>
      </c>
      <c r="L30" s="16"/>
      <c r="M30" s="16">
        <f>SUM(C30-F30)</f>
        <v>35900000</v>
      </c>
    </row>
    <row r="31" spans="1:13" ht="17.25" customHeight="1">
      <c r="A31" s="186"/>
      <c r="B31" s="187" t="s">
        <v>127</v>
      </c>
      <c r="C31" s="188"/>
      <c r="D31" s="189"/>
      <c r="E31" s="189"/>
      <c r="F31" s="178"/>
      <c r="G31" s="286"/>
      <c r="H31" s="189"/>
      <c r="I31" s="189"/>
      <c r="J31" s="178"/>
      <c r="K31" s="201"/>
      <c r="L31" s="178"/>
      <c r="M31" s="178"/>
    </row>
    <row r="32" spans="1:13" ht="13.5" customHeight="1">
      <c r="A32" s="108">
        <v>9</v>
      </c>
      <c r="B32" s="109" t="s">
        <v>128</v>
      </c>
      <c r="C32" s="14">
        <v>20802500</v>
      </c>
      <c r="D32" s="15">
        <v>0</v>
      </c>
      <c r="E32" s="15">
        <v>20800000</v>
      </c>
      <c r="F32" s="16">
        <f>SUM(D32:E32)</f>
        <v>20800000</v>
      </c>
      <c r="G32" s="285">
        <f>F32/C32*100</f>
        <v>99.98798221367625</v>
      </c>
      <c r="H32" s="15">
        <v>0</v>
      </c>
      <c r="I32" s="15">
        <v>20800000</v>
      </c>
      <c r="J32" s="16">
        <f>SUM(H32:I32)</f>
        <v>20800000</v>
      </c>
      <c r="K32" s="185">
        <f>J32/C32*100</f>
        <v>99.98798221367625</v>
      </c>
      <c r="L32" s="16"/>
      <c r="M32" s="16">
        <f>SUM(C32-F32)</f>
        <v>2500</v>
      </c>
    </row>
    <row r="33" spans="1:13" ht="17.25" customHeight="1">
      <c r="A33" s="186"/>
      <c r="B33" s="187" t="s">
        <v>129</v>
      </c>
      <c r="C33" s="188"/>
      <c r="D33" s="189"/>
      <c r="E33" s="189"/>
      <c r="F33" s="178"/>
      <c r="G33" s="286"/>
      <c r="H33" s="189"/>
      <c r="I33" s="189"/>
      <c r="J33" s="178"/>
      <c r="K33" s="201"/>
      <c r="L33" s="178"/>
      <c r="M33" s="178"/>
    </row>
    <row r="34" spans="1:13" ht="15" customHeight="1">
      <c r="A34" s="108">
        <v>10</v>
      </c>
      <c r="B34" s="109" t="s">
        <v>151</v>
      </c>
      <c r="C34" s="14">
        <v>27600000</v>
      </c>
      <c r="D34" s="15">
        <v>5422184</v>
      </c>
      <c r="E34" s="15">
        <v>2363032</v>
      </c>
      <c r="F34" s="16">
        <f>SUM(D34:E34)</f>
        <v>7785216</v>
      </c>
      <c r="G34" s="285">
        <f>F34/C34*100</f>
        <v>28.207304347826085</v>
      </c>
      <c r="H34" s="15">
        <v>5422184</v>
      </c>
      <c r="I34" s="15">
        <v>2363032</v>
      </c>
      <c r="J34" s="16">
        <f>SUM(H34:I34)</f>
        <v>7785216</v>
      </c>
      <c r="K34" s="185">
        <f>J34/C34*100</f>
        <v>28.207304347826085</v>
      </c>
      <c r="L34" s="16"/>
      <c r="M34" s="16">
        <f>SUM(C34-F34)</f>
        <v>19814784</v>
      </c>
    </row>
    <row r="35" spans="1:13" ht="15" customHeight="1">
      <c r="A35" s="110"/>
      <c r="B35" s="187" t="s">
        <v>130</v>
      </c>
      <c r="C35" s="188"/>
      <c r="D35" s="189"/>
      <c r="E35" s="189"/>
      <c r="F35" s="178"/>
      <c r="G35" s="286"/>
      <c r="H35" s="189"/>
      <c r="I35" s="189"/>
      <c r="J35" s="178"/>
      <c r="K35" s="201"/>
      <c r="L35" s="178"/>
      <c r="M35" s="178"/>
    </row>
    <row r="36" spans="1:13" ht="13.5" customHeight="1" hidden="1">
      <c r="A36" s="112">
        <v>11</v>
      </c>
      <c r="B36" s="109" t="s">
        <v>56</v>
      </c>
      <c r="C36" s="14">
        <v>0</v>
      </c>
      <c r="D36" s="15">
        <v>0</v>
      </c>
      <c r="E36" s="15">
        <v>0</v>
      </c>
      <c r="F36" s="16">
        <f>SUM(D36:E36)</f>
        <v>0</v>
      </c>
      <c r="G36" s="287">
        <v>0</v>
      </c>
      <c r="H36" s="15">
        <v>0</v>
      </c>
      <c r="I36" s="15">
        <v>0</v>
      </c>
      <c r="J36" s="16">
        <f>SUM(H36:I36)</f>
        <v>0</v>
      </c>
      <c r="K36" s="202">
        <v>0</v>
      </c>
      <c r="L36" s="16"/>
      <c r="M36" s="16">
        <f>SUM(C36-F36)</f>
        <v>0</v>
      </c>
    </row>
    <row r="37" spans="1:13" ht="13.5" customHeight="1" hidden="1">
      <c r="A37" s="186"/>
      <c r="B37" s="111" t="s">
        <v>55</v>
      </c>
      <c r="C37" s="17"/>
      <c r="D37" s="18"/>
      <c r="E37" s="18"/>
      <c r="F37" s="16"/>
      <c r="G37" s="288"/>
      <c r="H37" s="18"/>
      <c r="I37" s="18"/>
      <c r="J37" s="16"/>
      <c r="K37" s="203"/>
      <c r="L37" s="19"/>
      <c r="M37" s="19"/>
    </row>
    <row r="38" spans="1:13" ht="13.5" customHeight="1">
      <c r="A38" s="108">
        <v>11</v>
      </c>
      <c r="B38" s="113" t="s">
        <v>131</v>
      </c>
      <c r="C38" s="22">
        <v>162720000</v>
      </c>
      <c r="D38" s="20">
        <v>13560000</v>
      </c>
      <c r="E38" s="20">
        <v>13560000</v>
      </c>
      <c r="F38" s="16">
        <f>SUM(D38:E38)</f>
        <v>27120000</v>
      </c>
      <c r="G38" s="285">
        <f>F38/C38*100</f>
        <v>16.666666666666664</v>
      </c>
      <c r="H38" s="20">
        <v>13560000</v>
      </c>
      <c r="I38" s="20">
        <v>13560000</v>
      </c>
      <c r="J38" s="16">
        <f>SUM(H38:I38)</f>
        <v>27120000</v>
      </c>
      <c r="K38" s="185">
        <f>J38/C38*100</f>
        <v>16.666666666666664</v>
      </c>
      <c r="L38" s="21"/>
      <c r="M38" s="16">
        <f>SUM(C38-F38)</f>
        <v>135600000</v>
      </c>
    </row>
    <row r="39" spans="1:13" ht="17.25" customHeight="1">
      <c r="A39" s="186"/>
      <c r="B39" s="187" t="s">
        <v>132</v>
      </c>
      <c r="C39" s="188"/>
      <c r="D39" s="189"/>
      <c r="E39" s="189"/>
      <c r="F39" s="178"/>
      <c r="G39" s="286"/>
      <c r="H39" s="189"/>
      <c r="I39" s="189"/>
      <c r="J39" s="178"/>
      <c r="K39" s="201"/>
      <c r="L39" s="178"/>
      <c r="M39" s="178"/>
    </row>
    <row r="40" spans="1:13" ht="27.75" customHeight="1">
      <c r="A40" s="181">
        <v>12</v>
      </c>
      <c r="B40" s="198" t="s">
        <v>133</v>
      </c>
      <c r="C40" s="199">
        <v>24241000</v>
      </c>
      <c r="D40" s="15">
        <v>1500000</v>
      </c>
      <c r="E40" s="15">
        <v>1500000</v>
      </c>
      <c r="F40" s="16">
        <f>SUM(D40:E40)</f>
        <v>3000000</v>
      </c>
      <c r="G40" s="285">
        <f>F40/C40*100</f>
        <v>12.375727073965596</v>
      </c>
      <c r="H40" s="15">
        <v>1500000</v>
      </c>
      <c r="I40" s="15">
        <v>1500000</v>
      </c>
      <c r="J40" s="16">
        <f>SUM(H40:I40)</f>
        <v>3000000</v>
      </c>
      <c r="K40" s="185">
        <f>J40/C40*100</f>
        <v>12.375727073965596</v>
      </c>
      <c r="L40" s="16"/>
      <c r="M40" s="16">
        <f>SUM(C40-F40)</f>
        <v>21241000</v>
      </c>
    </row>
    <row r="41" spans="1:13" ht="17.25" customHeight="1">
      <c r="A41" s="186"/>
      <c r="B41" s="187" t="s">
        <v>134</v>
      </c>
      <c r="C41" s="188"/>
      <c r="D41" s="189"/>
      <c r="E41" s="189"/>
      <c r="F41" s="178"/>
      <c r="G41" s="286"/>
      <c r="H41" s="189"/>
      <c r="I41" s="189"/>
      <c r="J41" s="178"/>
      <c r="K41" s="201"/>
      <c r="L41" s="178"/>
      <c r="M41" s="178"/>
    </row>
    <row r="42" spans="1:13" s="25" customFormat="1" ht="27.75" customHeight="1" hidden="1">
      <c r="A42" s="108">
        <v>13</v>
      </c>
      <c r="B42" s="23" t="s">
        <v>57</v>
      </c>
      <c r="C42" s="24">
        <v>0</v>
      </c>
      <c r="D42" s="15">
        <v>0</v>
      </c>
      <c r="E42" s="15">
        <v>0</v>
      </c>
      <c r="F42" s="16">
        <f>SUM(D42:E42)</f>
        <v>0</v>
      </c>
      <c r="G42" s="287">
        <v>0</v>
      </c>
      <c r="H42" s="15">
        <v>0</v>
      </c>
      <c r="I42" s="15">
        <v>0</v>
      </c>
      <c r="J42" s="16">
        <f>SUM(H42:I42)</f>
        <v>0</v>
      </c>
      <c r="K42" s="202">
        <v>0</v>
      </c>
      <c r="L42" s="16"/>
      <c r="M42" s="16">
        <f>SUM(C42-F42)</f>
        <v>0</v>
      </c>
    </row>
    <row r="43" spans="1:13" ht="13.5" customHeight="1" hidden="1">
      <c r="A43" s="186"/>
      <c r="B43" s="111" t="s">
        <v>58</v>
      </c>
      <c r="C43" s="26"/>
      <c r="D43" s="18"/>
      <c r="E43" s="18"/>
      <c r="F43" s="19"/>
      <c r="G43" s="288"/>
      <c r="H43" s="18"/>
      <c r="I43" s="18"/>
      <c r="J43" s="19"/>
      <c r="K43" s="203"/>
      <c r="L43" s="19"/>
      <c r="M43" s="19"/>
    </row>
    <row r="44" spans="1:13" s="25" customFormat="1" ht="15" customHeight="1" hidden="1">
      <c r="A44" s="108">
        <v>14</v>
      </c>
      <c r="B44" s="23" t="s">
        <v>110</v>
      </c>
      <c r="C44" s="24">
        <v>0</v>
      </c>
      <c r="D44" s="20">
        <v>0</v>
      </c>
      <c r="E44" s="15">
        <v>0</v>
      </c>
      <c r="F44" s="21">
        <f>SUM(D44:E44)</f>
        <v>0</v>
      </c>
      <c r="G44" s="289">
        <v>0</v>
      </c>
      <c r="H44" s="20">
        <v>0</v>
      </c>
      <c r="I44" s="15">
        <v>0</v>
      </c>
      <c r="J44" s="21">
        <f>SUM(H44:I44)</f>
        <v>0</v>
      </c>
      <c r="K44" s="202">
        <v>0</v>
      </c>
      <c r="L44" s="21"/>
      <c r="M44" s="16">
        <f>SUM(C44-F44)</f>
        <v>0</v>
      </c>
    </row>
    <row r="45" spans="1:13" ht="13.5" customHeight="1" hidden="1">
      <c r="A45" s="186"/>
      <c r="B45" s="187" t="s">
        <v>111</v>
      </c>
      <c r="C45" s="192"/>
      <c r="D45" s="189"/>
      <c r="E45" s="189"/>
      <c r="F45" s="178"/>
      <c r="G45" s="286"/>
      <c r="H45" s="189"/>
      <c r="I45" s="189"/>
      <c r="J45" s="178"/>
      <c r="K45" s="201"/>
      <c r="L45" s="178"/>
      <c r="M45" s="178"/>
    </row>
    <row r="46" spans="1:13" s="25" customFormat="1" ht="17.25" customHeight="1">
      <c r="A46" s="108">
        <v>13</v>
      </c>
      <c r="B46" s="23" t="s">
        <v>135</v>
      </c>
      <c r="C46" s="24">
        <v>7830000</v>
      </c>
      <c r="D46" s="15">
        <v>0</v>
      </c>
      <c r="E46" s="15">
        <v>1420000</v>
      </c>
      <c r="F46" s="16">
        <f>SUM(D46:E46)</f>
        <v>1420000</v>
      </c>
      <c r="G46" s="285">
        <f>F46/C46*100</f>
        <v>18.135376756066414</v>
      </c>
      <c r="H46" s="15">
        <v>0</v>
      </c>
      <c r="I46" s="15">
        <v>1420000</v>
      </c>
      <c r="J46" s="16">
        <f>SUM(H46:I46)</f>
        <v>1420000</v>
      </c>
      <c r="K46" s="185">
        <f>J46/C46*100</f>
        <v>18.135376756066414</v>
      </c>
      <c r="L46" s="16"/>
      <c r="M46" s="16">
        <f>SUM(C46-F46)</f>
        <v>6410000</v>
      </c>
    </row>
    <row r="47" spans="1:13" ht="16.5" customHeight="1">
      <c r="A47" s="186"/>
      <c r="B47" s="187" t="s">
        <v>136</v>
      </c>
      <c r="C47" s="188"/>
      <c r="D47" s="189"/>
      <c r="E47" s="189"/>
      <c r="F47" s="178"/>
      <c r="G47" s="286"/>
      <c r="H47" s="189"/>
      <c r="I47" s="189"/>
      <c r="J47" s="178"/>
      <c r="K47" s="201"/>
      <c r="L47" s="178"/>
      <c r="M47" s="178"/>
    </row>
    <row r="48" spans="1:13" ht="27" customHeight="1">
      <c r="A48" s="108">
        <v>14</v>
      </c>
      <c r="B48" s="23" t="s">
        <v>137</v>
      </c>
      <c r="C48" s="199">
        <v>3000000</v>
      </c>
      <c r="D48" s="15">
        <v>0</v>
      </c>
      <c r="E48" s="15">
        <v>632000</v>
      </c>
      <c r="F48" s="16">
        <f>SUM(D48:E48)</f>
        <v>632000</v>
      </c>
      <c r="G48" s="285">
        <f>F48/C48*100</f>
        <v>21.066666666666666</v>
      </c>
      <c r="H48" s="15">
        <v>0</v>
      </c>
      <c r="I48" s="15">
        <v>632000</v>
      </c>
      <c r="J48" s="16">
        <f>SUM(H48:I48)</f>
        <v>632000</v>
      </c>
      <c r="K48" s="185">
        <f>J48/C48*100</f>
        <v>21.066666666666666</v>
      </c>
      <c r="L48" s="16"/>
      <c r="M48" s="16">
        <f>SUM(C48-F48)</f>
        <v>2368000</v>
      </c>
    </row>
    <row r="49" spans="1:13" ht="17.25" customHeight="1">
      <c r="A49" s="186"/>
      <c r="B49" s="187" t="s">
        <v>138</v>
      </c>
      <c r="C49" s="188"/>
      <c r="D49" s="189"/>
      <c r="E49" s="189"/>
      <c r="F49" s="178"/>
      <c r="G49" s="286"/>
      <c r="H49" s="189"/>
      <c r="I49" s="189"/>
      <c r="J49" s="178"/>
      <c r="K49" s="201"/>
      <c r="L49" s="178"/>
      <c r="M49" s="178"/>
    </row>
    <row r="50" spans="1:13" ht="25.5" customHeight="1">
      <c r="A50" s="108">
        <v>15</v>
      </c>
      <c r="B50" s="198" t="s">
        <v>139</v>
      </c>
      <c r="C50" s="14">
        <v>5100000</v>
      </c>
      <c r="D50" s="20">
        <v>0</v>
      </c>
      <c r="E50" s="20">
        <v>5100000</v>
      </c>
      <c r="F50" s="21">
        <f>SUM(D50:E50)</f>
        <v>5100000</v>
      </c>
      <c r="G50" s="285">
        <f>F50/C50*100</f>
        <v>100</v>
      </c>
      <c r="H50" s="20">
        <v>0</v>
      </c>
      <c r="I50" s="20">
        <v>5100000</v>
      </c>
      <c r="J50" s="21">
        <f>SUM(H50:I50)</f>
        <v>5100000</v>
      </c>
      <c r="K50" s="185">
        <f>J50/C50*100</f>
        <v>100</v>
      </c>
      <c r="L50" s="21"/>
      <c r="M50" s="16">
        <f>SUM(C50-F50)</f>
        <v>0</v>
      </c>
    </row>
    <row r="51" spans="1:13" ht="18" customHeight="1">
      <c r="A51" s="186"/>
      <c r="B51" s="187" t="s">
        <v>140</v>
      </c>
      <c r="C51" s="188"/>
      <c r="D51" s="189"/>
      <c r="E51" s="189"/>
      <c r="F51" s="178"/>
      <c r="G51" s="286"/>
      <c r="H51" s="189"/>
      <c r="I51" s="189"/>
      <c r="J51" s="178"/>
      <c r="K51" s="201"/>
      <c r="L51" s="178"/>
      <c r="M51" s="178"/>
    </row>
    <row r="52" spans="1:13" s="25" customFormat="1" ht="14.25" customHeight="1" hidden="1">
      <c r="A52" s="108">
        <v>17</v>
      </c>
      <c r="B52" s="23" t="s">
        <v>93</v>
      </c>
      <c r="C52" s="24">
        <v>0</v>
      </c>
      <c r="D52" s="15">
        <v>0</v>
      </c>
      <c r="E52" s="15">
        <v>0</v>
      </c>
      <c r="F52" s="16">
        <f>SUM(D52:E52)</f>
        <v>0</v>
      </c>
      <c r="G52" s="287">
        <v>0</v>
      </c>
      <c r="H52" s="15">
        <v>0</v>
      </c>
      <c r="I52" s="15">
        <v>0</v>
      </c>
      <c r="J52" s="16">
        <f>SUM(H52:I52)</f>
        <v>0</v>
      </c>
      <c r="K52" s="202">
        <v>0</v>
      </c>
      <c r="L52" s="16"/>
      <c r="M52" s="16">
        <f>SUM(C52-F52)</f>
        <v>0</v>
      </c>
    </row>
    <row r="53" spans="1:13" ht="13.5" customHeight="1" hidden="1">
      <c r="A53" s="186"/>
      <c r="B53" s="111" t="s">
        <v>94</v>
      </c>
      <c r="C53" s="17"/>
      <c r="D53" s="18"/>
      <c r="E53" s="18"/>
      <c r="F53" s="19"/>
      <c r="G53" s="288"/>
      <c r="H53" s="18"/>
      <c r="I53" s="18"/>
      <c r="J53" s="19"/>
      <c r="K53" s="203"/>
      <c r="L53" s="19"/>
      <c r="M53" s="19"/>
    </row>
    <row r="54" spans="1:13" s="25" customFormat="1" ht="14.25" customHeight="1">
      <c r="A54" s="108">
        <v>16</v>
      </c>
      <c r="B54" s="23" t="s">
        <v>141</v>
      </c>
      <c r="C54" s="27">
        <v>5100000</v>
      </c>
      <c r="D54" s="20">
        <v>0</v>
      </c>
      <c r="E54" s="20">
        <v>5100000</v>
      </c>
      <c r="F54" s="21">
        <f>SUM(D54:E54)</f>
        <v>5100000</v>
      </c>
      <c r="G54" s="285">
        <f>F54/C54*100</f>
        <v>100</v>
      </c>
      <c r="H54" s="20">
        <v>0</v>
      </c>
      <c r="I54" s="20">
        <v>5100000</v>
      </c>
      <c r="J54" s="21">
        <f>SUM(H54:I54)</f>
        <v>5100000</v>
      </c>
      <c r="K54" s="185">
        <f>J54/C54*100</f>
        <v>100</v>
      </c>
      <c r="L54" s="21"/>
      <c r="M54" s="16">
        <f>SUM(C54-F54)</f>
        <v>0</v>
      </c>
    </row>
    <row r="55" spans="1:13" ht="17.25" customHeight="1">
      <c r="A55" s="186"/>
      <c r="B55" s="187" t="s">
        <v>142</v>
      </c>
      <c r="C55" s="188"/>
      <c r="D55" s="189"/>
      <c r="E55" s="189"/>
      <c r="F55" s="178"/>
      <c r="G55" s="286"/>
      <c r="H55" s="189"/>
      <c r="I55" s="189"/>
      <c r="J55" s="178"/>
      <c r="K55" s="201"/>
      <c r="L55" s="178"/>
      <c r="M55" s="178"/>
    </row>
    <row r="56" spans="1:13" ht="13.5" customHeight="1" hidden="1">
      <c r="A56" s="108">
        <v>19</v>
      </c>
      <c r="B56" s="23" t="s">
        <v>59</v>
      </c>
      <c r="C56" s="14">
        <v>0</v>
      </c>
      <c r="D56" s="15">
        <v>0</v>
      </c>
      <c r="E56" s="15">
        <v>0</v>
      </c>
      <c r="F56" s="16">
        <f>SUM(D56:E56)</f>
        <v>0</v>
      </c>
      <c r="G56" s="287">
        <v>0</v>
      </c>
      <c r="H56" s="15">
        <v>0</v>
      </c>
      <c r="I56" s="15">
        <v>0</v>
      </c>
      <c r="J56" s="16">
        <f>SUM(H56:I56)</f>
        <v>0</v>
      </c>
      <c r="K56" s="202">
        <v>0</v>
      </c>
      <c r="L56" s="16"/>
      <c r="M56" s="16">
        <f>SUM(C56-F56)</f>
        <v>0</v>
      </c>
    </row>
    <row r="57" spans="1:13" ht="13.5" customHeight="1" hidden="1">
      <c r="A57" s="110"/>
      <c r="B57" s="187" t="s">
        <v>95</v>
      </c>
      <c r="C57" s="188"/>
      <c r="D57" s="189"/>
      <c r="E57" s="189"/>
      <c r="F57" s="178"/>
      <c r="G57" s="286"/>
      <c r="H57" s="189"/>
      <c r="I57" s="189"/>
      <c r="J57" s="178"/>
      <c r="K57" s="201"/>
      <c r="L57" s="178"/>
      <c r="M57" s="178"/>
    </row>
    <row r="58" spans="1:13" ht="13.5" customHeight="1" hidden="1">
      <c r="A58" s="112">
        <v>20</v>
      </c>
      <c r="B58" s="23" t="s">
        <v>107</v>
      </c>
      <c r="C58" s="14">
        <v>0</v>
      </c>
      <c r="D58" s="15">
        <v>0</v>
      </c>
      <c r="E58" s="15">
        <v>0</v>
      </c>
      <c r="F58" s="16">
        <f>SUM(D58:E58)</f>
        <v>0</v>
      </c>
      <c r="G58" s="287">
        <v>0</v>
      </c>
      <c r="H58" s="15">
        <v>0</v>
      </c>
      <c r="I58" s="15">
        <v>0</v>
      </c>
      <c r="J58" s="16">
        <f>SUM(H58:I58)</f>
        <v>0</v>
      </c>
      <c r="K58" s="202">
        <v>0</v>
      </c>
      <c r="L58" s="16"/>
      <c r="M58" s="16">
        <f>SUM(C58-F58)</f>
        <v>0</v>
      </c>
    </row>
    <row r="59" spans="1:13" ht="13.5" customHeight="1" hidden="1">
      <c r="A59" s="110"/>
      <c r="B59" s="111" t="s">
        <v>108</v>
      </c>
      <c r="C59" s="17"/>
      <c r="D59" s="18"/>
      <c r="E59" s="18"/>
      <c r="F59" s="16"/>
      <c r="G59" s="288"/>
      <c r="H59" s="18"/>
      <c r="I59" s="18"/>
      <c r="J59" s="16"/>
      <c r="K59" s="203"/>
      <c r="L59" s="19"/>
      <c r="M59" s="19"/>
    </row>
    <row r="60" spans="1:13" ht="27.75" customHeight="1" hidden="1">
      <c r="A60" s="112">
        <v>19</v>
      </c>
      <c r="B60" s="23" t="s">
        <v>96</v>
      </c>
      <c r="C60" s="22">
        <v>0</v>
      </c>
      <c r="D60" s="20">
        <v>0</v>
      </c>
      <c r="E60" s="20">
        <v>0</v>
      </c>
      <c r="F60" s="21">
        <f>SUM(D60:E60)</f>
        <v>0</v>
      </c>
      <c r="G60" s="289">
        <v>0</v>
      </c>
      <c r="H60" s="20">
        <v>0</v>
      </c>
      <c r="I60" s="20">
        <v>0</v>
      </c>
      <c r="J60" s="21">
        <f>SUM(H60:I60)</f>
        <v>0</v>
      </c>
      <c r="K60" s="204">
        <v>0</v>
      </c>
      <c r="L60" s="21"/>
      <c r="M60" s="16">
        <f>SUM(C60-F60)</f>
        <v>0</v>
      </c>
    </row>
    <row r="61" spans="1:13" ht="13.5" customHeight="1" hidden="1">
      <c r="A61" s="186"/>
      <c r="B61" s="111" t="s">
        <v>97</v>
      </c>
      <c r="C61" s="17"/>
      <c r="D61" s="18"/>
      <c r="E61" s="18"/>
      <c r="F61" s="16"/>
      <c r="G61" s="288"/>
      <c r="H61" s="18"/>
      <c r="I61" s="18"/>
      <c r="J61" s="16"/>
      <c r="K61" s="203"/>
      <c r="L61" s="19"/>
      <c r="M61" s="19"/>
    </row>
    <row r="62" spans="1:13" ht="13.5" customHeight="1" hidden="1">
      <c r="A62" s="108">
        <v>20</v>
      </c>
      <c r="B62" s="23" t="s">
        <v>60</v>
      </c>
      <c r="C62" s="22">
        <v>0</v>
      </c>
      <c r="D62" s="20">
        <v>0</v>
      </c>
      <c r="E62" s="20">
        <v>0</v>
      </c>
      <c r="F62" s="21">
        <f>SUM(D62:E62)</f>
        <v>0</v>
      </c>
      <c r="G62" s="289">
        <v>0</v>
      </c>
      <c r="H62" s="20">
        <v>0</v>
      </c>
      <c r="I62" s="20">
        <v>0</v>
      </c>
      <c r="J62" s="21">
        <f>SUM(H62:I62)</f>
        <v>0</v>
      </c>
      <c r="K62" s="202">
        <v>0</v>
      </c>
      <c r="L62" s="21"/>
      <c r="M62" s="16">
        <f>SUM(C62-F62)</f>
        <v>0</v>
      </c>
    </row>
    <row r="63" spans="1:13" ht="13.5" customHeight="1" hidden="1">
      <c r="A63" s="186"/>
      <c r="B63" s="187" t="s">
        <v>99</v>
      </c>
      <c r="C63" s="188"/>
      <c r="D63" s="189"/>
      <c r="E63" s="189"/>
      <c r="F63" s="178"/>
      <c r="G63" s="286"/>
      <c r="H63" s="189"/>
      <c r="I63" s="189"/>
      <c r="J63" s="178"/>
      <c r="K63" s="201"/>
      <c r="L63" s="178"/>
      <c r="M63" s="178"/>
    </row>
    <row r="64" spans="1:13" ht="13.5" customHeight="1" hidden="1">
      <c r="A64" s="108">
        <v>21</v>
      </c>
      <c r="B64" s="109" t="s">
        <v>101</v>
      </c>
      <c r="C64" s="14">
        <v>0</v>
      </c>
      <c r="D64" s="15">
        <v>0</v>
      </c>
      <c r="E64" s="15">
        <v>0</v>
      </c>
      <c r="F64" s="16">
        <f>SUM(D64:E64)</f>
        <v>0</v>
      </c>
      <c r="G64" s="287">
        <v>0</v>
      </c>
      <c r="H64" s="15">
        <v>0</v>
      </c>
      <c r="I64" s="15">
        <v>0</v>
      </c>
      <c r="J64" s="16">
        <f>SUM(H64:I64)</f>
        <v>0</v>
      </c>
      <c r="K64" s="202">
        <v>0</v>
      </c>
      <c r="L64" s="16"/>
      <c r="M64" s="16">
        <f>SUM(C64-F64)</f>
        <v>0</v>
      </c>
    </row>
    <row r="65" spans="1:13" ht="13.5" customHeight="1" hidden="1">
      <c r="A65" s="186"/>
      <c r="B65" s="187" t="s">
        <v>103</v>
      </c>
      <c r="C65" s="188"/>
      <c r="D65" s="189"/>
      <c r="E65" s="189"/>
      <c r="F65" s="178"/>
      <c r="G65" s="286"/>
      <c r="H65" s="189"/>
      <c r="I65" s="189"/>
      <c r="J65" s="178"/>
      <c r="K65" s="201"/>
      <c r="L65" s="178"/>
      <c r="M65" s="178"/>
    </row>
    <row r="66" spans="1:13" ht="13.5" customHeight="1" hidden="1">
      <c r="A66" s="108">
        <v>22</v>
      </c>
      <c r="B66" s="109" t="s">
        <v>102</v>
      </c>
      <c r="C66" s="14">
        <v>0</v>
      </c>
      <c r="D66" s="15">
        <v>0</v>
      </c>
      <c r="E66" s="15">
        <v>0</v>
      </c>
      <c r="F66" s="16">
        <f>SUM(D66:E66)</f>
        <v>0</v>
      </c>
      <c r="G66" s="287">
        <v>0</v>
      </c>
      <c r="H66" s="15">
        <v>0</v>
      </c>
      <c r="I66" s="15">
        <v>0</v>
      </c>
      <c r="J66" s="16">
        <f>SUM(H66:I66)</f>
        <v>0</v>
      </c>
      <c r="K66" s="202">
        <v>0</v>
      </c>
      <c r="L66" s="16"/>
      <c r="M66" s="16">
        <f>SUM(C66-F66)</f>
        <v>0</v>
      </c>
    </row>
    <row r="67" spans="1:13" ht="13.5" customHeight="1" hidden="1">
      <c r="A67" s="186"/>
      <c r="B67" s="187" t="s">
        <v>104</v>
      </c>
      <c r="C67" s="188"/>
      <c r="D67" s="189"/>
      <c r="E67" s="189"/>
      <c r="F67" s="178"/>
      <c r="G67" s="286"/>
      <c r="H67" s="189"/>
      <c r="I67" s="189"/>
      <c r="J67" s="178"/>
      <c r="K67" s="201"/>
      <c r="L67" s="178"/>
      <c r="M67" s="178"/>
    </row>
    <row r="68" spans="1:13" ht="13.5" customHeight="1" hidden="1">
      <c r="A68" s="108">
        <v>23</v>
      </c>
      <c r="B68" s="115" t="s">
        <v>61</v>
      </c>
      <c r="C68" s="14">
        <v>0</v>
      </c>
      <c r="D68" s="15">
        <v>0</v>
      </c>
      <c r="E68" s="15">
        <v>0</v>
      </c>
      <c r="F68" s="16">
        <v>0</v>
      </c>
      <c r="G68" s="287">
        <v>0</v>
      </c>
      <c r="H68" s="15">
        <v>0</v>
      </c>
      <c r="I68" s="15">
        <v>0</v>
      </c>
      <c r="J68" s="16">
        <v>0</v>
      </c>
      <c r="K68" s="202">
        <v>0</v>
      </c>
      <c r="L68" s="16"/>
      <c r="M68" s="16">
        <f>SUM(C68-F68)</f>
        <v>0</v>
      </c>
    </row>
    <row r="69" spans="1:13" ht="13.5" customHeight="1" hidden="1">
      <c r="A69" s="186"/>
      <c r="B69" s="193" t="s">
        <v>100</v>
      </c>
      <c r="C69" s="188"/>
      <c r="D69" s="189"/>
      <c r="E69" s="178"/>
      <c r="F69" s="178"/>
      <c r="G69" s="286"/>
      <c r="H69" s="189"/>
      <c r="I69" s="178"/>
      <c r="J69" s="178"/>
      <c r="K69" s="201"/>
      <c r="L69" s="178"/>
      <c r="M69" s="178"/>
    </row>
    <row r="70" spans="1:13" s="25" customFormat="1" ht="23.25" customHeight="1">
      <c r="A70" s="108">
        <v>17</v>
      </c>
      <c r="B70" s="23" t="s">
        <v>144</v>
      </c>
      <c r="C70" s="27">
        <v>197280000</v>
      </c>
      <c r="D70" s="20">
        <v>16440000</v>
      </c>
      <c r="E70" s="20">
        <v>18240000</v>
      </c>
      <c r="F70" s="21">
        <f>SUM(D70:E70)</f>
        <v>34680000</v>
      </c>
      <c r="G70" s="285">
        <f>F70/C70*100</f>
        <v>17.579075425790755</v>
      </c>
      <c r="H70" s="20">
        <v>16440000</v>
      </c>
      <c r="I70" s="20">
        <v>18240000</v>
      </c>
      <c r="J70" s="21">
        <f>SUM(H70:I70)</f>
        <v>34680000</v>
      </c>
      <c r="K70" s="185">
        <f>J70/C70*100</f>
        <v>17.579075425790755</v>
      </c>
      <c r="L70" s="21"/>
      <c r="M70" s="16">
        <f>SUM(C70-F70)</f>
        <v>162600000</v>
      </c>
    </row>
    <row r="71" spans="1:13" ht="17.25" customHeight="1">
      <c r="A71" s="186"/>
      <c r="B71" s="187" t="s">
        <v>146</v>
      </c>
      <c r="C71" s="188"/>
      <c r="D71" s="189"/>
      <c r="E71" s="189"/>
      <c r="F71" s="178"/>
      <c r="G71" s="286"/>
      <c r="H71" s="189"/>
      <c r="I71" s="189"/>
      <c r="J71" s="178"/>
      <c r="K71" s="201"/>
      <c r="L71" s="178"/>
      <c r="M71" s="178"/>
    </row>
    <row r="72" spans="1:13" s="25" customFormat="1" ht="70.5" customHeight="1">
      <c r="A72" s="200">
        <v>18</v>
      </c>
      <c r="B72" s="23" t="s">
        <v>145</v>
      </c>
      <c r="C72" s="27">
        <v>10200000</v>
      </c>
      <c r="D72" s="20">
        <v>5100000</v>
      </c>
      <c r="E72" s="20">
        <v>0</v>
      </c>
      <c r="F72" s="21">
        <f>SUM(D72:E72)</f>
        <v>5100000</v>
      </c>
      <c r="G72" s="285">
        <f>F72/C72*100</f>
        <v>50</v>
      </c>
      <c r="H72" s="20">
        <v>5100000</v>
      </c>
      <c r="I72" s="20">
        <v>0</v>
      </c>
      <c r="J72" s="21">
        <f>SUM(H72:I72)</f>
        <v>5100000</v>
      </c>
      <c r="K72" s="185">
        <f>J72/C72*100</f>
        <v>50</v>
      </c>
      <c r="L72" s="21"/>
      <c r="M72" s="16">
        <f>SUM(C72-F72)</f>
        <v>5100000</v>
      </c>
    </row>
    <row r="73" spans="1:13" ht="17.25" customHeight="1">
      <c r="A73" s="186"/>
      <c r="B73" s="187" t="s">
        <v>147</v>
      </c>
      <c r="C73" s="188"/>
      <c r="D73" s="189"/>
      <c r="E73" s="189"/>
      <c r="F73" s="178"/>
      <c r="G73" s="286"/>
      <c r="H73" s="189"/>
      <c r="I73" s="189"/>
      <c r="J73" s="178"/>
      <c r="K73" s="201"/>
      <c r="L73" s="178"/>
      <c r="M73" s="178"/>
    </row>
    <row r="74" spans="1:13" s="25" customFormat="1" ht="14.25" customHeight="1">
      <c r="A74" s="108">
        <v>19</v>
      </c>
      <c r="B74" s="23" t="s">
        <v>148</v>
      </c>
      <c r="C74" s="27">
        <v>12750000</v>
      </c>
      <c r="D74" s="20">
        <v>0</v>
      </c>
      <c r="E74" s="20">
        <v>1938000</v>
      </c>
      <c r="F74" s="21">
        <f>SUM(D74:E74)</f>
        <v>1938000</v>
      </c>
      <c r="G74" s="285">
        <f>F74/C74*100</f>
        <v>15.2</v>
      </c>
      <c r="H74" s="20">
        <v>0</v>
      </c>
      <c r="I74" s="20">
        <v>1938000</v>
      </c>
      <c r="J74" s="21">
        <f>SUM(H74:I74)</f>
        <v>1938000</v>
      </c>
      <c r="K74" s="185">
        <f>J74/C74*100</f>
        <v>15.2</v>
      </c>
      <c r="L74" s="21"/>
      <c r="M74" s="16">
        <f>SUM(C74-F74)</f>
        <v>10812000</v>
      </c>
    </row>
    <row r="75" spans="1:13" ht="17.25" customHeight="1">
      <c r="A75" s="186"/>
      <c r="B75" s="187" t="s">
        <v>149</v>
      </c>
      <c r="C75" s="188"/>
      <c r="D75" s="189"/>
      <c r="E75" s="189"/>
      <c r="F75" s="178"/>
      <c r="G75" s="286"/>
      <c r="H75" s="189"/>
      <c r="I75" s="189"/>
      <c r="J75" s="178"/>
      <c r="K75" s="201"/>
      <c r="L75" s="178"/>
      <c r="M75" s="178"/>
    </row>
    <row r="76" spans="1:13" ht="13.5" customHeight="1">
      <c r="A76" s="49"/>
      <c r="B76" s="194" t="s">
        <v>32</v>
      </c>
      <c r="C76" s="190">
        <f>SUM(C14:C74)</f>
        <v>2408209000</v>
      </c>
      <c r="D76" s="190">
        <f>SUM(D14:D74)</f>
        <v>248329000</v>
      </c>
      <c r="E76" s="190">
        <f>SUM(E14:E74)</f>
        <v>161814038</v>
      </c>
      <c r="F76" s="190">
        <f>F14+F16+F18+F20+F24+F26+F28+F30+F32+F34+F38+F40+F46+F48+F50+F54+F70+F72+F74</f>
        <v>408811698</v>
      </c>
      <c r="G76" s="290">
        <f>F76/C76*100</f>
        <v>16.975756589232912</v>
      </c>
      <c r="H76" s="190">
        <f>SUM(H14:H75)</f>
        <v>248329000</v>
      </c>
      <c r="I76" s="190">
        <f>SUM(I14:I75)</f>
        <v>161814038</v>
      </c>
      <c r="J76" s="190">
        <f>J14+J16+J18+J20+J24+J26+J28+J30+J32+J34+J38+J40+J46+J48+J50+J54+J70+J72+J74</f>
        <v>408811698</v>
      </c>
      <c r="K76" s="290">
        <f>J76/C76*100</f>
        <v>16.975756589232912</v>
      </c>
      <c r="L76" s="178"/>
      <c r="M76" s="190">
        <f>SUM(M14:M75)</f>
        <v>1998065962</v>
      </c>
    </row>
    <row r="77" spans="4:13" ht="13.5" customHeight="1">
      <c r="D77" s="28"/>
      <c r="E77" s="29"/>
      <c r="F77" s="29"/>
      <c r="G77" s="29"/>
      <c r="H77" s="29"/>
      <c r="I77" s="29"/>
      <c r="J77" s="29"/>
      <c r="K77" s="29"/>
      <c r="L77" s="29"/>
      <c r="M77" s="29"/>
    </row>
    <row r="78" spans="4:13" ht="13.5" customHeight="1">
      <c r="D78" s="28"/>
      <c r="E78" s="29"/>
      <c r="F78" s="29"/>
      <c r="G78" s="29"/>
      <c r="H78" s="29"/>
      <c r="I78" s="29"/>
      <c r="J78" s="29"/>
      <c r="K78" s="29"/>
      <c r="L78" s="29"/>
      <c r="M78" s="29"/>
    </row>
    <row r="79" spans="4:13" ht="12.75">
      <c r="D79" s="28"/>
      <c r="E79" s="29"/>
      <c r="F79" s="29"/>
      <c r="G79" s="29"/>
      <c r="H79" s="29"/>
      <c r="I79" s="179"/>
      <c r="J79" s="179" t="s">
        <v>158</v>
      </c>
      <c r="K79" s="179"/>
      <c r="L79" s="29"/>
      <c r="M79" s="29"/>
    </row>
    <row r="80" spans="2:13" ht="12.75">
      <c r="B80" s="303"/>
      <c r="C80" s="303"/>
      <c r="D80" s="28"/>
      <c r="E80" s="29"/>
      <c r="F80" s="29"/>
      <c r="G80" s="29"/>
      <c r="H80" s="29"/>
      <c r="I80" s="179"/>
      <c r="J80" s="179" t="s">
        <v>112</v>
      </c>
      <c r="K80" s="179"/>
      <c r="L80" s="29"/>
      <c r="M80" s="29"/>
    </row>
    <row r="81" spans="2:13" ht="12.75">
      <c r="B81" s="303"/>
      <c r="C81" s="303"/>
      <c r="D81" s="28"/>
      <c r="E81" s="29"/>
      <c r="F81" s="29"/>
      <c r="G81" s="29"/>
      <c r="H81" s="29"/>
      <c r="I81" s="179"/>
      <c r="J81" s="179"/>
      <c r="K81" s="179"/>
      <c r="L81" s="29"/>
      <c r="M81" s="29"/>
    </row>
    <row r="82" spans="2:13" ht="12.75">
      <c r="B82" s="303"/>
      <c r="C82" s="303"/>
      <c r="D82" s="28"/>
      <c r="E82" s="29"/>
      <c r="F82" s="29"/>
      <c r="G82" s="29"/>
      <c r="H82" s="29"/>
      <c r="I82" s="179"/>
      <c r="J82" s="179"/>
      <c r="K82" s="179"/>
      <c r="L82" s="29"/>
      <c r="M82" s="29"/>
    </row>
    <row r="83" spans="2:13" ht="12.75">
      <c r="B83" s="30"/>
      <c r="C83" s="30"/>
      <c r="D83" s="28"/>
      <c r="E83" s="29"/>
      <c r="F83" s="29"/>
      <c r="G83" s="29"/>
      <c r="H83" s="29"/>
      <c r="I83" s="179"/>
      <c r="J83" s="179"/>
      <c r="K83" s="179"/>
      <c r="L83" s="29"/>
      <c r="M83" s="29"/>
    </row>
    <row r="84" spans="2:13" ht="12.75">
      <c r="B84" s="30"/>
      <c r="C84" s="30"/>
      <c r="D84" s="28"/>
      <c r="E84" s="29"/>
      <c r="F84" s="29"/>
      <c r="G84" s="29"/>
      <c r="H84" s="29"/>
      <c r="I84" s="179"/>
      <c r="J84" s="304" t="s">
        <v>153</v>
      </c>
      <c r="K84" s="304"/>
      <c r="L84" s="304"/>
      <c r="M84" s="29"/>
    </row>
    <row r="85" spans="4:13" ht="12.75">
      <c r="D85" s="28"/>
      <c r="E85" s="29"/>
      <c r="F85" s="29"/>
      <c r="G85" s="29"/>
      <c r="H85" s="29"/>
      <c r="I85" s="179"/>
      <c r="J85" s="179" t="s">
        <v>154</v>
      </c>
      <c r="K85" s="179"/>
      <c r="L85" s="29"/>
      <c r="M85" s="29"/>
    </row>
    <row r="86" spans="4:13" ht="12.75">
      <c r="D86" s="28"/>
      <c r="E86" s="29"/>
      <c r="F86" s="29"/>
      <c r="G86" s="29"/>
      <c r="H86" s="29"/>
      <c r="I86" s="179"/>
      <c r="J86" s="179" t="s">
        <v>155</v>
      </c>
      <c r="K86" s="179"/>
      <c r="L86" s="29"/>
      <c r="M86" s="29"/>
    </row>
    <row r="87" spans="4:13" ht="12.75">
      <c r="D87" s="28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2.75">
      <c r="B88" s="301"/>
      <c r="C88" s="301"/>
      <c r="D88" s="28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2.75">
      <c r="B89" s="303"/>
      <c r="C89" s="303"/>
      <c r="D89" s="28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2.75">
      <c r="B90" s="303"/>
      <c r="C90" s="303"/>
      <c r="D90" s="28"/>
      <c r="E90" s="29"/>
      <c r="F90" s="29"/>
      <c r="G90" s="29"/>
      <c r="H90" s="29"/>
      <c r="I90" s="29"/>
      <c r="J90" s="29"/>
      <c r="K90" s="29"/>
      <c r="L90" s="29"/>
      <c r="M90" s="29"/>
    </row>
    <row r="91" spans="4:13" ht="12.75">
      <c r="D91" s="28"/>
      <c r="E91" s="29"/>
      <c r="F91" s="29"/>
      <c r="G91" s="29"/>
      <c r="H91" s="29"/>
      <c r="I91" s="29"/>
      <c r="J91" s="29"/>
      <c r="K91" s="29"/>
      <c r="L91" s="29"/>
      <c r="M91" s="29"/>
    </row>
    <row r="92" spans="4:13" ht="12.75">
      <c r="D92" s="28"/>
      <c r="E92" s="29"/>
      <c r="F92" s="29"/>
      <c r="G92" s="29"/>
      <c r="H92" s="29"/>
      <c r="I92" s="29"/>
      <c r="J92" s="29"/>
      <c r="K92" s="29"/>
      <c r="L92" s="29"/>
      <c r="M92" s="29"/>
    </row>
    <row r="93" spans="4:13" ht="12.75">
      <c r="D93" s="28"/>
      <c r="E93" s="29"/>
      <c r="F93" s="29"/>
      <c r="G93" s="29"/>
      <c r="H93" s="29"/>
      <c r="I93" s="29"/>
      <c r="J93" s="29"/>
      <c r="K93" s="29"/>
      <c r="L93" s="29"/>
      <c r="M93" s="29"/>
    </row>
    <row r="94" spans="4:13" ht="12.75">
      <c r="D94" s="28"/>
      <c r="E94" s="29"/>
      <c r="F94" s="29"/>
      <c r="G94" s="29"/>
      <c r="H94" s="29"/>
      <c r="I94" s="29"/>
      <c r="J94" s="29"/>
      <c r="K94" s="29"/>
      <c r="L94" s="29"/>
      <c r="M94" s="29"/>
    </row>
  </sheetData>
  <sheetProtection/>
  <mergeCells count="14">
    <mergeCell ref="B82:C82"/>
    <mergeCell ref="B90:C90"/>
    <mergeCell ref="B89:C89"/>
    <mergeCell ref="B88:C88"/>
    <mergeCell ref="J84:L84"/>
    <mergeCell ref="L10:L11"/>
    <mergeCell ref="G10:G11"/>
    <mergeCell ref="K10:K11"/>
    <mergeCell ref="A1:M1"/>
    <mergeCell ref="D9:G9"/>
    <mergeCell ref="H9:K9"/>
    <mergeCell ref="A2:M2"/>
    <mergeCell ref="B80:C80"/>
    <mergeCell ref="B81:C81"/>
  </mergeCells>
  <printOptions/>
  <pageMargins left="0.25" right="0.35" top="0.33" bottom="0.29" header="0.24" footer="0.25"/>
  <pageSetup horizontalDpi="600" verticalDpi="600" orientation="landscape" paperSize="9" scale="75" r:id="rId1"/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AQ116"/>
  <sheetViews>
    <sheetView view="pageBreakPreview" zoomScale="70" zoomScaleNormal="70" zoomScaleSheetLayoutView="70" zoomScalePageLayoutView="0" workbookViewId="0" topLeftCell="A1">
      <selection activeCell="B1" sqref="B1:AN116"/>
    </sheetView>
  </sheetViews>
  <sheetFormatPr defaultColWidth="9.140625" defaultRowHeight="15"/>
  <cols>
    <col min="1" max="1" width="6.8515625" style="2" customWidth="1"/>
    <col min="2" max="2" width="6.00390625" style="2" customWidth="1"/>
    <col min="3" max="3" width="50.7109375" style="2" customWidth="1"/>
    <col min="4" max="4" width="14.28125" style="2" customWidth="1"/>
    <col min="5" max="5" width="5.7109375" style="2" customWidth="1"/>
    <col min="6" max="6" width="6.8515625" style="2" customWidth="1"/>
    <col min="7" max="7" width="6.140625" style="2" customWidth="1"/>
    <col min="8" max="8" width="7.140625" style="2" customWidth="1"/>
    <col min="9" max="10" width="6.8515625" style="2" customWidth="1"/>
    <col min="11" max="11" width="8.140625" style="2" customWidth="1"/>
    <col min="12" max="12" width="7.00390625" style="2" customWidth="1"/>
    <col min="13" max="13" width="6.00390625" style="2" customWidth="1"/>
    <col min="14" max="15" width="7.00390625" style="2" customWidth="1"/>
    <col min="16" max="16" width="7.57421875" style="2" customWidth="1"/>
    <col min="17" max="17" width="5.7109375" style="2" customWidth="1"/>
    <col min="18" max="18" width="6.421875" style="2" customWidth="1"/>
    <col min="19" max="19" width="6.28125" style="2" customWidth="1"/>
    <col min="20" max="20" width="7.421875" style="2" customWidth="1"/>
    <col min="21" max="21" width="6.57421875" style="2" customWidth="1"/>
    <col min="22" max="22" width="5.57421875" style="2" customWidth="1"/>
    <col min="23" max="23" width="4.7109375" style="2" customWidth="1"/>
    <col min="24" max="24" width="6.421875" style="2" customWidth="1"/>
    <col min="25" max="25" width="6.140625" style="2" customWidth="1"/>
    <col min="26" max="26" width="5.57421875" style="2" customWidth="1"/>
    <col min="27" max="27" width="6.57421875" style="2" customWidth="1"/>
    <col min="28" max="28" width="6.7109375" style="2" customWidth="1"/>
    <col min="29" max="29" width="6.00390625" style="2" customWidth="1"/>
    <col min="30" max="30" width="7.28125" style="2" customWidth="1"/>
    <col min="31" max="31" width="6.57421875" style="2" customWidth="1"/>
    <col min="32" max="32" width="5.8515625" style="2" customWidth="1"/>
    <col min="33" max="33" width="7.28125" style="2" customWidth="1"/>
    <col min="34" max="34" width="5.8515625" style="2" customWidth="1"/>
    <col min="35" max="35" width="5.7109375" style="2" customWidth="1"/>
    <col min="36" max="36" width="7.28125" style="2" customWidth="1"/>
    <col min="37" max="37" width="6.28125" style="2" customWidth="1"/>
    <col min="38" max="38" width="5.8515625" style="2" customWidth="1"/>
    <col min="39" max="39" width="9.00390625" style="2" customWidth="1"/>
    <col min="40" max="40" width="6.28125" style="2" customWidth="1"/>
    <col min="41" max="55" width="3.00390625" style="2" customWidth="1"/>
    <col min="56" max="16384" width="9.140625" style="2" customWidth="1"/>
  </cols>
  <sheetData>
    <row r="1" spans="2:40" ht="15.75">
      <c r="B1" s="342" t="s">
        <v>143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</row>
    <row r="2" spans="2:40" ht="15.75">
      <c r="B2" s="342" t="s">
        <v>29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</row>
    <row r="3" spans="2:4" ht="12.75">
      <c r="B3" s="1"/>
      <c r="C3" s="1"/>
      <c r="D3" s="1"/>
    </row>
    <row r="4" spans="2:22" ht="15">
      <c r="B4" s="3"/>
      <c r="C4" s="3"/>
      <c r="D4" s="3"/>
      <c r="E4" s="168" t="s">
        <v>106</v>
      </c>
      <c r="F4" s="116"/>
      <c r="G4" s="116"/>
      <c r="H4" s="116"/>
      <c r="I4" s="116"/>
      <c r="J4" s="116"/>
      <c r="K4" s="116"/>
      <c r="L4" s="116"/>
      <c r="M4" s="116" t="s">
        <v>75</v>
      </c>
      <c r="N4" s="116" t="str">
        <f>MARET!G4</f>
        <v>KECAMATAN KEBAKKRAMAT</v>
      </c>
      <c r="O4" s="116"/>
      <c r="P4" s="116"/>
      <c r="Q4" s="116"/>
      <c r="V4" s="2" t="s">
        <v>84</v>
      </c>
    </row>
    <row r="5" spans="2:17" ht="15">
      <c r="B5" s="3"/>
      <c r="C5" s="3"/>
      <c r="D5" s="3"/>
      <c r="E5" s="168" t="s">
        <v>48</v>
      </c>
      <c r="F5" s="116"/>
      <c r="G5" s="116"/>
      <c r="H5" s="116"/>
      <c r="I5" s="116"/>
      <c r="J5" s="116"/>
      <c r="K5" s="116"/>
      <c r="L5" s="116"/>
      <c r="M5" s="116" t="s">
        <v>75</v>
      </c>
      <c r="N5" s="116" t="str">
        <f>MARET!G5</f>
        <v>APBD</v>
      </c>
      <c r="O5" s="116"/>
      <c r="P5" s="116"/>
      <c r="Q5" s="116"/>
    </row>
    <row r="6" spans="2:17" ht="15">
      <c r="B6" s="3"/>
      <c r="C6" s="3"/>
      <c r="D6" s="3"/>
      <c r="E6" s="168" t="s">
        <v>49</v>
      </c>
      <c r="F6" s="116"/>
      <c r="G6" s="116"/>
      <c r="H6" s="116"/>
      <c r="I6" s="116"/>
      <c r="J6" s="116"/>
      <c r="K6" s="116"/>
      <c r="L6" s="116"/>
      <c r="M6" s="116" t="s">
        <v>75</v>
      </c>
      <c r="N6" s="341" t="str">
        <f>MARET!G6</f>
        <v>2022</v>
      </c>
      <c r="O6" s="341"/>
      <c r="P6" s="341"/>
      <c r="Q6" s="117"/>
    </row>
    <row r="7" spans="2:17" ht="15">
      <c r="B7" s="3"/>
      <c r="C7" s="3"/>
      <c r="D7" s="3"/>
      <c r="E7" s="168" t="s">
        <v>78</v>
      </c>
      <c r="F7" s="116"/>
      <c r="G7" s="116"/>
      <c r="H7" s="116"/>
      <c r="I7" s="116"/>
      <c r="J7" s="116"/>
      <c r="K7" s="116"/>
      <c r="L7" s="116"/>
      <c r="M7" s="116" t="s">
        <v>75</v>
      </c>
      <c r="N7" s="116" t="str">
        <f>MARET!G7</f>
        <v>MARET</v>
      </c>
      <c r="O7" s="116"/>
      <c r="P7" s="116"/>
      <c r="Q7" s="116"/>
    </row>
    <row r="9" spans="2:40" ht="12.75">
      <c r="B9" s="7"/>
      <c r="C9" s="7" t="s">
        <v>17</v>
      </c>
      <c r="D9" s="7" t="s">
        <v>18</v>
      </c>
      <c r="E9" s="338" t="s">
        <v>62</v>
      </c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40"/>
    </row>
    <row r="10" spans="2:40" ht="12.75" customHeight="1">
      <c r="B10" s="9" t="s">
        <v>1</v>
      </c>
      <c r="C10" s="305" t="s">
        <v>3</v>
      </c>
      <c r="D10" s="118" t="s">
        <v>5</v>
      </c>
      <c r="E10" s="329" t="s">
        <v>63</v>
      </c>
      <c r="F10" s="330"/>
      <c r="G10" s="331"/>
      <c r="H10" s="329" t="s">
        <v>64</v>
      </c>
      <c r="I10" s="330"/>
      <c r="J10" s="331"/>
      <c r="K10" s="329" t="s">
        <v>65</v>
      </c>
      <c r="L10" s="330"/>
      <c r="M10" s="331"/>
      <c r="N10" s="329" t="s">
        <v>66</v>
      </c>
      <c r="O10" s="330"/>
      <c r="P10" s="331"/>
      <c r="Q10" s="329" t="s">
        <v>67</v>
      </c>
      <c r="R10" s="330"/>
      <c r="S10" s="331"/>
      <c r="T10" s="329" t="s">
        <v>68</v>
      </c>
      <c r="U10" s="330"/>
      <c r="V10" s="331"/>
      <c r="W10" s="329" t="s">
        <v>69</v>
      </c>
      <c r="X10" s="330"/>
      <c r="Y10" s="331"/>
      <c r="Z10" s="329" t="s">
        <v>70</v>
      </c>
      <c r="AA10" s="330"/>
      <c r="AB10" s="331"/>
      <c r="AC10" s="329" t="s">
        <v>71</v>
      </c>
      <c r="AD10" s="330"/>
      <c r="AE10" s="331"/>
      <c r="AF10" s="329" t="s">
        <v>72</v>
      </c>
      <c r="AG10" s="330"/>
      <c r="AH10" s="331"/>
      <c r="AI10" s="329" t="s">
        <v>73</v>
      </c>
      <c r="AJ10" s="330"/>
      <c r="AK10" s="331"/>
      <c r="AL10" s="335" t="s">
        <v>74</v>
      </c>
      <c r="AM10" s="336"/>
      <c r="AN10" s="337"/>
    </row>
    <row r="11" spans="2:40" ht="12.75" customHeight="1">
      <c r="B11" s="9"/>
      <c r="C11" s="306"/>
      <c r="D11" s="118" t="s">
        <v>6</v>
      </c>
      <c r="E11" s="332"/>
      <c r="F11" s="333"/>
      <c r="G11" s="334"/>
      <c r="H11" s="332"/>
      <c r="I11" s="333"/>
      <c r="J11" s="334"/>
      <c r="K11" s="332"/>
      <c r="L11" s="333"/>
      <c r="M11" s="334"/>
      <c r="N11" s="332"/>
      <c r="O11" s="333"/>
      <c r="P11" s="334"/>
      <c r="Q11" s="332"/>
      <c r="R11" s="333"/>
      <c r="S11" s="334"/>
      <c r="T11" s="332"/>
      <c r="U11" s="333"/>
      <c r="V11" s="334"/>
      <c r="W11" s="332"/>
      <c r="X11" s="333"/>
      <c r="Y11" s="334"/>
      <c r="Z11" s="332"/>
      <c r="AA11" s="333"/>
      <c r="AB11" s="334"/>
      <c r="AC11" s="332"/>
      <c r="AD11" s="333"/>
      <c r="AE11" s="334"/>
      <c r="AF11" s="332"/>
      <c r="AG11" s="333"/>
      <c r="AH11" s="334"/>
      <c r="AI11" s="332"/>
      <c r="AJ11" s="333"/>
      <c r="AK11" s="334"/>
      <c r="AL11" s="332"/>
      <c r="AM11" s="333"/>
      <c r="AN11" s="334"/>
    </row>
    <row r="12" spans="2:40" s="11" customFormat="1" ht="12.75">
      <c r="B12" s="8">
        <v>1</v>
      </c>
      <c r="C12" s="8">
        <v>2</v>
      </c>
      <c r="D12" s="8">
        <v>3</v>
      </c>
      <c r="E12" s="338">
        <v>4</v>
      </c>
      <c r="F12" s="339"/>
      <c r="G12" s="340"/>
      <c r="H12" s="338">
        <v>5</v>
      </c>
      <c r="I12" s="339"/>
      <c r="J12" s="340"/>
      <c r="K12" s="338">
        <v>6</v>
      </c>
      <c r="L12" s="339"/>
      <c r="M12" s="340"/>
      <c r="N12" s="338">
        <v>7</v>
      </c>
      <c r="O12" s="339"/>
      <c r="P12" s="340"/>
      <c r="Q12" s="338">
        <v>8</v>
      </c>
      <c r="R12" s="339"/>
      <c r="S12" s="340"/>
      <c r="T12" s="338">
        <v>9</v>
      </c>
      <c r="U12" s="339"/>
      <c r="V12" s="340"/>
      <c r="W12" s="338">
        <v>10</v>
      </c>
      <c r="X12" s="339"/>
      <c r="Y12" s="340"/>
      <c r="Z12" s="338">
        <v>11</v>
      </c>
      <c r="AA12" s="339"/>
      <c r="AB12" s="340"/>
      <c r="AC12" s="338">
        <v>12</v>
      </c>
      <c r="AD12" s="339"/>
      <c r="AE12" s="340"/>
      <c r="AF12" s="338">
        <v>13</v>
      </c>
      <c r="AG12" s="339"/>
      <c r="AH12" s="340"/>
      <c r="AI12" s="338">
        <v>14</v>
      </c>
      <c r="AJ12" s="339"/>
      <c r="AK12" s="340"/>
      <c r="AL12" s="338">
        <v>15</v>
      </c>
      <c r="AM12" s="339"/>
      <c r="AN12" s="340"/>
    </row>
    <row r="13" spans="2:40" ht="14.25" customHeight="1">
      <c r="B13" s="139">
        <v>1</v>
      </c>
      <c r="C13" s="308" t="str">
        <f>MARET!B14</f>
        <v>Penyediaan Gaji dan Tunjangan ASN</v>
      </c>
      <c r="D13" s="140">
        <f>MARET!C14</f>
        <v>1819729000</v>
      </c>
      <c r="E13" s="141"/>
      <c r="F13" s="142">
        <f>151644083*1/$D$13*100</f>
        <v>8.333333315015587</v>
      </c>
      <c r="G13" s="143"/>
      <c r="H13" s="144"/>
      <c r="I13" s="142">
        <f>151644083*2/$D$13*100</f>
        <v>16.666666630031173</v>
      </c>
      <c r="J13" s="146"/>
      <c r="K13" s="144"/>
      <c r="L13" s="142">
        <f>151644083*3/$D$13*100</f>
        <v>24.999999945046763</v>
      </c>
      <c r="M13" s="146"/>
      <c r="N13" s="144"/>
      <c r="O13" s="142">
        <f>151644083*4/$D$13*100</f>
        <v>33.333333260062346</v>
      </c>
      <c r="P13" s="146"/>
      <c r="Q13" s="144"/>
      <c r="R13" s="142">
        <f>151644083*5/$D$13*100</f>
        <v>41.66666657507794</v>
      </c>
      <c r="S13" s="146"/>
      <c r="T13" s="144"/>
      <c r="U13" s="142">
        <f>151644083*6/$D$13*100</f>
        <v>49.99999989009353</v>
      </c>
      <c r="V13" s="146"/>
      <c r="W13" s="144"/>
      <c r="X13" s="142">
        <f>151644083*7/$D$13*100</f>
        <v>58.33333320510911</v>
      </c>
      <c r="Y13" s="146"/>
      <c r="Z13" s="144"/>
      <c r="AA13" s="142">
        <f>151644083*8/$D$13*100</f>
        <v>66.66666652012469</v>
      </c>
      <c r="AB13" s="146"/>
      <c r="AC13" s="144"/>
      <c r="AD13" s="142">
        <f>151644083*9/$D$13*100</f>
        <v>74.99999983514029</v>
      </c>
      <c r="AE13" s="146"/>
      <c r="AF13" s="144"/>
      <c r="AG13" s="142">
        <f>151644083*10/$D$13*100</f>
        <v>83.33333315015588</v>
      </c>
      <c r="AH13" s="146"/>
      <c r="AI13" s="144"/>
      <c r="AJ13" s="142">
        <f>151644083*11/$D$13*100</f>
        <v>91.66666646517146</v>
      </c>
      <c r="AK13" s="146"/>
      <c r="AL13" s="144"/>
      <c r="AM13" s="142">
        <f>151644083*12/$D$13*100</f>
        <v>99.99999978018705</v>
      </c>
      <c r="AN13" s="147"/>
    </row>
    <row r="14" spans="2:40" ht="14.25" customHeight="1">
      <c r="B14" s="149"/>
      <c r="C14" s="327"/>
      <c r="D14" s="150"/>
      <c r="E14" s="151">
        <v>4</v>
      </c>
      <c r="F14" s="152"/>
      <c r="G14" s="153">
        <f>E14</f>
        <v>4</v>
      </c>
      <c r="H14" s="151">
        <v>11</v>
      </c>
      <c r="I14" s="152" t="s">
        <v>157</v>
      </c>
      <c r="J14" s="153">
        <f>H14</f>
        <v>11</v>
      </c>
      <c r="K14" s="151">
        <v>15</v>
      </c>
      <c r="L14" s="152"/>
      <c r="M14" s="153">
        <f>K14</f>
        <v>15</v>
      </c>
      <c r="N14" s="151">
        <v>0</v>
      </c>
      <c r="O14" s="152"/>
      <c r="P14" s="153">
        <f>N14</f>
        <v>0</v>
      </c>
      <c r="Q14" s="151">
        <v>0</v>
      </c>
      <c r="R14" s="152"/>
      <c r="S14" s="153">
        <f>Q14</f>
        <v>0</v>
      </c>
      <c r="T14" s="151">
        <v>0</v>
      </c>
      <c r="U14" s="152"/>
      <c r="V14" s="153">
        <f>T14</f>
        <v>0</v>
      </c>
      <c r="W14" s="151">
        <v>0</v>
      </c>
      <c r="X14" s="152"/>
      <c r="Y14" s="153">
        <f>W14</f>
        <v>0</v>
      </c>
      <c r="Z14" s="151">
        <v>0</v>
      </c>
      <c r="AA14" s="152"/>
      <c r="AB14" s="153">
        <f>Z14</f>
        <v>0</v>
      </c>
      <c r="AC14" s="151">
        <v>0</v>
      </c>
      <c r="AD14" s="152"/>
      <c r="AE14" s="153">
        <f>AC14</f>
        <v>0</v>
      </c>
      <c r="AF14" s="151">
        <v>0</v>
      </c>
      <c r="AG14" s="152"/>
      <c r="AH14" s="153">
        <f>AF14</f>
        <v>0</v>
      </c>
      <c r="AI14" s="151">
        <v>0</v>
      </c>
      <c r="AJ14" s="152"/>
      <c r="AK14" s="153">
        <f>AI14</f>
        <v>0</v>
      </c>
      <c r="AL14" s="151">
        <v>0</v>
      </c>
      <c r="AM14" s="152"/>
      <c r="AN14" s="174">
        <f>AL14</f>
        <v>0</v>
      </c>
    </row>
    <row r="15" spans="2:40" ht="14.25" customHeight="1">
      <c r="B15" s="154"/>
      <c r="C15" s="328"/>
      <c r="D15" s="155"/>
      <c r="E15" s="156"/>
      <c r="F15" s="157">
        <f>G14</f>
        <v>4</v>
      </c>
      <c r="G15" s="158"/>
      <c r="H15" s="156"/>
      <c r="I15" s="157">
        <f>J14</f>
        <v>11</v>
      </c>
      <c r="J15" s="158"/>
      <c r="K15" s="156"/>
      <c r="L15" s="157">
        <f>M14</f>
        <v>15</v>
      </c>
      <c r="M15" s="158"/>
      <c r="N15" s="156"/>
      <c r="O15" s="157">
        <f>P14</f>
        <v>0</v>
      </c>
      <c r="P15" s="158"/>
      <c r="Q15" s="156"/>
      <c r="R15" s="157">
        <f>S14</f>
        <v>0</v>
      </c>
      <c r="S15" s="158"/>
      <c r="T15" s="156"/>
      <c r="U15" s="157">
        <f>V14</f>
        <v>0</v>
      </c>
      <c r="V15" s="158"/>
      <c r="W15" s="156"/>
      <c r="X15" s="157">
        <f>Y14</f>
        <v>0</v>
      </c>
      <c r="Y15" s="158"/>
      <c r="Z15" s="156"/>
      <c r="AA15" s="157">
        <f>AB14</f>
        <v>0</v>
      </c>
      <c r="AB15" s="158"/>
      <c r="AC15" s="156"/>
      <c r="AD15" s="157">
        <f>AE14</f>
        <v>0</v>
      </c>
      <c r="AE15" s="158"/>
      <c r="AF15" s="156"/>
      <c r="AG15" s="157">
        <f>AH14</f>
        <v>0</v>
      </c>
      <c r="AH15" s="158"/>
      <c r="AI15" s="156"/>
      <c r="AJ15" s="157">
        <f>AK14</f>
        <v>0</v>
      </c>
      <c r="AK15" s="158"/>
      <c r="AL15" s="156"/>
      <c r="AM15" s="157">
        <f>AN14</f>
        <v>0</v>
      </c>
      <c r="AN15" s="175"/>
    </row>
    <row r="16" spans="2:40" ht="14.25" customHeight="1">
      <c r="B16" s="34">
        <v>2</v>
      </c>
      <c r="C16" s="319" t="str">
        <f>MARET!B16</f>
        <v>Penyusunan Pelaporan dan Analis Prognosis Realisasi Anggaran</v>
      </c>
      <c r="D16" s="119">
        <f>MARET!C16</f>
        <v>4000000</v>
      </c>
      <c r="E16" s="36"/>
      <c r="F16" s="37">
        <f>2000000*1/$D$16*100</f>
        <v>50</v>
      </c>
      <c r="G16" s="38"/>
      <c r="H16" s="39"/>
      <c r="I16" s="37">
        <f>2000000/$D$16*100</f>
        <v>50</v>
      </c>
      <c r="J16" s="41"/>
      <c r="K16" s="39"/>
      <c r="L16" s="37">
        <f>2000000/$D$16*100</f>
        <v>50</v>
      </c>
      <c r="M16" s="41"/>
      <c r="N16" s="39"/>
      <c r="O16" s="37">
        <f>2000000/$D$16*100</f>
        <v>50</v>
      </c>
      <c r="P16" s="41"/>
      <c r="Q16" s="39"/>
      <c r="R16" s="37">
        <f>2448900/$D$16*100</f>
        <v>61.222500000000004</v>
      </c>
      <c r="S16" s="41"/>
      <c r="T16" s="39"/>
      <c r="U16" s="37">
        <f>2448900/$D$16*100</f>
        <v>61.222500000000004</v>
      </c>
      <c r="V16" s="41"/>
      <c r="W16" s="39"/>
      <c r="X16" s="37">
        <f>2448900/$D$16*100</f>
        <v>61.222500000000004</v>
      </c>
      <c r="Y16" s="41"/>
      <c r="Z16" s="39"/>
      <c r="AA16" s="37">
        <f>2448900/$D$16*100</f>
        <v>61.222500000000004</v>
      </c>
      <c r="AB16" s="41"/>
      <c r="AC16" s="39"/>
      <c r="AD16" s="37">
        <f>4000000/$D$16*100</f>
        <v>100</v>
      </c>
      <c r="AE16" s="41"/>
      <c r="AF16" s="39"/>
      <c r="AG16" s="37">
        <f>4000000/$D$16*100</f>
        <v>100</v>
      </c>
      <c r="AH16" s="41"/>
      <c r="AI16" s="39"/>
      <c r="AJ16" s="37">
        <f>4000000/$D$16*100</f>
        <v>100</v>
      </c>
      <c r="AK16" s="120"/>
      <c r="AL16" s="121"/>
      <c r="AM16" s="37">
        <f>4000000/$D$16*100</f>
        <v>100</v>
      </c>
      <c r="AN16" s="122"/>
    </row>
    <row r="17" spans="2:40" ht="14.25" customHeight="1">
      <c r="B17" s="12"/>
      <c r="C17" s="320"/>
      <c r="D17" s="123"/>
      <c r="E17" s="43">
        <v>0</v>
      </c>
      <c r="F17" s="44"/>
      <c r="G17" s="31">
        <f>E17</f>
        <v>0</v>
      </c>
      <c r="H17" s="43">
        <v>25</v>
      </c>
      <c r="I17" s="44"/>
      <c r="J17" s="31">
        <f>H17</f>
        <v>25</v>
      </c>
      <c r="K17" s="43">
        <v>25</v>
      </c>
      <c r="L17" s="44"/>
      <c r="M17" s="31">
        <f>K17</f>
        <v>25</v>
      </c>
      <c r="N17" s="43">
        <v>0</v>
      </c>
      <c r="O17" s="44"/>
      <c r="P17" s="31">
        <f>N17</f>
        <v>0</v>
      </c>
      <c r="Q17" s="43">
        <v>0</v>
      </c>
      <c r="R17" s="44"/>
      <c r="S17" s="31">
        <f>Q17</f>
        <v>0</v>
      </c>
      <c r="T17" s="43">
        <v>0</v>
      </c>
      <c r="U17" s="44"/>
      <c r="V17" s="31">
        <f>T17</f>
        <v>0</v>
      </c>
      <c r="W17" s="43">
        <v>0</v>
      </c>
      <c r="X17" s="44"/>
      <c r="Y17" s="31">
        <f>W17</f>
        <v>0</v>
      </c>
      <c r="Z17" s="43">
        <v>0</v>
      </c>
      <c r="AA17" s="44"/>
      <c r="AB17" s="31">
        <f>Z17</f>
        <v>0</v>
      </c>
      <c r="AC17" s="43">
        <v>0</v>
      </c>
      <c r="AD17" s="44"/>
      <c r="AE17" s="31">
        <f>AC17</f>
        <v>0</v>
      </c>
      <c r="AF17" s="43">
        <v>0</v>
      </c>
      <c r="AG17" s="44"/>
      <c r="AH17" s="31">
        <f>AF17</f>
        <v>0</v>
      </c>
      <c r="AI17" s="43">
        <v>0</v>
      </c>
      <c r="AJ17" s="44"/>
      <c r="AK17" s="31">
        <f>AI17</f>
        <v>0</v>
      </c>
      <c r="AL17" s="43">
        <v>0</v>
      </c>
      <c r="AM17" s="44"/>
      <c r="AN17" s="176">
        <f>AL17</f>
        <v>0</v>
      </c>
    </row>
    <row r="18" spans="2:40" ht="14.25" customHeight="1">
      <c r="B18" s="48"/>
      <c r="C18" s="321"/>
      <c r="D18" s="124"/>
      <c r="E18" s="50"/>
      <c r="F18" s="51">
        <f>G17</f>
        <v>0</v>
      </c>
      <c r="G18" s="52"/>
      <c r="H18" s="50"/>
      <c r="I18" s="51">
        <f>J17</f>
        <v>25</v>
      </c>
      <c r="J18" s="52"/>
      <c r="K18" s="50"/>
      <c r="L18" s="51">
        <f>M17</f>
        <v>25</v>
      </c>
      <c r="M18" s="52"/>
      <c r="N18" s="50"/>
      <c r="O18" s="51">
        <f>P17</f>
        <v>0</v>
      </c>
      <c r="P18" s="52"/>
      <c r="Q18" s="50"/>
      <c r="R18" s="51">
        <f>S17</f>
        <v>0</v>
      </c>
      <c r="S18" s="52"/>
      <c r="T18" s="50"/>
      <c r="U18" s="51">
        <f>V17</f>
        <v>0</v>
      </c>
      <c r="V18" s="52"/>
      <c r="W18" s="50"/>
      <c r="X18" s="51">
        <f>Y17</f>
        <v>0</v>
      </c>
      <c r="Y18" s="52"/>
      <c r="Z18" s="50"/>
      <c r="AA18" s="51">
        <f>AB17</f>
        <v>0</v>
      </c>
      <c r="AB18" s="52"/>
      <c r="AC18" s="50"/>
      <c r="AD18" s="51">
        <f>AE17</f>
        <v>0</v>
      </c>
      <c r="AE18" s="52"/>
      <c r="AF18" s="50"/>
      <c r="AG18" s="51">
        <f>AH17</f>
        <v>0</v>
      </c>
      <c r="AH18" s="52"/>
      <c r="AI18" s="50"/>
      <c r="AJ18" s="51">
        <f>AK17</f>
        <v>0</v>
      </c>
      <c r="AK18" s="52"/>
      <c r="AL18" s="50"/>
      <c r="AM18" s="51">
        <f>AN17</f>
        <v>0</v>
      </c>
      <c r="AN18" s="177"/>
    </row>
    <row r="19" spans="2:40" ht="14.25" customHeight="1">
      <c r="B19" s="139">
        <v>3</v>
      </c>
      <c r="C19" s="308" t="str">
        <f>MARET!B18</f>
        <v>Penyediaan Peralatan dan Perlengkapan Kantor</v>
      </c>
      <c r="D19" s="159">
        <f>MARET!C18</f>
        <v>31131300</v>
      </c>
      <c r="E19" s="141"/>
      <c r="F19" s="142">
        <f>2594275*1/$D$19*100</f>
        <v>8.333333333333332</v>
      </c>
      <c r="G19" s="143"/>
      <c r="H19" s="144"/>
      <c r="I19" s="142">
        <f>2594275*2/$D$19*100</f>
        <v>16.666666666666664</v>
      </c>
      <c r="J19" s="146"/>
      <c r="K19" s="144"/>
      <c r="L19" s="142">
        <f>2594275*3/$D$19*100</f>
        <v>25</v>
      </c>
      <c r="M19" s="146"/>
      <c r="N19" s="144"/>
      <c r="O19" s="142">
        <f>2594275*4/$D$19*100</f>
        <v>33.33333333333333</v>
      </c>
      <c r="P19" s="146"/>
      <c r="Q19" s="144"/>
      <c r="R19" s="142">
        <f>2594275*5/$D$19*100</f>
        <v>41.66666666666667</v>
      </c>
      <c r="S19" s="146"/>
      <c r="T19" s="144"/>
      <c r="U19" s="142">
        <f>2594275*6/$D$19*100</f>
        <v>50</v>
      </c>
      <c r="V19" s="146"/>
      <c r="W19" s="144"/>
      <c r="X19" s="142">
        <f>2594275*7/$D$19*100</f>
        <v>58.333333333333336</v>
      </c>
      <c r="Y19" s="146"/>
      <c r="Z19" s="144"/>
      <c r="AA19" s="142">
        <f>2594275*8/$D$19*100</f>
        <v>66.66666666666666</v>
      </c>
      <c r="AB19" s="146"/>
      <c r="AC19" s="144"/>
      <c r="AD19" s="145">
        <f>2594275*9/$D$19*100</f>
        <v>75</v>
      </c>
      <c r="AE19" s="146"/>
      <c r="AF19" s="144"/>
      <c r="AG19" s="145">
        <f>2594275*10/$D$19*100</f>
        <v>83.33333333333334</v>
      </c>
      <c r="AH19" s="146"/>
      <c r="AI19" s="144"/>
      <c r="AJ19" s="145">
        <f>2594275*11/$D$19*100</f>
        <v>91.66666666666666</v>
      </c>
      <c r="AK19" s="146"/>
      <c r="AL19" s="144"/>
      <c r="AM19" s="145">
        <f>2594275*12/$D$19*100</f>
        <v>100</v>
      </c>
      <c r="AN19" s="147"/>
    </row>
    <row r="20" spans="2:40" ht="14.25" customHeight="1">
      <c r="B20" s="149"/>
      <c r="C20" s="327"/>
      <c r="D20" s="160"/>
      <c r="E20" s="151">
        <v>0</v>
      </c>
      <c r="F20" s="152"/>
      <c r="G20" s="153">
        <f>E20</f>
        <v>0</v>
      </c>
      <c r="H20" s="151">
        <v>10</v>
      </c>
      <c r="I20" s="152"/>
      <c r="J20" s="153">
        <f>H20</f>
        <v>10</v>
      </c>
      <c r="K20" s="151">
        <v>24</v>
      </c>
      <c r="L20" s="152"/>
      <c r="M20" s="153">
        <f>K20</f>
        <v>24</v>
      </c>
      <c r="N20" s="151">
        <v>0</v>
      </c>
      <c r="O20" s="152"/>
      <c r="P20" s="153">
        <f>N20</f>
        <v>0</v>
      </c>
      <c r="Q20" s="151">
        <v>0</v>
      </c>
      <c r="R20" s="152"/>
      <c r="S20" s="153">
        <f>Q20</f>
        <v>0</v>
      </c>
      <c r="T20" s="151">
        <v>0</v>
      </c>
      <c r="U20" s="152"/>
      <c r="V20" s="153">
        <f>T20</f>
        <v>0</v>
      </c>
      <c r="W20" s="151">
        <v>0</v>
      </c>
      <c r="X20" s="152"/>
      <c r="Y20" s="153">
        <f>W20</f>
        <v>0</v>
      </c>
      <c r="Z20" s="151">
        <v>0</v>
      </c>
      <c r="AA20" s="152"/>
      <c r="AB20" s="153">
        <f>Z20</f>
        <v>0</v>
      </c>
      <c r="AC20" s="151">
        <v>0</v>
      </c>
      <c r="AD20" s="152"/>
      <c r="AE20" s="153">
        <f>AC20</f>
        <v>0</v>
      </c>
      <c r="AF20" s="151">
        <v>0</v>
      </c>
      <c r="AG20" s="152"/>
      <c r="AH20" s="153">
        <f>AF20</f>
        <v>0</v>
      </c>
      <c r="AI20" s="151">
        <v>0</v>
      </c>
      <c r="AJ20" s="152"/>
      <c r="AK20" s="153">
        <f>AI20</f>
        <v>0</v>
      </c>
      <c r="AL20" s="151">
        <v>0</v>
      </c>
      <c r="AM20" s="152"/>
      <c r="AN20" s="174">
        <f>AL20</f>
        <v>0</v>
      </c>
    </row>
    <row r="21" spans="2:40" ht="14.25" customHeight="1">
      <c r="B21" s="154"/>
      <c r="C21" s="328"/>
      <c r="D21" s="161"/>
      <c r="E21" s="156"/>
      <c r="F21" s="157">
        <f>G20</f>
        <v>0</v>
      </c>
      <c r="G21" s="158"/>
      <c r="H21" s="156"/>
      <c r="I21" s="157">
        <f>J20</f>
        <v>10</v>
      </c>
      <c r="J21" s="158"/>
      <c r="K21" s="156"/>
      <c r="L21" s="157">
        <f>M20</f>
        <v>24</v>
      </c>
      <c r="M21" s="158"/>
      <c r="N21" s="156"/>
      <c r="O21" s="157">
        <f>P20</f>
        <v>0</v>
      </c>
      <c r="P21" s="158"/>
      <c r="Q21" s="156"/>
      <c r="R21" s="157">
        <f>S20</f>
        <v>0</v>
      </c>
      <c r="S21" s="158"/>
      <c r="T21" s="156"/>
      <c r="U21" s="157">
        <f>V20</f>
        <v>0</v>
      </c>
      <c r="V21" s="158"/>
      <c r="W21" s="156"/>
      <c r="X21" s="157">
        <f>Y20</f>
        <v>0</v>
      </c>
      <c r="Y21" s="158"/>
      <c r="Z21" s="156"/>
      <c r="AA21" s="157">
        <f>AB20</f>
        <v>0</v>
      </c>
      <c r="AB21" s="158"/>
      <c r="AC21" s="156"/>
      <c r="AD21" s="157">
        <f>AE20</f>
        <v>0</v>
      </c>
      <c r="AE21" s="158"/>
      <c r="AF21" s="156"/>
      <c r="AG21" s="157">
        <f>AH20</f>
        <v>0</v>
      </c>
      <c r="AH21" s="158"/>
      <c r="AI21" s="156"/>
      <c r="AJ21" s="157">
        <f>AK20</f>
        <v>0</v>
      </c>
      <c r="AK21" s="158"/>
      <c r="AL21" s="156"/>
      <c r="AM21" s="157">
        <f>AN20</f>
        <v>0</v>
      </c>
      <c r="AN21" s="175"/>
    </row>
    <row r="22" spans="2:40" ht="14.25" customHeight="1">
      <c r="B22" s="34">
        <v>4</v>
      </c>
      <c r="C22" s="319" t="str">
        <f>MARET!B20</f>
        <v>Penyediaan Peralatan Rumah Tangga</v>
      </c>
      <c r="D22" s="35">
        <f>MARET!C20</f>
        <v>2099000</v>
      </c>
      <c r="E22" s="36"/>
      <c r="F22" s="37">
        <v>0</v>
      </c>
      <c r="G22" s="38"/>
      <c r="H22" s="39"/>
      <c r="I22" s="37">
        <v>0</v>
      </c>
      <c r="J22" s="41"/>
      <c r="K22" s="39"/>
      <c r="L22" s="37">
        <v>50</v>
      </c>
      <c r="M22" s="41"/>
      <c r="N22" s="39"/>
      <c r="O22" s="37">
        <v>50</v>
      </c>
      <c r="P22" s="41"/>
      <c r="Q22" s="39"/>
      <c r="R22" s="37">
        <v>50</v>
      </c>
      <c r="S22" s="41"/>
      <c r="T22" s="39"/>
      <c r="U22" s="37">
        <v>50</v>
      </c>
      <c r="V22" s="41"/>
      <c r="W22" s="39"/>
      <c r="X22" s="37">
        <v>50</v>
      </c>
      <c r="Y22" s="41"/>
      <c r="Z22" s="39"/>
      <c r="AA22" s="37">
        <v>50</v>
      </c>
      <c r="AB22" s="41"/>
      <c r="AC22" s="39"/>
      <c r="AD22" s="37">
        <v>100</v>
      </c>
      <c r="AE22" s="41"/>
      <c r="AF22" s="39"/>
      <c r="AG22" s="37">
        <v>100</v>
      </c>
      <c r="AH22" s="41"/>
      <c r="AI22" s="39"/>
      <c r="AJ22" s="37">
        <v>100</v>
      </c>
      <c r="AK22" s="41"/>
      <c r="AL22" s="39"/>
      <c r="AM22" s="37">
        <v>100</v>
      </c>
      <c r="AN22" s="42"/>
    </row>
    <row r="23" spans="2:40" ht="14.25" customHeight="1">
      <c r="B23" s="12"/>
      <c r="C23" s="320"/>
      <c r="D23" s="13"/>
      <c r="E23" s="43">
        <v>0</v>
      </c>
      <c r="F23" s="44"/>
      <c r="G23" s="31">
        <f>E23</f>
        <v>0</v>
      </c>
      <c r="H23" s="43">
        <v>0</v>
      </c>
      <c r="I23" s="44"/>
      <c r="J23" s="31">
        <f>H23</f>
        <v>0</v>
      </c>
      <c r="K23" s="43">
        <v>48</v>
      </c>
      <c r="L23" s="44"/>
      <c r="M23" s="31">
        <f>K23</f>
        <v>48</v>
      </c>
      <c r="N23" s="43">
        <v>0</v>
      </c>
      <c r="O23" s="44"/>
      <c r="P23" s="31">
        <f>N23</f>
        <v>0</v>
      </c>
      <c r="Q23" s="43">
        <v>0</v>
      </c>
      <c r="R23" s="44"/>
      <c r="S23" s="31">
        <f>Q23</f>
        <v>0</v>
      </c>
      <c r="T23" s="43">
        <v>0</v>
      </c>
      <c r="U23" s="44"/>
      <c r="V23" s="31">
        <f>T23</f>
        <v>0</v>
      </c>
      <c r="W23" s="43">
        <v>0</v>
      </c>
      <c r="X23" s="44"/>
      <c r="Y23" s="31">
        <f>W23</f>
        <v>0</v>
      </c>
      <c r="Z23" s="43">
        <v>0</v>
      </c>
      <c r="AA23" s="44"/>
      <c r="AB23" s="31">
        <f>Z23</f>
        <v>0</v>
      </c>
      <c r="AC23" s="43">
        <v>0</v>
      </c>
      <c r="AD23" s="44"/>
      <c r="AE23" s="31">
        <f>AC23</f>
        <v>0</v>
      </c>
      <c r="AF23" s="43">
        <v>0</v>
      </c>
      <c r="AG23" s="44"/>
      <c r="AH23" s="31">
        <f>AF23</f>
        <v>0</v>
      </c>
      <c r="AI23" s="43">
        <v>0</v>
      </c>
      <c r="AJ23" s="44"/>
      <c r="AK23" s="31">
        <f>AI23</f>
        <v>0</v>
      </c>
      <c r="AL23" s="43">
        <v>0</v>
      </c>
      <c r="AM23" s="44"/>
      <c r="AN23" s="176">
        <f>AL23</f>
        <v>0</v>
      </c>
    </row>
    <row r="24" spans="2:40" ht="14.25" customHeight="1">
      <c r="B24" s="48"/>
      <c r="C24" s="321"/>
      <c r="D24" s="49"/>
      <c r="E24" s="50"/>
      <c r="F24" s="51">
        <f>G23</f>
        <v>0</v>
      </c>
      <c r="G24" s="52"/>
      <c r="H24" s="50"/>
      <c r="I24" s="51">
        <f>J23</f>
        <v>0</v>
      </c>
      <c r="J24" s="52"/>
      <c r="K24" s="50"/>
      <c r="L24" s="51">
        <f>M23</f>
        <v>48</v>
      </c>
      <c r="M24" s="52"/>
      <c r="N24" s="50"/>
      <c r="O24" s="51">
        <f>P23</f>
        <v>0</v>
      </c>
      <c r="P24" s="52"/>
      <c r="Q24" s="50"/>
      <c r="R24" s="51">
        <f>S23</f>
        <v>0</v>
      </c>
      <c r="S24" s="52"/>
      <c r="T24" s="50"/>
      <c r="U24" s="51">
        <f>V23</f>
        <v>0</v>
      </c>
      <c r="V24" s="52"/>
      <c r="W24" s="50"/>
      <c r="X24" s="51">
        <f>Y23</f>
        <v>0</v>
      </c>
      <c r="Y24" s="52"/>
      <c r="Z24" s="50"/>
      <c r="AA24" s="51">
        <f>AB23</f>
        <v>0</v>
      </c>
      <c r="AB24" s="52"/>
      <c r="AC24" s="50"/>
      <c r="AD24" s="51">
        <f>AE23</f>
        <v>0</v>
      </c>
      <c r="AE24" s="52"/>
      <c r="AF24" s="50"/>
      <c r="AG24" s="51">
        <f>AH23</f>
        <v>0</v>
      </c>
      <c r="AH24" s="52"/>
      <c r="AI24" s="50"/>
      <c r="AJ24" s="51">
        <f>AK23</f>
        <v>0</v>
      </c>
      <c r="AK24" s="52"/>
      <c r="AL24" s="50"/>
      <c r="AM24" s="51">
        <f>AN23</f>
        <v>0</v>
      </c>
      <c r="AN24" s="177"/>
    </row>
    <row r="25" spans="2:40" ht="14.25" customHeight="1" hidden="1">
      <c r="B25" s="34">
        <v>5</v>
      </c>
      <c r="C25" s="319" t="str">
        <f>MARET!B22</f>
        <v>Penyediaan Komponen Instalasi Listrik &amp; Penerangan Bangunan Kantor</v>
      </c>
      <c r="D25" s="35">
        <f>MARET!C22</f>
        <v>0</v>
      </c>
      <c r="E25" s="36"/>
      <c r="F25" s="37">
        <f>100*(0)</f>
        <v>0</v>
      </c>
      <c r="G25" s="38"/>
      <c r="H25" s="39"/>
      <c r="I25" s="37">
        <f>100*(0)</f>
        <v>0</v>
      </c>
      <c r="J25" s="41"/>
      <c r="K25" s="39"/>
      <c r="L25" s="37">
        <f>100*(0)</f>
        <v>0</v>
      </c>
      <c r="M25" s="41"/>
      <c r="N25" s="39"/>
      <c r="O25" s="37">
        <f>100*(0)</f>
        <v>0</v>
      </c>
      <c r="P25" s="41"/>
      <c r="Q25" s="39"/>
      <c r="R25" s="40">
        <f>O25</f>
        <v>0</v>
      </c>
      <c r="S25" s="41"/>
      <c r="T25" s="39"/>
      <c r="U25" s="40">
        <f>R25</f>
        <v>0</v>
      </c>
      <c r="V25" s="41"/>
      <c r="W25" s="39"/>
      <c r="X25" s="40">
        <f>U25</f>
        <v>0</v>
      </c>
      <c r="Y25" s="41"/>
      <c r="Z25" s="39"/>
      <c r="AA25" s="40">
        <f>X25</f>
        <v>0</v>
      </c>
      <c r="AB25" s="41"/>
      <c r="AC25" s="39"/>
      <c r="AD25" s="40">
        <f>AA25</f>
        <v>0</v>
      </c>
      <c r="AE25" s="41"/>
      <c r="AF25" s="39"/>
      <c r="AG25" s="40">
        <f>AD25</f>
        <v>0</v>
      </c>
      <c r="AH25" s="41"/>
      <c r="AI25" s="39"/>
      <c r="AJ25" s="40">
        <f>AG25</f>
        <v>0</v>
      </c>
      <c r="AK25" s="120"/>
      <c r="AL25" s="39"/>
      <c r="AM25" s="40">
        <f>AJ25</f>
        <v>0</v>
      </c>
      <c r="AN25" s="42"/>
    </row>
    <row r="26" spans="2:40" ht="14.25" customHeight="1" hidden="1">
      <c r="B26" s="12"/>
      <c r="C26" s="320"/>
      <c r="D26" s="13"/>
      <c r="E26" s="43">
        <v>0</v>
      </c>
      <c r="F26" s="44"/>
      <c r="G26" s="31">
        <v>0</v>
      </c>
      <c r="H26" s="45">
        <v>0</v>
      </c>
      <c r="I26" s="46"/>
      <c r="J26" s="29">
        <v>0</v>
      </c>
      <c r="K26" s="45">
        <v>0</v>
      </c>
      <c r="L26" s="46"/>
      <c r="M26" s="29">
        <v>0</v>
      </c>
      <c r="N26" s="45">
        <v>0</v>
      </c>
      <c r="O26" s="46"/>
      <c r="P26" s="29">
        <v>0</v>
      </c>
      <c r="Q26" s="45">
        <v>0</v>
      </c>
      <c r="R26" s="46"/>
      <c r="S26" s="29">
        <v>0</v>
      </c>
      <c r="T26" s="45">
        <v>0</v>
      </c>
      <c r="U26" s="46"/>
      <c r="V26" s="29">
        <v>0</v>
      </c>
      <c r="W26" s="45">
        <v>0</v>
      </c>
      <c r="X26" s="46"/>
      <c r="Y26" s="29">
        <v>0</v>
      </c>
      <c r="Z26" s="45">
        <v>0</v>
      </c>
      <c r="AA26" s="46"/>
      <c r="AB26" s="29">
        <v>0</v>
      </c>
      <c r="AC26" s="45">
        <v>0</v>
      </c>
      <c r="AD26" s="46"/>
      <c r="AE26" s="29">
        <v>0</v>
      </c>
      <c r="AF26" s="45">
        <v>0</v>
      </c>
      <c r="AG26" s="46"/>
      <c r="AH26" s="29">
        <v>0</v>
      </c>
      <c r="AI26" s="45">
        <v>0</v>
      </c>
      <c r="AJ26" s="46"/>
      <c r="AK26" s="29">
        <v>0</v>
      </c>
      <c r="AL26" s="45">
        <v>0</v>
      </c>
      <c r="AM26" s="46"/>
      <c r="AN26" s="47">
        <v>0</v>
      </c>
    </row>
    <row r="27" spans="2:40" ht="14.25" customHeight="1" hidden="1">
      <c r="B27" s="48"/>
      <c r="C27" s="321"/>
      <c r="D27" s="49"/>
      <c r="E27" s="50"/>
      <c r="F27" s="51">
        <v>0</v>
      </c>
      <c r="G27" s="52"/>
      <c r="H27" s="53"/>
      <c r="I27" s="54">
        <v>0</v>
      </c>
      <c r="J27" s="55"/>
      <c r="K27" s="53"/>
      <c r="L27" s="54">
        <v>0</v>
      </c>
      <c r="M27" s="55"/>
      <c r="N27" s="53"/>
      <c r="O27" s="54">
        <v>0</v>
      </c>
      <c r="P27" s="55"/>
      <c r="Q27" s="53"/>
      <c r="R27" s="54">
        <v>0</v>
      </c>
      <c r="S27" s="55"/>
      <c r="T27" s="53"/>
      <c r="U27" s="54">
        <v>0</v>
      </c>
      <c r="V27" s="55"/>
      <c r="W27" s="53"/>
      <c r="X27" s="54">
        <v>0</v>
      </c>
      <c r="Y27" s="55"/>
      <c r="Z27" s="53"/>
      <c r="AA27" s="54">
        <v>0</v>
      </c>
      <c r="AB27" s="55"/>
      <c r="AC27" s="53"/>
      <c r="AD27" s="54">
        <v>0</v>
      </c>
      <c r="AE27" s="55"/>
      <c r="AF27" s="53"/>
      <c r="AG27" s="54">
        <v>0</v>
      </c>
      <c r="AH27" s="55"/>
      <c r="AI27" s="53"/>
      <c r="AJ27" s="54">
        <v>0</v>
      </c>
      <c r="AK27" s="55"/>
      <c r="AL27" s="53"/>
      <c r="AM27" s="54">
        <v>0</v>
      </c>
      <c r="AN27" s="56"/>
    </row>
    <row r="28" spans="2:40" ht="14.25" customHeight="1">
      <c r="B28" s="139">
        <v>5</v>
      </c>
      <c r="C28" s="308" t="str">
        <f>MARET!B24</f>
        <v>Penyediaan Bahan Logistik Kantor</v>
      </c>
      <c r="D28" s="159">
        <f>MARET!C24</f>
        <v>17083800</v>
      </c>
      <c r="E28" s="141"/>
      <c r="F28" s="142">
        <f>1423650*1/$D$28*100</f>
        <v>8.333333333333332</v>
      </c>
      <c r="G28" s="143"/>
      <c r="H28" s="144"/>
      <c r="I28" s="142">
        <f>1423650*2/$D$28*100</f>
        <v>16.666666666666664</v>
      </c>
      <c r="J28" s="146"/>
      <c r="K28" s="144"/>
      <c r="L28" s="142">
        <f>1423650*3/$D$28*100</f>
        <v>25</v>
      </c>
      <c r="M28" s="146"/>
      <c r="N28" s="144"/>
      <c r="O28" s="142">
        <f>1423650*4/$D$28*100</f>
        <v>33.33333333333333</v>
      </c>
      <c r="P28" s="146"/>
      <c r="Q28" s="144"/>
      <c r="R28" s="142">
        <f>1423650*5/$D$28*100</f>
        <v>41.66666666666667</v>
      </c>
      <c r="S28" s="146"/>
      <c r="T28" s="144"/>
      <c r="U28" s="142">
        <f>1423650*6/$D$28*100</f>
        <v>50</v>
      </c>
      <c r="V28" s="146"/>
      <c r="W28" s="144"/>
      <c r="X28" s="142">
        <f>1423650*7/$D$28*100</f>
        <v>58.333333333333336</v>
      </c>
      <c r="Y28" s="146"/>
      <c r="Z28" s="144"/>
      <c r="AA28" s="142">
        <f>1423650*8/$D$28*100</f>
        <v>66.66666666666666</v>
      </c>
      <c r="AB28" s="146"/>
      <c r="AC28" s="144"/>
      <c r="AD28" s="145">
        <f>1423650*9/$D$28*100</f>
        <v>75</v>
      </c>
      <c r="AE28" s="146"/>
      <c r="AF28" s="144"/>
      <c r="AG28" s="145">
        <f>1423650*10/$D$28*100</f>
        <v>83.33333333333334</v>
      </c>
      <c r="AH28" s="146"/>
      <c r="AI28" s="144"/>
      <c r="AJ28" s="145">
        <f>1423650*11/$D$28*100</f>
        <v>91.66666666666666</v>
      </c>
      <c r="AK28" s="146"/>
      <c r="AL28" s="144"/>
      <c r="AM28" s="145">
        <f>1423650*12/$D$28*100</f>
        <v>100</v>
      </c>
      <c r="AN28" s="147"/>
    </row>
    <row r="29" spans="2:40" ht="14.25" customHeight="1">
      <c r="B29" s="149"/>
      <c r="C29" s="327"/>
      <c r="D29" s="160"/>
      <c r="E29" s="151">
        <v>0</v>
      </c>
      <c r="F29" s="152"/>
      <c r="G29" s="153">
        <f>E29</f>
        <v>0</v>
      </c>
      <c r="H29" s="151">
        <v>2</v>
      </c>
      <c r="I29" s="152"/>
      <c r="J29" s="153">
        <f>H29</f>
        <v>2</v>
      </c>
      <c r="K29" s="151">
        <v>10</v>
      </c>
      <c r="L29" s="152"/>
      <c r="M29" s="153">
        <f>K29</f>
        <v>10</v>
      </c>
      <c r="N29" s="151">
        <v>0</v>
      </c>
      <c r="O29" s="152"/>
      <c r="P29" s="153">
        <f>N29</f>
        <v>0</v>
      </c>
      <c r="Q29" s="151">
        <v>0</v>
      </c>
      <c r="R29" s="152"/>
      <c r="S29" s="153">
        <f>Q29</f>
        <v>0</v>
      </c>
      <c r="T29" s="151">
        <v>0</v>
      </c>
      <c r="U29" s="152"/>
      <c r="V29" s="153">
        <f>T29</f>
        <v>0</v>
      </c>
      <c r="W29" s="151">
        <v>0</v>
      </c>
      <c r="X29" s="152"/>
      <c r="Y29" s="153">
        <f>W29</f>
        <v>0</v>
      </c>
      <c r="Z29" s="151">
        <v>0</v>
      </c>
      <c r="AA29" s="152"/>
      <c r="AB29" s="153">
        <f>Z29</f>
        <v>0</v>
      </c>
      <c r="AC29" s="151">
        <v>0</v>
      </c>
      <c r="AD29" s="152"/>
      <c r="AE29" s="153">
        <f>AC29</f>
        <v>0</v>
      </c>
      <c r="AF29" s="151">
        <v>0</v>
      </c>
      <c r="AG29" s="152"/>
      <c r="AH29" s="153">
        <f>AF29</f>
        <v>0</v>
      </c>
      <c r="AI29" s="151">
        <v>0</v>
      </c>
      <c r="AJ29" s="152"/>
      <c r="AK29" s="153">
        <f>AI29</f>
        <v>0</v>
      </c>
      <c r="AL29" s="151">
        <v>0</v>
      </c>
      <c r="AM29" s="152"/>
      <c r="AN29" s="174">
        <f>AL29</f>
        <v>0</v>
      </c>
    </row>
    <row r="30" spans="2:40" ht="14.25" customHeight="1">
      <c r="B30" s="154"/>
      <c r="C30" s="328"/>
      <c r="D30" s="161"/>
      <c r="E30" s="156"/>
      <c r="F30" s="157">
        <f>G29</f>
        <v>0</v>
      </c>
      <c r="G30" s="158"/>
      <c r="H30" s="156"/>
      <c r="I30" s="157">
        <f>J29</f>
        <v>2</v>
      </c>
      <c r="J30" s="158"/>
      <c r="K30" s="156"/>
      <c r="L30" s="157">
        <f>M29</f>
        <v>10</v>
      </c>
      <c r="M30" s="158"/>
      <c r="N30" s="156"/>
      <c r="O30" s="157">
        <f>P29</f>
        <v>0</v>
      </c>
      <c r="P30" s="158"/>
      <c r="Q30" s="156"/>
      <c r="R30" s="157">
        <f>S29</f>
        <v>0</v>
      </c>
      <c r="S30" s="158"/>
      <c r="T30" s="156"/>
      <c r="U30" s="157">
        <f>V29</f>
        <v>0</v>
      </c>
      <c r="V30" s="158"/>
      <c r="W30" s="156"/>
      <c r="X30" s="157">
        <f>Y29</f>
        <v>0</v>
      </c>
      <c r="Y30" s="158"/>
      <c r="Z30" s="156"/>
      <c r="AA30" s="157">
        <f>AB29</f>
        <v>0</v>
      </c>
      <c r="AB30" s="158"/>
      <c r="AC30" s="156"/>
      <c r="AD30" s="157">
        <f>AE29</f>
        <v>0</v>
      </c>
      <c r="AE30" s="158"/>
      <c r="AF30" s="156"/>
      <c r="AG30" s="157">
        <f>AH29</f>
        <v>0</v>
      </c>
      <c r="AH30" s="158"/>
      <c r="AI30" s="156"/>
      <c r="AJ30" s="157">
        <f>AK29</f>
        <v>0</v>
      </c>
      <c r="AK30" s="158"/>
      <c r="AL30" s="156"/>
      <c r="AM30" s="157">
        <f>AN29</f>
        <v>0</v>
      </c>
      <c r="AN30" s="175"/>
    </row>
    <row r="31" spans="2:40" ht="14.25" customHeight="1">
      <c r="B31" s="34">
        <v>6</v>
      </c>
      <c r="C31" s="319" t="str">
        <f>MARET!B26</f>
        <v>Penyediaan Barang Cetakan dan Penggandaan </v>
      </c>
      <c r="D31" s="35">
        <f>MARET!C26</f>
        <v>14622400</v>
      </c>
      <c r="E31" s="36"/>
      <c r="F31" s="37">
        <f>1218533*1/$D$31*100</f>
        <v>8.333331053725791</v>
      </c>
      <c r="G31" s="38"/>
      <c r="H31" s="39"/>
      <c r="I31" s="37">
        <f>1218533*2/$D$31*100</f>
        <v>16.666662107451582</v>
      </c>
      <c r="J31" s="41"/>
      <c r="K31" s="39"/>
      <c r="L31" s="37">
        <f>1218533*3/$D$31*100</f>
        <v>24.999993161177372</v>
      </c>
      <c r="M31" s="41"/>
      <c r="N31" s="39"/>
      <c r="O31" s="37">
        <f>1218533*4/$D$31*100</f>
        <v>33.333324214903165</v>
      </c>
      <c r="P31" s="41"/>
      <c r="Q31" s="39"/>
      <c r="R31" s="37">
        <f>1218533*5/$D$31*100</f>
        <v>41.66665526862896</v>
      </c>
      <c r="S31" s="41"/>
      <c r="T31" s="39"/>
      <c r="U31" s="37">
        <f>1218533*6/$D$31*100</f>
        <v>49.999986322354744</v>
      </c>
      <c r="V31" s="41"/>
      <c r="W31" s="39"/>
      <c r="X31" s="37">
        <f>1218533*7/$D$31*100</f>
        <v>58.33331737608053</v>
      </c>
      <c r="Y31" s="41"/>
      <c r="Z31" s="39"/>
      <c r="AA31" s="37">
        <f>1218533*8/$D$31*100</f>
        <v>66.66664842980633</v>
      </c>
      <c r="AB31" s="41"/>
      <c r="AC31" s="39"/>
      <c r="AD31" s="37">
        <f>1218533*9/$D$31*100</f>
        <v>74.99997948353212</v>
      </c>
      <c r="AE31" s="41"/>
      <c r="AF31" s="39"/>
      <c r="AG31" s="37">
        <f>1218533*10/$D$31*100</f>
        <v>83.33331053725792</v>
      </c>
      <c r="AH31" s="41"/>
      <c r="AI31" s="39"/>
      <c r="AJ31" s="37">
        <f>1218533*11/$D$31*100</f>
        <v>91.6666415909837</v>
      </c>
      <c r="AK31" s="41"/>
      <c r="AL31" s="39"/>
      <c r="AM31" s="37">
        <f>1218533*12/$D$31*100</f>
        <v>99.99997264470949</v>
      </c>
      <c r="AN31" s="42"/>
    </row>
    <row r="32" spans="2:40" ht="14.25" customHeight="1">
      <c r="B32" s="12"/>
      <c r="C32" s="320"/>
      <c r="D32" s="13"/>
      <c r="E32" s="43">
        <v>0</v>
      </c>
      <c r="F32" s="44"/>
      <c r="G32" s="31">
        <f>E32</f>
        <v>0</v>
      </c>
      <c r="H32" s="43">
        <v>0</v>
      </c>
      <c r="I32" s="44"/>
      <c r="J32" s="31">
        <f>H32</f>
        <v>0</v>
      </c>
      <c r="K32" s="43">
        <v>13</v>
      </c>
      <c r="L32" s="44"/>
      <c r="M32" s="31">
        <f>K32</f>
        <v>13</v>
      </c>
      <c r="N32" s="43">
        <v>0</v>
      </c>
      <c r="O32" s="44"/>
      <c r="P32" s="31">
        <f>N32</f>
        <v>0</v>
      </c>
      <c r="Q32" s="43">
        <v>0</v>
      </c>
      <c r="R32" s="44"/>
      <c r="S32" s="31">
        <f>Q32</f>
        <v>0</v>
      </c>
      <c r="T32" s="43">
        <v>0</v>
      </c>
      <c r="U32" s="44"/>
      <c r="V32" s="31">
        <f>T32</f>
        <v>0</v>
      </c>
      <c r="W32" s="43">
        <v>0</v>
      </c>
      <c r="X32" s="44"/>
      <c r="Y32" s="31">
        <f>W32</f>
        <v>0</v>
      </c>
      <c r="Z32" s="43">
        <v>0</v>
      </c>
      <c r="AA32" s="44"/>
      <c r="AB32" s="31">
        <f>Z32</f>
        <v>0</v>
      </c>
      <c r="AC32" s="43">
        <v>0</v>
      </c>
      <c r="AD32" s="44"/>
      <c r="AE32" s="31">
        <f>AC32</f>
        <v>0</v>
      </c>
      <c r="AF32" s="43">
        <v>0</v>
      </c>
      <c r="AG32" s="44"/>
      <c r="AH32" s="31">
        <f>AF32</f>
        <v>0</v>
      </c>
      <c r="AI32" s="43">
        <v>0</v>
      </c>
      <c r="AJ32" s="44"/>
      <c r="AK32" s="31">
        <f>AI32</f>
        <v>0</v>
      </c>
      <c r="AL32" s="43">
        <v>0</v>
      </c>
      <c r="AM32" s="44"/>
      <c r="AN32" s="176">
        <f>AL32</f>
        <v>0</v>
      </c>
    </row>
    <row r="33" spans="2:40" ht="14.25" customHeight="1">
      <c r="B33" s="48"/>
      <c r="C33" s="321"/>
      <c r="D33" s="49"/>
      <c r="E33" s="50"/>
      <c r="F33" s="51">
        <f>G32</f>
        <v>0</v>
      </c>
      <c r="G33" s="52"/>
      <c r="H33" s="50"/>
      <c r="I33" s="51">
        <f>J32</f>
        <v>0</v>
      </c>
      <c r="J33" s="52"/>
      <c r="K33" s="50"/>
      <c r="L33" s="51">
        <f>M32</f>
        <v>13</v>
      </c>
      <c r="M33" s="52"/>
      <c r="N33" s="50"/>
      <c r="O33" s="51">
        <f>P32</f>
        <v>0</v>
      </c>
      <c r="P33" s="52"/>
      <c r="Q33" s="50"/>
      <c r="R33" s="51">
        <f>S32</f>
        <v>0</v>
      </c>
      <c r="S33" s="52"/>
      <c r="T33" s="50"/>
      <c r="U33" s="51">
        <f>V32</f>
        <v>0</v>
      </c>
      <c r="V33" s="52"/>
      <c r="W33" s="50"/>
      <c r="X33" s="51">
        <f>Y32</f>
        <v>0</v>
      </c>
      <c r="Y33" s="52"/>
      <c r="Z33" s="50"/>
      <c r="AA33" s="51">
        <f>AB32</f>
        <v>0</v>
      </c>
      <c r="AB33" s="52"/>
      <c r="AC33" s="50"/>
      <c r="AD33" s="51">
        <f>AE32</f>
        <v>0</v>
      </c>
      <c r="AE33" s="52"/>
      <c r="AF33" s="50"/>
      <c r="AG33" s="51">
        <f>AH32</f>
        <v>0</v>
      </c>
      <c r="AH33" s="52"/>
      <c r="AI33" s="50"/>
      <c r="AJ33" s="51">
        <f>AK32</f>
        <v>0</v>
      </c>
      <c r="AK33" s="52"/>
      <c r="AL33" s="50"/>
      <c r="AM33" s="51">
        <f>AN32</f>
        <v>0</v>
      </c>
      <c r="AN33" s="177"/>
    </row>
    <row r="34" spans="2:40" s="205" customFormat="1" ht="14.25" customHeight="1">
      <c r="B34" s="206">
        <v>7</v>
      </c>
      <c r="C34" s="343" t="str">
        <f>MARET!B28</f>
        <v>Penyediaan Bahan Bacaan dan Peraturan Perundang-undangan</v>
      </c>
      <c r="D34" s="207">
        <f>MARET!C28</f>
        <v>1920000</v>
      </c>
      <c r="E34" s="208"/>
      <c r="F34" s="209">
        <f>160000*1/$D$34*100</f>
        <v>8.333333333333332</v>
      </c>
      <c r="G34" s="210"/>
      <c r="H34" s="211"/>
      <c r="I34" s="209">
        <f>160000*2/$D$34*100</f>
        <v>16.666666666666664</v>
      </c>
      <c r="J34" s="212"/>
      <c r="K34" s="211"/>
      <c r="L34" s="209">
        <f>160000*3/$D$34*100</f>
        <v>25</v>
      </c>
      <c r="M34" s="212"/>
      <c r="N34" s="211"/>
      <c r="O34" s="209">
        <f>160000*4/$D$34*100</f>
        <v>33.33333333333333</v>
      </c>
      <c r="P34" s="212"/>
      <c r="Q34" s="211"/>
      <c r="R34" s="209">
        <f>160000*5/$D$34*100</f>
        <v>41.66666666666667</v>
      </c>
      <c r="S34" s="212"/>
      <c r="T34" s="211"/>
      <c r="U34" s="209">
        <f>160000*6/$D$34*100</f>
        <v>50</v>
      </c>
      <c r="V34" s="212"/>
      <c r="W34" s="211"/>
      <c r="X34" s="209">
        <f>160000*7/$D$34*100</f>
        <v>58.333333333333336</v>
      </c>
      <c r="Y34" s="212"/>
      <c r="Z34" s="211"/>
      <c r="AA34" s="209">
        <f>160000*8/$D$34*100</f>
        <v>66.66666666666666</v>
      </c>
      <c r="AB34" s="212"/>
      <c r="AC34" s="211"/>
      <c r="AD34" s="213">
        <f>160000*9/$D$34*100</f>
        <v>75</v>
      </c>
      <c r="AE34" s="212"/>
      <c r="AF34" s="211"/>
      <c r="AG34" s="213">
        <f>160000*10/$D$34*100</f>
        <v>83.33333333333334</v>
      </c>
      <c r="AH34" s="212"/>
      <c r="AI34" s="211"/>
      <c r="AJ34" s="213">
        <f>160000*11/$D$34*100</f>
        <v>91.66666666666666</v>
      </c>
      <c r="AK34" s="212"/>
      <c r="AL34" s="211"/>
      <c r="AM34" s="213">
        <f>160000*12/$D$34*100</f>
        <v>100</v>
      </c>
      <c r="AN34" s="214"/>
    </row>
    <row r="35" spans="2:40" s="205" customFormat="1" ht="14.25" customHeight="1">
      <c r="B35" s="215"/>
      <c r="C35" s="344"/>
      <c r="D35" s="216"/>
      <c r="E35" s="217">
        <v>0</v>
      </c>
      <c r="F35" s="218"/>
      <c r="G35" s="219">
        <f>E35</f>
        <v>0</v>
      </c>
      <c r="H35" s="217">
        <v>8</v>
      </c>
      <c r="I35" s="218"/>
      <c r="J35" s="219">
        <f>H35</f>
        <v>8</v>
      </c>
      <c r="K35" s="217">
        <v>17</v>
      </c>
      <c r="L35" s="218"/>
      <c r="M35" s="219">
        <f>K35</f>
        <v>17</v>
      </c>
      <c r="N35" s="217">
        <v>0</v>
      </c>
      <c r="O35" s="218"/>
      <c r="P35" s="219">
        <f>N35</f>
        <v>0</v>
      </c>
      <c r="Q35" s="217">
        <v>0</v>
      </c>
      <c r="R35" s="218"/>
      <c r="S35" s="219">
        <f>Q35</f>
        <v>0</v>
      </c>
      <c r="T35" s="217">
        <v>0</v>
      </c>
      <c r="U35" s="218"/>
      <c r="V35" s="219">
        <f>T35</f>
        <v>0</v>
      </c>
      <c r="W35" s="217">
        <v>0</v>
      </c>
      <c r="X35" s="218"/>
      <c r="Y35" s="219">
        <f>W35</f>
        <v>0</v>
      </c>
      <c r="Z35" s="217">
        <v>0</v>
      </c>
      <c r="AA35" s="218"/>
      <c r="AB35" s="219">
        <f>Z35</f>
        <v>0</v>
      </c>
      <c r="AC35" s="217">
        <v>0</v>
      </c>
      <c r="AD35" s="218"/>
      <c r="AE35" s="219">
        <f>AC35</f>
        <v>0</v>
      </c>
      <c r="AF35" s="217">
        <v>0</v>
      </c>
      <c r="AG35" s="218"/>
      <c r="AH35" s="219">
        <f>AF35</f>
        <v>0</v>
      </c>
      <c r="AI35" s="217">
        <v>0</v>
      </c>
      <c r="AJ35" s="218"/>
      <c r="AK35" s="219">
        <f>AI35</f>
        <v>0</v>
      </c>
      <c r="AL35" s="217">
        <v>0</v>
      </c>
      <c r="AM35" s="218"/>
      <c r="AN35" s="220">
        <f>AL35</f>
        <v>0</v>
      </c>
    </row>
    <row r="36" spans="2:40" s="205" customFormat="1" ht="14.25" customHeight="1">
      <c r="B36" s="221"/>
      <c r="C36" s="345"/>
      <c r="D36" s="222"/>
      <c r="E36" s="223"/>
      <c r="F36" s="224">
        <f>G35</f>
        <v>0</v>
      </c>
      <c r="G36" s="225"/>
      <c r="H36" s="223"/>
      <c r="I36" s="224">
        <f>J35</f>
        <v>8</v>
      </c>
      <c r="J36" s="225"/>
      <c r="K36" s="223"/>
      <c r="L36" s="224">
        <f>M35</f>
        <v>17</v>
      </c>
      <c r="M36" s="225"/>
      <c r="N36" s="223"/>
      <c r="O36" s="224">
        <f>P35</f>
        <v>0</v>
      </c>
      <c r="P36" s="225"/>
      <c r="Q36" s="223"/>
      <c r="R36" s="224">
        <f>S35</f>
        <v>0</v>
      </c>
      <c r="S36" s="225"/>
      <c r="T36" s="223"/>
      <c r="U36" s="224">
        <f>V35</f>
        <v>0</v>
      </c>
      <c r="V36" s="225"/>
      <c r="W36" s="223"/>
      <c r="X36" s="224">
        <f>Y35</f>
        <v>0</v>
      </c>
      <c r="Y36" s="225"/>
      <c r="Z36" s="223"/>
      <c r="AA36" s="224">
        <f>AB35</f>
        <v>0</v>
      </c>
      <c r="AB36" s="225"/>
      <c r="AC36" s="223"/>
      <c r="AD36" s="224">
        <f>AE35</f>
        <v>0</v>
      </c>
      <c r="AE36" s="225"/>
      <c r="AF36" s="223"/>
      <c r="AG36" s="224">
        <f>AH35</f>
        <v>0</v>
      </c>
      <c r="AH36" s="225"/>
      <c r="AI36" s="223"/>
      <c r="AJ36" s="224">
        <f>AK35</f>
        <v>0</v>
      </c>
      <c r="AK36" s="225"/>
      <c r="AL36" s="223"/>
      <c r="AM36" s="224">
        <f>AN35</f>
        <v>0</v>
      </c>
      <c r="AN36" s="226"/>
    </row>
    <row r="37" spans="2:40" ht="14.25" customHeight="1">
      <c r="B37" s="34">
        <v>8</v>
      </c>
      <c r="C37" s="319" t="str">
        <f>MARET!B30</f>
        <v>Penyelenggaraan Rapat Koordinasi dan Konsultasi SKPD</v>
      </c>
      <c r="D37" s="35">
        <f>MARET!C30</f>
        <v>41000000</v>
      </c>
      <c r="E37" s="36"/>
      <c r="F37" s="37">
        <f>3416667*1/$D$37*100</f>
        <v>8.333334146341462</v>
      </c>
      <c r="G37" s="38"/>
      <c r="H37" s="39"/>
      <c r="I37" s="37">
        <f>3416667*2/$D$37*100</f>
        <v>16.666668292682925</v>
      </c>
      <c r="J37" s="41"/>
      <c r="K37" s="39"/>
      <c r="L37" s="37">
        <f>3416667*3/$D$37*100</f>
        <v>25.00000243902439</v>
      </c>
      <c r="M37" s="41"/>
      <c r="N37" s="39"/>
      <c r="O37" s="37">
        <f>3416667*4/$D$37*100</f>
        <v>33.33333658536585</v>
      </c>
      <c r="P37" s="41"/>
      <c r="Q37" s="39"/>
      <c r="R37" s="37">
        <f>3416667*5/$D$37*100</f>
        <v>41.66667073170732</v>
      </c>
      <c r="S37" s="41"/>
      <c r="T37" s="39"/>
      <c r="U37" s="37">
        <f>3416667*6/$D$37*100</f>
        <v>50.00000487804878</v>
      </c>
      <c r="V37" s="41"/>
      <c r="W37" s="39"/>
      <c r="X37" s="37">
        <f>3416667*7/$D$37*100</f>
        <v>58.33333902439024</v>
      </c>
      <c r="Y37" s="41"/>
      <c r="Z37" s="39"/>
      <c r="AA37" s="37">
        <f>3416667*8/$D$37*100</f>
        <v>66.6666731707317</v>
      </c>
      <c r="AB37" s="41"/>
      <c r="AC37" s="39"/>
      <c r="AD37" s="37">
        <f>3416667*9/$D$37*100</f>
        <v>75.00000731707317</v>
      </c>
      <c r="AE37" s="41"/>
      <c r="AF37" s="39"/>
      <c r="AG37" s="37">
        <f>3416667*10/$D$37*100</f>
        <v>83.33334146341464</v>
      </c>
      <c r="AH37" s="41"/>
      <c r="AI37" s="39"/>
      <c r="AJ37" s="37">
        <f>3416667*11/$D$37*100</f>
        <v>91.6666756097561</v>
      </c>
      <c r="AK37" s="41"/>
      <c r="AL37" s="39"/>
      <c r="AM37" s="37">
        <f>3416667*12/$D$37*100</f>
        <v>100.00000975609755</v>
      </c>
      <c r="AN37" s="42"/>
    </row>
    <row r="38" spans="2:40" ht="14.25" customHeight="1">
      <c r="B38" s="12"/>
      <c r="C38" s="320"/>
      <c r="D38" s="13"/>
      <c r="E38" s="43">
        <v>0</v>
      </c>
      <c r="F38" s="44"/>
      <c r="G38" s="31">
        <f>E38</f>
        <v>0</v>
      </c>
      <c r="H38" s="43">
        <v>6</v>
      </c>
      <c r="I38" s="44"/>
      <c r="J38" s="31">
        <f>H38</f>
        <v>6</v>
      </c>
      <c r="K38" s="43">
        <v>12</v>
      </c>
      <c r="L38" s="44"/>
      <c r="M38" s="31">
        <f>K38</f>
        <v>12</v>
      </c>
      <c r="N38" s="43">
        <v>0</v>
      </c>
      <c r="O38" s="44"/>
      <c r="P38" s="31">
        <f>N38</f>
        <v>0</v>
      </c>
      <c r="Q38" s="43">
        <v>0</v>
      </c>
      <c r="R38" s="44"/>
      <c r="S38" s="31">
        <f>Q38</f>
        <v>0</v>
      </c>
      <c r="T38" s="43">
        <v>0</v>
      </c>
      <c r="U38" s="44"/>
      <c r="V38" s="31">
        <f>T38</f>
        <v>0</v>
      </c>
      <c r="W38" s="43">
        <v>0</v>
      </c>
      <c r="X38" s="44"/>
      <c r="Y38" s="31">
        <f>W38</f>
        <v>0</v>
      </c>
      <c r="Z38" s="43">
        <v>0</v>
      </c>
      <c r="AA38" s="44"/>
      <c r="AB38" s="31">
        <f>Z38</f>
        <v>0</v>
      </c>
      <c r="AC38" s="43">
        <v>0</v>
      </c>
      <c r="AD38" s="44"/>
      <c r="AE38" s="31">
        <f>AC38</f>
        <v>0</v>
      </c>
      <c r="AF38" s="43">
        <v>0</v>
      </c>
      <c r="AG38" s="44"/>
      <c r="AH38" s="31">
        <f>AF38</f>
        <v>0</v>
      </c>
      <c r="AI38" s="43">
        <v>0</v>
      </c>
      <c r="AJ38" s="44"/>
      <c r="AK38" s="31">
        <f>AI38</f>
        <v>0</v>
      </c>
      <c r="AL38" s="43">
        <v>0</v>
      </c>
      <c r="AM38" s="44"/>
      <c r="AN38" s="176">
        <f>AL38</f>
        <v>0</v>
      </c>
    </row>
    <row r="39" spans="2:40" ht="14.25" customHeight="1">
      <c r="B39" s="48"/>
      <c r="C39" s="321"/>
      <c r="D39" s="49"/>
      <c r="E39" s="50"/>
      <c r="F39" s="51">
        <f>G38</f>
        <v>0</v>
      </c>
      <c r="G39" s="52"/>
      <c r="H39" s="50"/>
      <c r="I39" s="51">
        <f>J38</f>
        <v>6</v>
      </c>
      <c r="J39" s="52"/>
      <c r="K39" s="50"/>
      <c r="L39" s="51">
        <f>M38</f>
        <v>12</v>
      </c>
      <c r="M39" s="52"/>
      <c r="N39" s="50"/>
      <c r="O39" s="51">
        <f>P38</f>
        <v>0</v>
      </c>
      <c r="P39" s="52"/>
      <c r="Q39" s="50"/>
      <c r="R39" s="51">
        <f>S38</f>
        <v>0</v>
      </c>
      <c r="S39" s="52"/>
      <c r="T39" s="50"/>
      <c r="U39" s="51">
        <f>V38</f>
        <v>0</v>
      </c>
      <c r="V39" s="52"/>
      <c r="W39" s="50"/>
      <c r="X39" s="51">
        <f>Y38</f>
        <v>0</v>
      </c>
      <c r="Y39" s="52"/>
      <c r="Z39" s="50"/>
      <c r="AA39" s="51">
        <f>AB38</f>
        <v>0</v>
      </c>
      <c r="AB39" s="52"/>
      <c r="AC39" s="50"/>
      <c r="AD39" s="51">
        <f>AE38</f>
        <v>0</v>
      </c>
      <c r="AE39" s="52"/>
      <c r="AF39" s="50"/>
      <c r="AG39" s="51">
        <f>AH38</f>
        <v>0</v>
      </c>
      <c r="AH39" s="52"/>
      <c r="AI39" s="50"/>
      <c r="AJ39" s="51">
        <f>AK38</f>
        <v>0</v>
      </c>
      <c r="AK39" s="52"/>
      <c r="AL39" s="50"/>
      <c r="AM39" s="51">
        <f>AN38</f>
        <v>0</v>
      </c>
      <c r="AN39" s="177"/>
    </row>
    <row r="40" spans="2:40" ht="14.25" customHeight="1">
      <c r="B40" s="139">
        <v>9</v>
      </c>
      <c r="C40" s="308" t="str">
        <f>MARET!B32</f>
        <v>Pengadaan Peralatan dan Mesin Lainnya</v>
      </c>
      <c r="D40" s="159">
        <f>MARET!C32</f>
        <v>20802500</v>
      </c>
      <c r="E40" s="141"/>
      <c r="F40" s="142">
        <v>0</v>
      </c>
      <c r="G40" s="143"/>
      <c r="H40" s="144"/>
      <c r="I40" s="142">
        <v>0</v>
      </c>
      <c r="J40" s="146"/>
      <c r="K40" s="144"/>
      <c r="L40" s="142">
        <v>60</v>
      </c>
      <c r="M40" s="146"/>
      <c r="N40" s="144"/>
      <c r="O40" s="142">
        <v>60</v>
      </c>
      <c r="P40" s="146"/>
      <c r="Q40" s="144"/>
      <c r="R40" s="142">
        <v>60</v>
      </c>
      <c r="S40" s="146"/>
      <c r="T40" s="144"/>
      <c r="U40" s="142">
        <v>60</v>
      </c>
      <c r="V40" s="146"/>
      <c r="W40" s="144"/>
      <c r="X40" s="142">
        <v>60</v>
      </c>
      <c r="Y40" s="146"/>
      <c r="Z40" s="144"/>
      <c r="AA40" s="142">
        <v>60</v>
      </c>
      <c r="AB40" s="146"/>
      <c r="AC40" s="144"/>
      <c r="AD40" s="145">
        <v>60</v>
      </c>
      <c r="AE40" s="146"/>
      <c r="AF40" s="144"/>
      <c r="AG40" s="145">
        <v>60</v>
      </c>
      <c r="AH40" s="146"/>
      <c r="AI40" s="144"/>
      <c r="AJ40" s="145">
        <v>60</v>
      </c>
      <c r="AK40" s="146" t="s">
        <v>152</v>
      </c>
      <c r="AL40" s="144"/>
      <c r="AM40" s="145">
        <v>100</v>
      </c>
      <c r="AN40" s="147"/>
    </row>
    <row r="41" spans="2:40" ht="14.25" customHeight="1">
      <c r="B41" s="149"/>
      <c r="C41" s="327"/>
      <c r="D41" s="160"/>
      <c r="E41" s="151">
        <v>0</v>
      </c>
      <c r="F41" s="152"/>
      <c r="G41" s="153">
        <f>E41</f>
        <v>0</v>
      </c>
      <c r="H41" s="151">
        <v>0</v>
      </c>
      <c r="I41" s="152"/>
      <c r="J41" s="153">
        <f>H41</f>
        <v>0</v>
      </c>
      <c r="K41" s="151">
        <v>100</v>
      </c>
      <c r="L41" s="152"/>
      <c r="M41" s="153">
        <f>K41</f>
        <v>100</v>
      </c>
      <c r="N41" s="151">
        <v>0</v>
      </c>
      <c r="O41" s="152"/>
      <c r="P41" s="153">
        <f>N41</f>
        <v>0</v>
      </c>
      <c r="Q41" s="151">
        <v>0</v>
      </c>
      <c r="R41" s="152"/>
      <c r="S41" s="153">
        <f>Q41</f>
        <v>0</v>
      </c>
      <c r="T41" s="151">
        <v>0</v>
      </c>
      <c r="U41" s="152"/>
      <c r="V41" s="153">
        <f>T41</f>
        <v>0</v>
      </c>
      <c r="W41" s="151">
        <v>0</v>
      </c>
      <c r="X41" s="152"/>
      <c r="Y41" s="153">
        <f>W41</f>
        <v>0</v>
      </c>
      <c r="Z41" s="151">
        <v>0</v>
      </c>
      <c r="AA41" s="152"/>
      <c r="AB41" s="153">
        <f>Z41</f>
        <v>0</v>
      </c>
      <c r="AC41" s="151">
        <v>0</v>
      </c>
      <c r="AD41" s="152"/>
      <c r="AE41" s="153">
        <f>AC41</f>
        <v>0</v>
      </c>
      <c r="AF41" s="151">
        <v>0</v>
      </c>
      <c r="AG41" s="152"/>
      <c r="AH41" s="153">
        <f>AF41</f>
        <v>0</v>
      </c>
      <c r="AI41" s="151">
        <v>0</v>
      </c>
      <c r="AJ41" s="152"/>
      <c r="AK41" s="153">
        <f>AI41</f>
        <v>0</v>
      </c>
      <c r="AL41" s="151">
        <v>0</v>
      </c>
      <c r="AM41" s="152"/>
      <c r="AN41" s="174">
        <f>AL41</f>
        <v>0</v>
      </c>
    </row>
    <row r="42" spans="2:40" ht="14.25" customHeight="1">
      <c r="B42" s="154"/>
      <c r="C42" s="328"/>
      <c r="D42" s="161"/>
      <c r="E42" s="156"/>
      <c r="F42" s="157">
        <f>G41</f>
        <v>0</v>
      </c>
      <c r="G42" s="158"/>
      <c r="H42" s="156"/>
      <c r="I42" s="157">
        <f>J41</f>
        <v>0</v>
      </c>
      <c r="J42" s="158"/>
      <c r="K42" s="156"/>
      <c r="L42" s="157">
        <f>M41</f>
        <v>100</v>
      </c>
      <c r="M42" s="158"/>
      <c r="N42" s="156"/>
      <c r="O42" s="157">
        <f>P41</f>
        <v>0</v>
      </c>
      <c r="P42" s="158"/>
      <c r="Q42" s="156"/>
      <c r="R42" s="157">
        <f>S41</f>
        <v>0</v>
      </c>
      <c r="S42" s="158"/>
      <c r="T42" s="156"/>
      <c r="U42" s="157">
        <f>V41</f>
        <v>0</v>
      </c>
      <c r="V42" s="158"/>
      <c r="W42" s="156"/>
      <c r="X42" s="157">
        <f>Y41</f>
        <v>0</v>
      </c>
      <c r="Y42" s="158"/>
      <c r="Z42" s="156"/>
      <c r="AA42" s="157">
        <f>AB41</f>
        <v>0</v>
      </c>
      <c r="AB42" s="158"/>
      <c r="AC42" s="156"/>
      <c r="AD42" s="157">
        <f>AE41</f>
        <v>0</v>
      </c>
      <c r="AE42" s="158"/>
      <c r="AF42" s="156"/>
      <c r="AG42" s="157">
        <f>AH41</f>
        <v>0</v>
      </c>
      <c r="AH42" s="158"/>
      <c r="AI42" s="156"/>
      <c r="AJ42" s="157">
        <f>AK41</f>
        <v>0</v>
      </c>
      <c r="AK42" s="158"/>
      <c r="AL42" s="156"/>
      <c r="AM42" s="157">
        <f>AN41</f>
        <v>0</v>
      </c>
      <c r="AN42" s="175"/>
    </row>
    <row r="43" spans="2:40" s="235" customFormat="1" ht="14.25" customHeight="1">
      <c r="B43" s="227">
        <v>10</v>
      </c>
      <c r="C43" s="311" t="str">
        <f>MARET!B34</f>
        <v>Penyediaan Jasa Komunikasi, Sumber Daya Air dan Listrik </v>
      </c>
      <c r="D43" s="228">
        <f>MARET!C34</f>
        <v>27600000</v>
      </c>
      <c r="E43" s="229"/>
      <c r="F43" s="230">
        <f>2300000*1/$D$43*100</f>
        <v>8.333333333333332</v>
      </c>
      <c r="G43" s="231"/>
      <c r="H43" s="232"/>
      <c r="I43" s="230">
        <f>2300000*2/$D$43*100</f>
        <v>16.666666666666664</v>
      </c>
      <c r="J43" s="233"/>
      <c r="K43" s="232"/>
      <c r="L43" s="230">
        <f>2300000*3/$D$43*100</f>
        <v>25</v>
      </c>
      <c r="M43" s="233"/>
      <c r="N43" s="232"/>
      <c r="O43" s="230">
        <f>2300000*4/$D$43*100</f>
        <v>33.33333333333333</v>
      </c>
      <c r="P43" s="233"/>
      <c r="Q43" s="232"/>
      <c r="R43" s="230">
        <f>2300000*5/$D$43*100</f>
        <v>41.66666666666667</v>
      </c>
      <c r="S43" s="233"/>
      <c r="T43" s="232"/>
      <c r="U43" s="230">
        <f>2300000*6/$D$43*100</f>
        <v>50</v>
      </c>
      <c r="V43" s="233"/>
      <c r="W43" s="232"/>
      <c r="X43" s="230">
        <f>2300000*7/$D$43*100</f>
        <v>58.333333333333336</v>
      </c>
      <c r="Y43" s="233"/>
      <c r="Z43" s="232"/>
      <c r="AA43" s="230">
        <f>2300000*8/$D$43*100</f>
        <v>66.66666666666666</v>
      </c>
      <c r="AB43" s="233"/>
      <c r="AC43" s="232"/>
      <c r="AD43" s="249">
        <f>2300000*9/$D$43*100</f>
        <v>75</v>
      </c>
      <c r="AE43" s="233"/>
      <c r="AF43" s="232"/>
      <c r="AG43" s="249">
        <f>2300000*10/$D$43*100</f>
        <v>83.33333333333334</v>
      </c>
      <c r="AH43" s="233"/>
      <c r="AI43" s="232"/>
      <c r="AJ43" s="249">
        <f>2300000*11/$D$43*100</f>
        <v>91.66666666666666</v>
      </c>
      <c r="AK43" s="233"/>
      <c r="AL43" s="232"/>
      <c r="AM43" s="249">
        <f>2300000*12/$D$43*100</f>
        <v>100</v>
      </c>
      <c r="AN43" s="234"/>
    </row>
    <row r="44" spans="2:40" s="235" customFormat="1" ht="14.25" customHeight="1">
      <c r="B44" s="236"/>
      <c r="C44" s="317"/>
      <c r="D44" s="237"/>
      <c r="E44" s="238">
        <v>0</v>
      </c>
      <c r="F44" s="239"/>
      <c r="G44" s="240">
        <f>E44</f>
        <v>0</v>
      </c>
      <c r="H44" s="238">
        <v>20</v>
      </c>
      <c r="I44" s="239"/>
      <c r="J44" s="240">
        <f>H44</f>
        <v>20</v>
      </c>
      <c r="K44" s="238">
        <v>28</v>
      </c>
      <c r="L44" s="239"/>
      <c r="M44" s="240">
        <f>K44</f>
        <v>28</v>
      </c>
      <c r="N44" s="238">
        <v>0</v>
      </c>
      <c r="O44" s="239"/>
      <c r="P44" s="240">
        <f>N44</f>
        <v>0</v>
      </c>
      <c r="Q44" s="238">
        <v>0</v>
      </c>
      <c r="R44" s="239"/>
      <c r="S44" s="240">
        <f>Q44</f>
        <v>0</v>
      </c>
      <c r="T44" s="238">
        <v>0</v>
      </c>
      <c r="U44" s="239"/>
      <c r="V44" s="240">
        <f>T44</f>
        <v>0</v>
      </c>
      <c r="W44" s="238">
        <v>0</v>
      </c>
      <c r="X44" s="239"/>
      <c r="Y44" s="240">
        <f>W44</f>
        <v>0</v>
      </c>
      <c r="Z44" s="238">
        <v>0</v>
      </c>
      <c r="AA44" s="239"/>
      <c r="AB44" s="240">
        <f>Z44</f>
        <v>0</v>
      </c>
      <c r="AC44" s="238">
        <v>0</v>
      </c>
      <c r="AD44" s="239"/>
      <c r="AE44" s="240">
        <f>AC44</f>
        <v>0</v>
      </c>
      <c r="AF44" s="238">
        <v>0</v>
      </c>
      <c r="AG44" s="239"/>
      <c r="AH44" s="240">
        <f>AF44</f>
        <v>0</v>
      </c>
      <c r="AI44" s="238">
        <v>0</v>
      </c>
      <c r="AJ44" s="239"/>
      <c r="AK44" s="240">
        <f>AI44</f>
        <v>0</v>
      </c>
      <c r="AL44" s="238">
        <v>0</v>
      </c>
      <c r="AM44" s="239"/>
      <c r="AN44" s="241">
        <f>AL44</f>
        <v>0</v>
      </c>
    </row>
    <row r="45" spans="2:40" s="235" customFormat="1" ht="14.25" customHeight="1">
      <c r="B45" s="242"/>
      <c r="C45" s="318"/>
      <c r="D45" s="243"/>
      <c r="E45" s="244"/>
      <c r="F45" s="245">
        <f>G44</f>
        <v>0</v>
      </c>
      <c r="G45" s="246"/>
      <c r="H45" s="244"/>
      <c r="I45" s="245">
        <f>J44</f>
        <v>20</v>
      </c>
      <c r="J45" s="246"/>
      <c r="K45" s="244"/>
      <c r="L45" s="245">
        <f>M44</f>
        <v>28</v>
      </c>
      <c r="M45" s="246"/>
      <c r="N45" s="244"/>
      <c r="O45" s="245">
        <f>P44</f>
        <v>0</v>
      </c>
      <c r="P45" s="246"/>
      <c r="Q45" s="244"/>
      <c r="R45" s="245">
        <f>S44</f>
        <v>0</v>
      </c>
      <c r="S45" s="246"/>
      <c r="T45" s="244"/>
      <c r="U45" s="245">
        <f>V44</f>
        <v>0</v>
      </c>
      <c r="V45" s="246"/>
      <c r="W45" s="244"/>
      <c r="X45" s="245">
        <f>Y44</f>
        <v>0</v>
      </c>
      <c r="Y45" s="246"/>
      <c r="Z45" s="244"/>
      <c r="AA45" s="245">
        <f>AB44</f>
        <v>0</v>
      </c>
      <c r="AB45" s="246"/>
      <c r="AC45" s="244"/>
      <c r="AD45" s="245">
        <f>AE44</f>
        <v>0</v>
      </c>
      <c r="AE45" s="246"/>
      <c r="AF45" s="244"/>
      <c r="AG45" s="245">
        <f>AH44</f>
        <v>0</v>
      </c>
      <c r="AH45" s="246"/>
      <c r="AI45" s="244"/>
      <c r="AJ45" s="245">
        <f>AK44</f>
        <v>0</v>
      </c>
      <c r="AK45" s="246"/>
      <c r="AL45" s="244"/>
      <c r="AM45" s="245">
        <f>AN44</f>
        <v>0</v>
      </c>
      <c r="AN45" s="247"/>
    </row>
    <row r="46" spans="2:40" ht="14.25" customHeight="1" hidden="1">
      <c r="B46" s="34">
        <v>9</v>
      </c>
      <c r="C46" s="319" t="str">
        <f>MARET!B36</f>
        <v>Pengadaan Perlengkapan Gedung Kantor</v>
      </c>
      <c r="D46" s="35">
        <f>MARET!C36</f>
        <v>0</v>
      </c>
      <c r="E46" s="36"/>
      <c r="F46" s="37">
        <v>0</v>
      </c>
      <c r="G46" s="38"/>
      <c r="H46" s="39"/>
      <c r="I46" s="40">
        <v>0</v>
      </c>
      <c r="J46" s="41"/>
      <c r="K46" s="39"/>
      <c r="L46" s="40">
        <v>0</v>
      </c>
      <c r="M46" s="41"/>
      <c r="N46" s="39"/>
      <c r="O46" s="40">
        <v>0</v>
      </c>
      <c r="P46" s="41"/>
      <c r="Q46" s="39"/>
      <c r="R46" s="40">
        <v>0</v>
      </c>
      <c r="S46" s="41"/>
      <c r="T46" s="39"/>
      <c r="U46" s="40">
        <v>0</v>
      </c>
      <c r="V46" s="41"/>
      <c r="W46" s="39"/>
      <c r="X46" s="40">
        <f>U46</f>
        <v>0</v>
      </c>
      <c r="Y46" s="41"/>
      <c r="Z46" s="39"/>
      <c r="AA46" s="40">
        <f>X46</f>
        <v>0</v>
      </c>
      <c r="AB46" s="41"/>
      <c r="AC46" s="39"/>
      <c r="AD46" s="40">
        <f>AA46</f>
        <v>0</v>
      </c>
      <c r="AE46" s="41"/>
      <c r="AF46" s="39"/>
      <c r="AG46" s="40">
        <f>AD46</f>
        <v>0</v>
      </c>
      <c r="AH46" s="41"/>
      <c r="AI46" s="39"/>
      <c r="AJ46" s="40">
        <v>0</v>
      </c>
      <c r="AK46" s="41"/>
      <c r="AL46" s="39"/>
      <c r="AM46" s="40">
        <v>0</v>
      </c>
      <c r="AN46" s="42"/>
    </row>
    <row r="47" spans="2:40" ht="14.25" customHeight="1" hidden="1">
      <c r="B47" s="12"/>
      <c r="C47" s="320"/>
      <c r="D47" s="13"/>
      <c r="E47" s="43">
        <v>0</v>
      </c>
      <c r="F47" s="44"/>
      <c r="G47" s="31">
        <f>E47</f>
        <v>0</v>
      </c>
      <c r="H47" s="43">
        <v>0</v>
      </c>
      <c r="I47" s="44"/>
      <c r="J47" s="31">
        <f>H47</f>
        <v>0</v>
      </c>
      <c r="K47" s="43">
        <v>0</v>
      </c>
      <c r="L47" s="44"/>
      <c r="M47" s="31">
        <f>K47</f>
        <v>0</v>
      </c>
      <c r="N47" s="43">
        <v>0</v>
      </c>
      <c r="O47" s="44"/>
      <c r="P47" s="31">
        <f>N47</f>
        <v>0</v>
      </c>
      <c r="Q47" s="43">
        <v>0</v>
      </c>
      <c r="R47" s="44"/>
      <c r="S47" s="31">
        <f>Q47</f>
        <v>0</v>
      </c>
      <c r="T47" s="43">
        <v>0</v>
      </c>
      <c r="U47" s="44"/>
      <c r="V47" s="31">
        <f>T47</f>
        <v>0</v>
      </c>
      <c r="W47" s="43">
        <v>0</v>
      </c>
      <c r="X47" s="44"/>
      <c r="Y47" s="31">
        <f>W47</f>
        <v>0</v>
      </c>
      <c r="Z47" s="43">
        <v>0</v>
      </c>
      <c r="AA47" s="44"/>
      <c r="AB47" s="31">
        <f>Z47</f>
        <v>0</v>
      </c>
      <c r="AC47" s="43">
        <v>0</v>
      </c>
      <c r="AD47" s="44"/>
      <c r="AE47" s="31">
        <f>AC47</f>
        <v>0</v>
      </c>
      <c r="AF47" s="43">
        <v>0</v>
      </c>
      <c r="AG47" s="44"/>
      <c r="AH47" s="31">
        <f>AF47</f>
        <v>0</v>
      </c>
      <c r="AI47" s="43">
        <v>0</v>
      </c>
      <c r="AJ47" s="44"/>
      <c r="AK47" s="31">
        <f>AI47</f>
        <v>0</v>
      </c>
      <c r="AL47" s="43">
        <v>0</v>
      </c>
      <c r="AM47" s="44"/>
      <c r="AN47" s="176">
        <f>AL47</f>
        <v>0</v>
      </c>
    </row>
    <row r="48" spans="2:40" ht="14.25" customHeight="1" hidden="1">
      <c r="B48" s="48"/>
      <c r="C48" s="321"/>
      <c r="D48" s="49"/>
      <c r="E48" s="50"/>
      <c r="F48" s="51">
        <f>G47</f>
        <v>0</v>
      </c>
      <c r="G48" s="52"/>
      <c r="H48" s="50"/>
      <c r="I48" s="51">
        <f>J47</f>
        <v>0</v>
      </c>
      <c r="J48" s="52"/>
      <c r="K48" s="50"/>
      <c r="L48" s="51">
        <f>M47</f>
        <v>0</v>
      </c>
      <c r="M48" s="52"/>
      <c r="N48" s="50"/>
      <c r="O48" s="51">
        <f>P47</f>
        <v>0</v>
      </c>
      <c r="P48" s="52"/>
      <c r="Q48" s="50"/>
      <c r="R48" s="51">
        <f>S47</f>
        <v>0</v>
      </c>
      <c r="S48" s="52"/>
      <c r="T48" s="50"/>
      <c r="U48" s="51">
        <f>V47</f>
        <v>0</v>
      </c>
      <c r="V48" s="52"/>
      <c r="W48" s="50"/>
      <c r="X48" s="51">
        <f>Y47</f>
        <v>0</v>
      </c>
      <c r="Y48" s="52"/>
      <c r="Z48" s="50"/>
      <c r="AA48" s="51">
        <f>AB47</f>
        <v>0</v>
      </c>
      <c r="AB48" s="52"/>
      <c r="AC48" s="50"/>
      <c r="AD48" s="51">
        <f>AE47</f>
        <v>0</v>
      </c>
      <c r="AE48" s="52"/>
      <c r="AF48" s="50"/>
      <c r="AG48" s="51">
        <f>AH47</f>
        <v>0</v>
      </c>
      <c r="AH48" s="52"/>
      <c r="AI48" s="50"/>
      <c r="AJ48" s="51">
        <f>AK47</f>
        <v>0</v>
      </c>
      <c r="AK48" s="52"/>
      <c r="AL48" s="50"/>
      <c r="AM48" s="51">
        <f>AN47</f>
        <v>0</v>
      </c>
      <c r="AN48" s="177"/>
    </row>
    <row r="49" spans="2:40" ht="14.25" customHeight="1">
      <c r="B49" s="139">
        <v>11</v>
      </c>
      <c r="C49" s="308" t="str">
        <f>MARET!B38</f>
        <v>Penyediaan Jasa Pelayanan Umum Kantor</v>
      </c>
      <c r="D49" s="159">
        <f>MARET!C38</f>
        <v>162720000</v>
      </c>
      <c r="E49" s="141"/>
      <c r="F49" s="142">
        <f>13560000*1/$D$49*100</f>
        <v>8.333333333333332</v>
      </c>
      <c r="G49" s="143"/>
      <c r="H49" s="144"/>
      <c r="I49" s="142">
        <f>13560000*2/$D$49*100</f>
        <v>16.666666666666664</v>
      </c>
      <c r="J49" s="146"/>
      <c r="K49" s="144"/>
      <c r="L49" s="142">
        <f>13560000*3/$D$49*100</f>
        <v>25</v>
      </c>
      <c r="M49" s="146"/>
      <c r="N49" s="144"/>
      <c r="O49" s="142">
        <f>13560000*4/$D$49*100</f>
        <v>33.33333333333333</v>
      </c>
      <c r="P49" s="146"/>
      <c r="Q49" s="144"/>
      <c r="R49" s="142">
        <f>13560000*5/$D$49*100</f>
        <v>41.66666666666667</v>
      </c>
      <c r="S49" s="146"/>
      <c r="T49" s="144"/>
      <c r="U49" s="142">
        <f>13560000*6/$D$49*100</f>
        <v>50</v>
      </c>
      <c r="V49" s="146"/>
      <c r="W49" s="144"/>
      <c r="X49" s="142">
        <f>13560000*7/$D$49*100</f>
        <v>58.333333333333336</v>
      </c>
      <c r="Y49" s="146"/>
      <c r="Z49" s="144"/>
      <c r="AA49" s="142">
        <f>13560000*8/$D$49*100</f>
        <v>66.66666666666666</v>
      </c>
      <c r="AB49" s="146"/>
      <c r="AC49" s="144"/>
      <c r="AD49" s="142">
        <f>13560000*9/$D$49*100</f>
        <v>75</v>
      </c>
      <c r="AE49" s="146"/>
      <c r="AF49" s="144"/>
      <c r="AG49" s="142">
        <f>13560000*10/$D$49*100</f>
        <v>83.33333333333334</v>
      </c>
      <c r="AH49" s="146"/>
      <c r="AI49" s="144"/>
      <c r="AJ49" s="142">
        <f>13560000*11/$D$49*100</f>
        <v>91.66666666666666</v>
      </c>
      <c r="AK49" s="146"/>
      <c r="AL49" s="144"/>
      <c r="AM49" s="142">
        <f>13560000*12/$D$49*100</f>
        <v>100</v>
      </c>
      <c r="AN49" s="147"/>
    </row>
    <row r="50" spans="2:40" ht="14.25" customHeight="1">
      <c r="B50" s="149"/>
      <c r="C50" s="327"/>
      <c r="D50" s="160"/>
      <c r="E50" s="151">
        <v>0</v>
      </c>
      <c r="F50" s="152"/>
      <c r="G50" s="153">
        <f>E50</f>
        <v>0</v>
      </c>
      <c r="H50" s="151">
        <v>8</v>
      </c>
      <c r="I50" s="152"/>
      <c r="J50" s="153">
        <f>H50</f>
        <v>8</v>
      </c>
      <c r="K50" s="151">
        <v>17</v>
      </c>
      <c r="L50" s="152"/>
      <c r="M50" s="153">
        <f>K50</f>
        <v>17</v>
      </c>
      <c r="N50" s="151">
        <v>0</v>
      </c>
      <c r="O50" s="152"/>
      <c r="P50" s="153">
        <f>N50</f>
        <v>0</v>
      </c>
      <c r="Q50" s="151">
        <v>0</v>
      </c>
      <c r="R50" s="152"/>
      <c r="S50" s="153">
        <f>Q50</f>
        <v>0</v>
      </c>
      <c r="T50" s="151">
        <v>0</v>
      </c>
      <c r="U50" s="152"/>
      <c r="V50" s="153">
        <f>T50</f>
        <v>0</v>
      </c>
      <c r="W50" s="151">
        <v>0</v>
      </c>
      <c r="X50" s="152"/>
      <c r="Y50" s="153">
        <f>W50</f>
        <v>0</v>
      </c>
      <c r="Z50" s="151">
        <v>0</v>
      </c>
      <c r="AA50" s="152"/>
      <c r="AB50" s="153">
        <f>Z50</f>
        <v>0</v>
      </c>
      <c r="AC50" s="151">
        <v>0</v>
      </c>
      <c r="AD50" s="152"/>
      <c r="AE50" s="153">
        <f>AC50</f>
        <v>0</v>
      </c>
      <c r="AF50" s="151">
        <v>0</v>
      </c>
      <c r="AG50" s="152"/>
      <c r="AH50" s="153">
        <f>AF50</f>
        <v>0</v>
      </c>
      <c r="AI50" s="151">
        <v>0</v>
      </c>
      <c r="AJ50" s="152"/>
      <c r="AK50" s="153">
        <f>AI50</f>
        <v>0</v>
      </c>
      <c r="AL50" s="151">
        <v>0</v>
      </c>
      <c r="AM50" s="152"/>
      <c r="AN50" s="174">
        <f>AL50</f>
        <v>0</v>
      </c>
    </row>
    <row r="51" spans="2:40" ht="14.25" customHeight="1">
      <c r="B51" s="154"/>
      <c r="C51" s="328"/>
      <c r="D51" s="161"/>
      <c r="E51" s="156"/>
      <c r="F51" s="157">
        <f>G50</f>
        <v>0</v>
      </c>
      <c r="G51" s="158"/>
      <c r="H51" s="156"/>
      <c r="I51" s="157">
        <f>J50</f>
        <v>8</v>
      </c>
      <c r="J51" s="158"/>
      <c r="K51" s="156"/>
      <c r="L51" s="157">
        <f>M50</f>
        <v>17</v>
      </c>
      <c r="M51" s="158"/>
      <c r="N51" s="156"/>
      <c r="O51" s="157">
        <f>P50</f>
        <v>0</v>
      </c>
      <c r="P51" s="158"/>
      <c r="Q51" s="156"/>
      <c r="R51" s="157">
        <f>S50</f>
        <v>0</v>
      </c>
      <c r="S51" s="158"/>
      <c r="T51" s="156"/>
      <c r="U51" s="157">
        <f>V50</f>
        <v>0</v>
      </c>
      <c r="V51" s="158"/>
      <c r="W51" s="156"/>
      <c r="X51" s="157">
        <f>Y50</f>
        <v>0</v>
      </c>
      <c r="Y51" s="158"/>
      <c r="Z51" s="156"/>
      <c r="AA51" s="157">
        <f>AB50</f>
        <v>0</v>
      </c>
      <c r="AB51" s="158"/>
      <c r="AC51" s="156"/>
      <c r="AD51" s="157">
        <f>AE50</f>
        <v>0</v>
      </c>
      <c r="AE51" s="158"/>
      <c r="AF51" s="156"/>
      <c r="AG51" s="157">
        <f>AH50</f>
        <v>0</v>
      </c>
      <c r="AH51" s="158"/>
      <c r="AI51" s="156"/>
      <c r="AJ51" s="157">
        <f>AK50</f>
        <v>0</v>
      </c>
      <c r="AK51" s="158"/>
      <c r="AL51" s="156"/>
      <c r="AM51" s="157">
        <f>AN50</f>
        <v>0</v>
      </c>
      <c r="AN51" s="175"/>
    </row>
    <row r="52" spans="2:43" s="148" customFormat="1" ht="14.25" customHeight="1">
      <c r="B52" s="227">
        <v>12</v>
      </c>
      <c r="C52" s="311" t="str">
        <f>MARET!B40</f>
        <v>Penyediaan Jasa Pemeliharaan, Biaya Pemeliharaan dan Pajak Kendaraan Perorangan Dinas atau Kendaraan  Dinas Jabatan</v>
      </c>
      <c r="D52" s="228">
        <f>MARET!C40</f>
        <v>24241000</v>
      </c>
      <c r="E52" s="229"/>
      <c r="F52" s="230">
        <f>2020083*1/$D$52*100</f>
        <v>8.333331958252547</v>
      </c>
      <c r="G52" s="231"/>
      <c r="H52" s="232"/>
      <c r="I52" s="230">
        <f>2020083*2/$D$52*100</f>
        <v>16.666663916505094</v>
      </c>
      <c r="J52" s="233"/>
      <c r="K52" s="232"/>
      <c r="L52" s="230">
        <f>2020083*3/$D$52*100</f>
        <v>24.99999587475764</v>
      </c>
      <c r="M52" s="233"/>
      <c r="N52" s="232"/>
      <c r="O52" s="230">
        <f>2020083*4/$D$52*100</f>
        <v>33.33332783301019</v>
      </c>
      <c r="P52" s="233"/>
      <c r="Q52" s="232"/>
      <c r="R52" s="230">
        <f>2020083*5/$D$52*100</f>
        <v>41.66665979126274</v>
      </c>
      <c r="S52" s="233"/>
      <c r="T52" s="232"/>
      <c r="U52" s="230">
        <f>2020083*6/$D$52*100</f>
        <v>49.99999174951528</v>
      </c>
      <c r="V52" s="233"/>
      <c r="W52" s="232"/>
      <c r="X52" s="230">
        <f>2020083*7/$D$52*100</f>
        <v>58.33332370776784</v>
      </c>
      <c r="Y52" s="233"/>
      <c r="Z52" s="232"/>
      <c r="AA52" s="230">
        <f>2020083*8/$D$52*100</f>
        <v>66.66665566602038</v>
      </c>
      <c r="AB52" s="233"/>
      <c r="AC52" s="232"/>
      <c r="AD52" s="230">
        <f>2020083*9/$D$52*100</f>
        <v>74.99998762427292</v>
      </c>
      <c r="AE52" s="233"/>
      <c r="AF52" s="232"/>
      <c r="AG52" s="230">
        <f>2020083*10/$D$52*100</f>
        <v>83.33331958252548</v>
      </c>
      <c r="AH52" s="233"/>
      <c r="AI52" s="232"/>
      <c r="AJ52" s="230">
        <f>2020083*11/$D$52*100</f>
        <v>91.66665154077802</v>
      </c>
      <c r="AK52" s="233"/>
      <c r="AL52" s="232"/>
      <c r="AM52" s="230">
        <f>2020083*12/$D$52*100</f>
        <v>99.99998349903056</v>
      </c>
      <c r="AN52" s="234"/>
      <c r="AO52" s="2"/>
      <c r="AP52" s="2"/>
      <c r="AQ52" s="2"/>
    </row>
    <row r="53" spans="2:43" s="148" customFormat="1" ht="14.25" customHeight="1">
      <c r="B53" s="236"/>
      <c r="C53" s="317"/>
      <c r="D53" s="237"/>
      <c r="E53" s="238">
        <v>0</v>
      </c>
      <c r="F53" s="239"/>
      <c r="G53" s="240">
        <f>E53</f>
        <v>0</v>
      </c>
      <c r="H53" s="238">
        <v>6</v>
      </c>
      <c r="I53" s="239"/>
      <c r="J53" s="240">
        <f>H53</f>
        <v>6</v>
      </c>
      <c r="K53" s="238">
        <v>12</v>
      </c>
      <c r="L53" s="239"/>
      <c r="M53" s="240">
        <f>K53</f>
        <v>12</v>
      </c>
      <c r="N53" s="238">
        <v>0</v>
      </c>
      <c r="O53" s="239"/>
      <c r="P53" s="240">
        <f>N53</f>
        <v>0</v>
      </c>
      <c r="Q53" s="238">
        <v>0</v>
      </c>
      <c r="R53" s="239"/>
      <c r="S53" s="240">
        <f>Q53</f>
        <v>0</v>
      </c>
      <c r="T53" s="238">
        <v>0</v>
      </c>
      <c r="U53" s="239"/>
      <c r="V53" s="240">
        <f>T53</f>
        <v>0</v>
      </c>
      <c r="W53" s="238">
        <v>0</v>
      </c>
      <c r="X53" s="239"/>
      <c r="Y53" s="240">
        <f>W53</f>
        <v>0</v>
      </c>
      <c r="Z53" s="238">
        <v>0</v>
      </c>
      <c r="AA53" s="239"/>
      <c r="AB53" s="240">
        <f>Z53</f>
        <v>0</v>
      </c>
      <c r="AC53" s="238">
        <v>0</v>
      </c>
      <c r="AD53" s="239"/>
      <c r="AE53" s="240">
        <f>AC53</f>
        <v>0</v>
      </c>
      <c r="AF53" s="238">
        <v>0</v>
      </c>
      <c r="AG53" s="239"/>
      <c r="AH53" s="240">
        <f>AF53</f>
        <v>0</v>
      </c>
      <c r="AI53" s="238">
        <v>0</v>
      </c>
      <c r="AJ53" s="239"/>
      <c r="AK53" s="240">
        <f>AI53</f>
        <v>0</v>
      </c>
      <c r="AL53" s="238">
        <v>0</v>
      </c>
      <c r="AM53" s="239"/>
      <c r="AN53" s="241">
        <f>AL53</f>
        <v>0</v>
      </c>
      <c r="AO53" s="2"/>
      <c r="AP53" s="2"/>
      <c r="AQ53" s="2"/>
    </row>
    <row r="54" spans="2:43" s="148" customFormat="1" ht="13.5" customHeight="1">
      <c r="B54" s="242"/>
      <c r="C54" s="318"/>
      <c r="D54" s="243"/>
      <c r="E54" s="244"/>
      <c r="F54" s="245">
        <f>G53</f>
        <v>0</v>
      </c>
      <c r="G54" s="246"/>
      <c r="H54" s="244"/>
      <c r="I54" s="245">
        <f>J53</f>
        <v>6</v>
      </c>
      <c r="J54" s="246"/>
      <c r="K54" s="244"/>
      <c r="L54" s="245">
        <f>M53</f>
        <v>12</v>
      </c>
      <c r="M54" s="246"/>
      <c r="N54" s="244"/>
      <c r="O54" s="245">
        <f>P53</f>
        <v>0</v>
      </c>
      <c r="P54" s="246"/>
      <c r="Q54" s="244"/>
      <c r="R54" s="245">
        <f>S53</f>
        <v>0</v>
      </c>
      <c r="S54" s="246"/>
      <c r="T54" s="244"/>
      <c r="U54" s="245">
        <f>V53</f>
        <v>0</v>
      </c>
      <c r="V54" s="246"/>
      <c r="W54" s="244"/>
      <c r="X54" s="245">
        <f>Y53</f>
        <v>0</v>
      </c>
      <c r="Y54" s="246"/>
      <c r="Z54" s="244"/>
      <c r="AA54" s="245">
        <f>AB53</f>
        <v>0</v>
      </c>
      <c r="AB54" s="246"/>
      <c r="AC54" s="244"/>
      <c r="AD54" s="245">
        <f>AE53</f>
        <v>0</v>
      </c>
      <c r="AE54" s="246"/>
      <c r="AF54" s="244"/>
      <c r="AG54" s="245">
        <f>AH53</f>
        <v>0</v>
      </c>
      <c r="AH54" s="246"/>
      <c r="AI54" s="244"/>
      <c r="AJ54" s="245">
        <f>AK53</f>
        <v>0</v>
      </c>
      <c r="AK54" s="246"/>
      <c r="AL54" s="244"/>
      <c r="AM54" s="245">
        <f>AN53</f>
        <v>0</v>
      </c>
      <c r="AN54" s="247"/>
      <c r="AO54" s="2"/>
      <c r="AP54" s="2"/>
      <c r="AQ54" s="2"/>
    </row>
    <row r="55" spans="2:40" ht="13.5" customHeight="1" hidden="1">
      <c r="B55" s="34">
        <v>12</v>
      </c>
      <c r="C55" s="319" t="str">
        <f>MARET!B42</f>
        <v>Penyusunan Laporan Capaian Kinerja dan Ikhtisar Realisasi Kinerja SKPD</v>
      </c>
      <c r="D55" s="35">
        <f>MARET!C42</f>
        <v>0</v>
      </c>
      <c r="E55" s="36"/>
      <c r="F55" s="37">
        <v>0</v>
      </c>
      <c r="G55" s="38"/>
      <c r="H55" s="39"/>
      <c r="I55" s="37">
        <v>0</v>
      </c>
      <c r="J55" s="41"/>
      <c r="K55" s="39"/>
      <c r="L55" s="37">
        <v>0</v>
      </c>
      <c r="M55" s="41"/>
      <c r="N55" s="39"/>
      <c r="O55" s="37">
        <v>0</v>
      </c>
      <c r="P55" s="41"/>
      <c r="Q55" s="39"/>
      <c r="R55" s="37">
        <v>0</v>
      </c>
      <c r="S55" s="41"/>
      <c r="T55" s="39"/>
      <c r="U55" s="37">
        <v>0</v>
      </c>
      <c r="V55" s="41"/>
      <c r="W55" s="39"/>
      <c r="X55" s="37">
        <v>0</v>
      </c>
      <c r="Y55" s="41"/>
      <c r="Z55" s="39"/>
      <c r="AA55" s="37">
        <v>0</v>
      </c>
      <c r="AB55" s="41"/>
      <c r="AC55" s="39"/>
      <c r="AD55" s="37">
        <v>0</v>
      </c>
      <c r="AE55" s="41"/>
      <c r="AF55" s="39"/>
      <c r="AG55" s="37">
        <v>0</v>
      </c>
      <c r="AH55" s="41"/>
      <c r="AI55" s="39"/>
      <c r="AJ55" s="37">
        <v>0</v>
      </c>
      <c r="AK55" s="41"/>
      <c r="AL55" s="39"/>
      <c r="AM55" s="37">
        <v>0</v>
      </c>
      <c r="AN55" s="42"/>
    </row>
    <row r="56" spans="2:40" ht="13.5" customHeight="1" hidden="1">
      <c r="B56" s="12"/>
      <c r="C56" s="320"/>
      <c r="D56" s="13"/>
      <c r="E56" s="43">
        <v>0</v>
      </c>
      <c r="F56" s="44"/>
      <c r="G56" s="31">
        <f>E56</f>
        <v>0</v>
      </c>
      <c r="H56" s="43">
        <v>0</v>
      </c>
      <c r="I56" s="44"/>
      <c r="J56" s="31">
        <f>H56</f>
        <v>0</v>
      </c>
      <c r="K56" s="43">
        <v>0</v>
      </c>
      <c r="L56" s="44"/>
      <c r="M56" s="31">
        <f>K56</f>
        <v>0</v>
      </c>
      <c r="N56" s="43">
        <v>0</v>
      </c>
      <c r="O56" s="44"/>
      <c r="P56" s="31">
        <f>N56</f>
        <v>0</v>
      </c>
      <c r="Q56" s="43">
        <v>0</v>
      </c>
      <c r="R56" s="44"/>
      <c r="S56" s="31">
        <f>Q56</f>
        <v>0</v>
      </c>
      <c r="T56" s="43">
        <v>0</v>
      </c>
      <c r="U56" s="44"/>
      <c r="V56" s="31">
        <f>T56</f>
        <v>0</v>
      </c>
      <c r="W56" s="43">
        <v>0</v>
      </c>
      <c r="X56" s="44"/>
      <c r="Y56" s="31">
        <f>W56</f>
        <v>0</v>
      </c>
      <c r="Z56" s="43">
        <v>0</v>
      </c>
      <c r="AA56" s="44"/>
      <c r="AB56" s="31">
        <f>Z56</f>
        <v>0</v>
      </c>
      <c r="AC56" s="43">
        <v>0</v>
      </c>
      <c r="AD56" s="44"/>
      <c r="AE56" s="31">
        <f>AC56</f>
        <v>0</v>
      </c>
      <c r="AF56" s="43">
        <v>0</v>
      </c>
      <c r="AG56" s="44"/>
      <c r="AH56" s="31">
        <f>AF56</f>
        <v>0</v>
      </c>
      <c r="AI56" s="43">
        <v>0</v>
      </c>
      <c r="AJ56" s="44"/>
      <c r="AK56" s="31">
        <f>AI56</f>
        <v>0</v>
      </c>
      <c r="AL56" s="43">
        <v>0</v>
      </c>
      <c r="AM56" s="44"/>
      <c r="AN56" s="176">
        <f>AL56</f>
        <v>0</v>
      </c>
    </row>
    <row r="57" spans="2:40" s="11" customFormat="1" ht="13.5" customHeight="1" hidden="1">
      <c r="B57" s="48"/>
      <c r="C57" s="321"/>
      <c r="D57" s="49"/>
      <c r="E57" s="50"/>
      <c r="F57" s="51">
        <f>G56</f>
        <v>0</v>
      </c>
      <c r="G57" s="52"/>
      <c r="H57" s="50"/>
      <c r="I57" s="51">
        <f>J56</f>
        <v>0</v>
      </c>
      <c r="J57" s="52"/>
      <c r="K57" s="50"/>
      <c r="L57" s="51">
        <f>M56</f>
        <v>0</v>
      </c>
      <c r="M57" s="52"/>
      <c r="N57" s="50"/>
      <c r="O57" s="51">
        <f>P56</f>
        <v>0</v>
      </c>
      <c r="P57" s="52"/>
      <c r="Q57" s="50"/>
      <c r="R57" s="51">
        <f>S56</f>
        <v>0</v>
      </c>
      <c r="S57" s="52"/>
      <c r="T57" s="50"/>
      <c r="U57" s="51">
        <f>V56</f>
        <v>0</v>
      </c>
      <c r="V57" s="52"/>
      <c r="W57" s="50"/>
      <c r="X57" s="51">
        <f>Y56</f>
        <v>0</v>
      </c>
      <c r="Y57" s="52"/>
      <c r="Z57" s="50"/>
      <c r="AA57" s="51">
        <f>AB56</f>
        <v>0</v>
      </c>
      <c r="AB57" s="52"/>
      <c r="AC57" s="50"/>
      <c r="AD57" s="51">
        <f>AE56</f>
        <v>0</v>
      </c>
      <c r="AE57" s="52"/>
      <c r="AF57" s="50"/>
      <c r="AG57" s="51">
        <f>AH56</f>
        <v>0</v>
      </c>
      <c r="AH57" s="52"/>
      <c r="AI57" s="50"/>
      <c r="AJ57" s="51">
        <f>AK56</f>
        <v>0</v>
      </c>
      <c r="AK57" s="52"/>
      <c r="AL57" s="50"/>
      <c r="AM57" s="51">
        <f>AN56</f>
        <v>0</v>
      </c>
      <c r="AN57" s="177"/>
    </row>
    <row r="58" spans="2:40" s="11" customFormat="1" ht="13.5" customHeight="1" hidden="1">
      <c r="B58" s="34">
        <v>13</v>
      </c>
      <c r="C58" s="319" t="str">
        <f>MARET!B44</f>
        <v>Penyusunan Renstra OPD</v>
      </c>
      <c r="D58" s="35">
        <v>0</v>
      </c>
      <c r="E58" s="36"/>
      <c r="F58" s="37"/>
      <c r="G58" s="38"/>
      <c r="H58" s="39"/>
      <c r="I58" s="37"/>
      <c r="J58" s="41"/>
      <c r="K58" s="39"/>
      <c r="L58" s="37"/>
      <c r="M58" s="41"/>
      <c r="N58" s="39"/>
      <c r="O58" s="37"/>
      <c r="P58" s="41"/>
      <c r="Q58" s="39"/>
      <c r="R58" s="37"/>
      <c r="S58" s="41"/>
      <c r="T58" s="39"/>
      <c r="U58" s="37"/>
      <c r="V58" s="41"/>
      <c r="W58" s="39"/>
      <c r="X58" s="37"/>
      <c r="Y58" s="41"/>
      <c r="Z58" s="39"/>
      <c r="AA58" s="37"/>
      <c r="AB58" s="41"/>
      <c r="AC58" s="39"/>
      <c r="AD58" s="37"/>
      <c r="AE58" s="41"/>
      <c r="AF58" s="39"/>
      <c r="AG58" s="37"/>
      <c r="AH58" s="41"/>
      <c r="AI58" s="39"/>
      <c r="AJ58" s="37"/>
      <c r="AK58" s="41"/>
      <c r="AL58" s="39"/>
      <c r="AM58" s="37"/>
      <c r="AN58" s="42"/>
    </row>
    <row r="59" spans="2:40" s="11" customFormat="1" ht="14.25" customHeight="1" hidden="1">
      <c r="B59" s="12"/>
      <c r="C59" s="320"/>
      <c r="D59" s="13"/>
      <c r="E59" s="43">
        <v>0</v>
      </c>
      <c r="F59" s="44"/>
      <c r="G59" s="31">
        <f>E59</f>
        <v>0</v>
      </c>
      <c r="H59" s="43">
        <v>0</v>
      </c>
      <c r="I59" s="44"/>
      <c r="J59" s="31">
        <f>H59</f>
        <v>0</v>
      </c>
      <c r="K59" s="43">
        <v>0</v>
      </c>
      <c r="L59" s="44"/>
      <c r="M59" s="31">
        <f>K59</f>
        <v>0</v>
      </c>
      <c r="N59" s="43">
        <v>0</v>
      </c>
      <c r="O59" s="44"/>
      <c r="P59" s="31">
        <f>N59</f>
        <v>0</v>
      </c>
      <c r="Q59" s="43">
        <v>0</v>
      </c>
      <c r="R59" s="44"/>
      <c r="S59" s="31">
        <f>Q59</f>
        <v>0</v>
      </c>
      <c r="T59" s="43">
        <v>0</v>
      </c>
      <c r="U59" s="44"/>
      <c r="V59" s="31">
        <f>T59</f>
        <v>0</v>
      </c>
      <c r="W59" s="43">
        <v>0</v>
      </c>
      <c r="X59" s="44"/>
      <c r="Y59" s="31">
        <f>W59</f>
        <v>0</v>
      </c>
      <c r="Z59" s="43">
        <v>0</v>
      </c>
      <c r="AA59" s="44"/>
      <c r="AB59" s="31">
        <f>Z59</f>
        <v>0</v>
      </c>
      <c r="AC59" s="43">
        <v>0</v>
      </c>
      <c r="AD59" s="44"/>
      <c r="AE59" s="31">
        <f>AC59</f>
        <v>0</v>
      </c>
      <c r="AF59" s="43">
        <v>0</v>
      </c>
      <c r="AG59" s="44"/>
      <c r="AH59" s="31">
        <f>AF59</f>
        <v>0</v>
      </c>
      <c r="AI59" s="43">
        <v>0</v>
      </c>
      <c r="AJ59" s="44"/>
      <c r="AK59" s="31">
        <f>AI59</f>
        <v>0</v>
      </c>
      <c r="AL59" s="43">
        <v>0</v>
      </c>
      <c r="AM59" s="44"/>
      <c r="AN59" s="176">
        <f>AL59</f>
        <v>0</v>
      </c>
    </row>
    <row r="60" spans="2:40" ht="35.25" customHeight="1" hidden="1">
      <c r="B60" s="48"/>
      <c r="C60" s="321"/>
      <c r="D60" s="49"/>
      <c r="E60" s="50"/>
      <c r="F60" s="51">
        <f>G59</f>
        <v>0</v>
      </c>
      <c r="G60" s="52"/>
      <c r="H60" s="50"/>
      <c r="I60" s="51">
        <f>J59</f>
        <v>0</v>
      </c>
      <c r="J60" s="52"/>
      <c r="K60" s="50"/>
      <c r="L60" s="51">
        <f>M59</f>
        <v>0</v>
      </c>
      <c r="M60" s="52"/>
      <c r="N60" s="50"/>
      <c r="O60" s="51">
        <f>P59</f>
        <v>0</v>
      </c>
      <c r="P60" s="52"/>
      <c r="Q60" s="50"/>
      <c r="R60" s="51">
        <f>S59</f>
        <v>0</v>
      </c>
      <c r="S60" s="52"/>
      <c r="T60" s="50"/>
      <c r="U60" s="51">
        <f>V59</f>
        <v>0</v>
      </c>
      <c r="V60" s="52"/>
      <c r="W60" s="50"/>
      <c r="X60" s="51">
        <f>Y59</f>
        <v>0</v>
      </c>
      <c r="Y60" s="52"/>
      <c r="Z60" s="50"/>
      <c r="AA60" s="51">
        <f>AB59</f>
        <v>0</v>
      </c>
      <c r="AB60" s="52"/>
      <c r="AC60" s="50"/>
      <c r="AD60" s="51">
        <f>AE59</f>
        <v>0</v>
      </c>
      <c r="AE60" s="52"/>
      <c r="AF60" s="50"/>
      <c r="AG60" s="51">
        <f>AH59</f>
        <v>0</v>
      </c>
      <c r="AH60" s="52"/>
      <c r="AI60" s="50"/>
      <c r="AJ60" s="51">
        <f>AK59</f>
        <v>0</v>
      </c>
      <c r="AK60" s="52"/>
      <c r="AL60" s="50"/>
      <c r="AM60" s="51">
        <f>AN59</f>
        <v>0</v>
      </c>
      <c r="AN60" s="177"/>
    </row>
    <row r="61" spans="2:40" s="11" customFormat="1" ht="14.25" customHeight="1">
      <c r="B61" s="139">
        <v>13</v>
      </c>
      <c r="C61" s="308" t="str">
        <f>MARET!B46</f>
        <v>Pemeliharaan Peralatan dan Mesin Lainnya</v>
      </c>
      <c r="D61" s="159">
        <f>MARET!C46</f>
        <v>7830000</v>
      </c>
      <c r="E61" s="141"/>
      <c r="F61" s="142">
        <v>0</v>
      </c>
      <c r="G61" s="143"/>
      <c r="H61" s="144"/>
      <c r="I61" s="142">
        <v>0</v>
      </c>
      <c r="J61" s="146"/>
      <c r="K61" s="144"/>
      <c r="L61" s="142">
        <v>44</v>
      </c>
      <c r="M61" s="146"/>
      <c r="N61" s="144"/>
      <c r="O61" s="142">
        <v>44</v>
      </c>
      <c r="P61" s="146"/>
      <c r="Q61" s="144"/>
      <c r="R61" s="142">
        <v>44</v>
      </c>
      <c r="S61" s="146"/>
      <c r="T61" s="144"/>
      <c r="U61" s="142">
        <v>44</v>
      </c>
      <c r="V61" s="146"/>
      <c r="W61" s="144"/>
      <c r="X61" s="142">
        <v>44</v>
      </c>
      <c r="Y61" s="146"/>
      <c r="Z61" s="144"/>
      <c r="AA61" s="142">
        <v>44</v>
      </c>
      <c r="AB61" s="146"/>
      <c r="AC61" s="144"/>
      <c r="AD61" s="142">
        <v>44</v>
      </c>
      <c r="AE61" s="146"/>
      <c r="AF61" s="144"/>
      <c r="AG61" s="142">
        <v>44</v>
      </c>
      <c r="AH61" s="146"/>
      <c r="AI61" s="144"/>
      <c r="AJ61" s="142">
        <v>44</v>
      </c>
      <c r="AK61" s="146"/>
      <c r="AL61" s="144"/>
      <c r="AM61" s="142">
        <v>100</v>
      </c>
      <c r="AN61" s="147"/>
    </row>
    <row r="62" spans="2:40" s="11" customFormat="1" ht="14.25" customHeight="1">
      <c r="B62" s="149"/>
      <c r="C62" s="327"/>
      <c r="D62" s="160"/>
      <c r="E62" s="151">
        <v>0</v>
      </c>
      <c r="F62" s="152"/>
      <c r="G62" s="153">
        <f>E62</f>
        <v>0</v>
      </c>
      <c r="H62" s="151">
        <v>0</v>
      </c>
      <c r="I62" s="152"/>
      <c r="J62" s="153">
        <f>H62</f>
        <v>0</v>
      </c>
      <c r="K62" s="151">
        <v>18</v>
      </c>
      <c r="L62" s="152"/>
      <c r="M62" s="153">
        <f>K62</f>
        <v>18</v>
      </c>
      <c r="N62" s="151">
        <v>0</v>
      </c>
      <c r="O62" s="152"/>
      <c r="P62" s="153">
        <f>N62</f>
        <v>0</v>
      </c>
      <c r="Q62" s="151">
        <v>0</v>
      </c>
      <c r="R62" s="152"/>
      <c r="S62" s="153">
        <f>Q62</f>
        <v>0</v>
      </c>
      <c r="T62" s="151">
        <v>0</v>
      </c>
      <c r="U62" s="152"/>
      <c r="V62" s="153">
        <f>T62</f>
        <v>0</v>
      </c>
      <c r="W62" s="151">
        <v>0</v>
      </c>
      <c r="X62" s="152"/>
      <c r="Y62" s="153">
        <f>W62</f>
        <v>0</v>
      </c>
      <c r="Z62" s="151">
        <v>0</v>
      </c>
      <c r="AA62" s="152"/>
      <c r="AB62" s="153">
        <f>Z62</f>
        <v>0</v>
      </c>
      <c r="AC62" s="151">
        <v>0</v>
      </c>
      <c r="AD62" s="152"/>
      <c r="AE62" s="153">
        <f>AC62</f>
        <v>0</v>
      </c>
      <c r="AF62" s="151">
        <v>0</v>
      </c>
      <c r="AG62" s="152"/>
      <c r="AH62" s="153">
        <f>AF62</f>
        <v>0</v>
      </c>
      <c r="AI62" s="151">
        <v>0</v>
      </c>
      <c r="AJ62" s="152"/>
      <c r="AK62" s="153">
        <f>AI62</f>
        <v>0</v>
      </c>
      <c r="AL62" s="151">
        <v>0</v>
      </c>
      <c r="AM62" s="152"/>
      <c r="AN62" s="174">
        <f>AL62</f>
        <v>0</v>
      </c>
    </row>
    <row r="63" spans="2:40" ht="14.25" customHeight="1">
      <c r="B63" s="154"/>
      <c r="C63" s="328"/>
      <c r="D63" s="161"/>
      <c r="E63" s="156"/>
      <c r="F63" s="157">
        <f>G62</f>
        <v>0</v>
      </c>
      <c r="G63" s="158"/>
      <c r="H63" s="156"/>
      <c r="I63" s="157">
        <f>J62</f>
        <v>0</v>
      </c>
      <c r="J63" s="158"/>
      <c r="K63" s="156"/>
      <c r="L63" s="157">
        <f>M62</f>
        <v>18</v>
      </c>
      <c r="M63" s="158"/>
      <c r="N63" s="156"/>
      <c r="O63" s="157">
        <f>P62</f>
        <v>0</v>
      </c>
      <c r="P63" s="158"/>
      <c r="Q63" s="156"/>
      <c r="R63" s="157">
        <f>S62</f>
        <v>0</v>
      </c>
      <c r="S63" s="158"/>
      <c r="T63" s="156"/>
      <c r="U63" s="157">
        <f>V62</f>
        <v>0</v>
      </c>
      <c r="V63" s="158"/>
      <c r="W63" s="156"/>
      <c r="X63" s="157">
        <f>Y62</f>
        <v>0</v>
      </c>
      <c r="Y63" s="158"/>
      <c r="Z63" s="156"/>
      <c r="AA63" s="157">
        <f>AB62</f>
        <v>0</v>
      </c>
      <c r="AB63" s="158"/>
      <c r="AC63" s="156"/>
      <c r="AD63" s="157">
        <f>AE62</f>
        <v>0</v>
      </c>
      <c r="AE63" s="158"/>
      <c r="AF63" s="156"/>
      <c r="AG63" s="157">
        <f>AH62</f>
        <v>0</v>
      </c>
      <c r="AH63" s="158"/>
      <c r="AI63" s="156"/>
      <c r="AJ63" s="157">
        <f>AK62</f>
        <v>0</v>
      </c>
      <c r="AK63" s="158"/>
      <c r="AL63" s="156"/>
      <c r="AM63" s="157">
        <f>AN62</f>
        <v>0</v>
      </c>
      <c r="AN63" s="175"/>
    </row>
    <row r="64" spans="2:40" s="235" customFormat="1" ht="14.25" customHeight="1">
      <c r="B64" s="227">
        <v>14</v>
      </c>
      <c r="C64" s="311" t="str">
        <f>MARET!B48</f>
        <v>Fasilitasi Percepatan Pencapaian Standar Pelayanan Minimal di Wilayah Kecamatan</v>
      </c>
      <c r="D64" s="228">
        <f>MARET!C48</f>
        <v>3000000</v>
      </c>
      <c r="E64" s="229"/>
      <c r="F64" s="230">
        <f>250000*1/$D$64*100</f>
        <v>8.333333333333332</v>
      </c>
      <c r="G64" s="231"/>
      <c r="H64" s="232"/>
      <c r="I64" s="230">
        <f>250000*2/$D$64*100</f>
        <v>16.666666666666664</v>
      </c>
      <c r="J64" s="233"/>
      <c r="K64" s="232"/>
      <c r="L64" s="230">
        <f>250000*3/$D$64*100</f>
        <v>25</v>
      </c>
      <c r="M64" s="233"/>
      <c r="N64" s="232"/>
      <c r="O64" s="230">
        <f>250000*4/$D$64*100</f>
        <v>33.33333333333333</v>
      </c>
      <c r="P64" s="233"/>
      <c r="Q64" s="232"/>
      <c r="R64" s="230">
        <f>250000*5/$D$64*100</f>
        <v>41.66666666666667</v>
      </c>
      <c r="S64" s="233"/>
      <c r="T64" s="232"/>
      <c r="U64" s="230">
        <f>250000*6/$D$64*100</f>
        <v>50</v>
      </c>
      <c r="V64" s="233"/>
      <c r="W64" s="232"/>
      <c r="X64" s="230">
        <f>250000*7/$D$64*100</f>
        <v>58.333333333333336</v>
      </c>
      <c r="Y64" s="233"/>
      <c r="Z64" s="232"/>
      <c r="AA64" s="230">
        <f>250000*8/$D$64*100</f>
        <v>66.66666666666666</v>
      </c>
      <c r="AB64" s="233"/>
      <c r="AC64" s="232"/>
      <c r="AD64" s="230">
        <f>250000*9/$D$64*100</f>
        <v>75</v>
      </c>
      <c r="AE64" s="233"/>
      <c r="AF64" s="232"/>
      <c r="AG64" s="230">
        <f>250000*10/$D$64*100</f>
        <v>83.33333333333334</v>
      </c>
      <c r="AH64" s="233"/>
      <c r="AI64" s="232"/>
      <c r="AJ64" s="230">
        <f>250000*11/$D$64*100</f>
        <v>91.66666666666666</v>
      </c>
      <c r="AK64" s="233"/>
      <c r="AL64" s="232"/>
      <c r="AM64" s="230">
        <f>250000*12/$D$64*100</f>
        <v>100</v>
      </c>
      <c r="AN64" s="234"/>
    </row>
    <row r="65" spans="2:40" s="235" customFormat="1" ht="14.25" customHeight="1">
      <c r="B65" s="236"/>
      <c r="C65" s="317"/>
      <c r="D65" s="237"/>
      <c r="E65" s="238">
        <v>0</v>
      </c>
      <c r="F65" s="239"/>
      <c r="G65" s="240">
        <f>E65</f>
        <v>0</v>
      </c>
      <c r="H65" s="238">
        <v>0</v>
      </c>
      <c r="I65" s="239"/>
      <c r="J65" s="240">
        <f>H65</f>
        <v>0</v>
      </c>
      <c r="K65" s="238">
        <v>21</v>
      </c>
      <c r="L65" s="239"/>
      <c r="M65" s="240">
        <f>K65</f>
        <v>21</v>
      </c>
      <c r="N65" s="238">
        <v>0</v>
      </c>
      <c r="O65" s="239"/>
      <c r="P65" s="240">
        <f>N65</f>
        <v>0</v>
      </c>
      <c r="Q65" s="238">
        <v>0</v>
      </c>
      <c r="R65" s="239"/>
      <c r="S65" s="240">
        <f>Q65</f>
        <v>0</v>
      </c>
      <c r="T65" s="238">
        <v>0</v>
      </c>
      <c r="U65" s="239"/>
      <c r="V65" s="240">
        <f>T65</f>
        <v>0</v>
      </c>
      <c r="W65" s="238">
        <v>0</v>
      </c>
      <c r="X65" s="239"/>
      <c r="Y65" s="240">
        <f>W65</f>
        <v>0</v>
      </c>
      <c r="Z65" s="238">
        <v>0</v>
      </c>
      <c r="AA65" s="239"/>
      <c r="AB65" s="240">
        <f>Z65</f>
        <v>0</v>
      </c>
      <c r="AC65" s="238">
        <v>0</v>
      </c>
      <c r="AD65" s="239"/>
      <c r="AE65" s="240">
        <f>AC65</f>
        <v>0</v>
      </c>
      <c r="AF65" s="238">
        <v>0</v>
      </c>
      <c r="AG65" s="239"/>
      <c r="AH65" s="240">
        <f>AF65</f>
        <v>0</v>
      </c>
      <c r="AI65" s="238">
        <v>0</v>
      </c>
      <c r="AJ65" s="239"/>
      <c r="AK65" s="240">
        <f>AI65</f>
        <v>0</v>
      </c>
      <c r="AL65" s="238">
        <v>0</v>
      </c>
      <c r="AM65" s="239"/>
      <c r="AN65" s="241">
        <f>AL65</f>
        <v>0</v>
      </c>
    </row>
    <row r="66" spans="2:40" s="235" customFormat="1" ht="14.25" customHeight="1">
      <c r="B66" s="242"/>
      <c r="C66" s="318"/>
      <c r="D66" s="243"/>
      <c r="E66" s="244"/>
      <c r="F66" s="245">
        <f>G65</f>
        <v>0</v>
      </c>
      <c r="G66" s="246"/>
      <c r="H66" s="244"/>
      <c r="I66" s="245">
        <f>J65</f>
        <v>0</v>
      </c>
      <c r="J66" s="246"/>
      <c r="K66" s="244"/>
      <c r="L66" s="245">
        <f>M65</f>
        <v>21</v>
      </c>
      <c r="M66" s="246"/>
      <c r="N66" s="244"/>
      <c r="O66" s="245">
        <f>P65</f>
        <v>0</v>
      </c>
      <c r="P66" s="246"/>
      <c r="Q66" s="244"/>
      <c r="R66" s="245">
        <f>S65</f>
        <v>0</v>
      </c>
      <c r="S66" s="246"/>
      <c r="T66" s="244"/>
      <c r="U66" s="245">
        <f>V65</f>
        <v>0</v>
      </c>
      <c r="V66" s="246"/>
      <c r="W66" s="244"/>
      <c r="X66" s="245">
        <f>Y65</f>
        <v>0</v>
      </c>
      <c r="Y66" s="246"/>
      <c r="Z66" s="244"/>
      <c r="AA66" s="245">
        <f>AB65</f>
        <v>0</v>
      </c>
      <c r="AB66" s="246"/>
      <c r="AC66" s="244"/>
      <c r="AD66" s="245">
        <f>AE65</f>
        <v>0</v>
      </c>
      <c r="AE66" s="246"/>
      <c r="AF66" s="244"/>
      <c r="AG66" s="245">
        <f>AH65</f>
        <v>0</v>
      </c>
      <c r="AH66" s="246"/>
      <c r="AI66" s="244"/>
      <c r="AJ66" s="245">
        <f>AK65</f>
        <v>0</v>
      </c>
      <c r="AK66" s="246"/>
      <c r="AL66" s="244"/>
      <c r="AM66" s="245">
        <f>AN65</f>
        <v>0</v>
      </c>
      <c r="AN66" s="247"/>
    </row>
    <row r="67" spans="2:40" ht="14.25" customHeight="1">
      <c r="B67" s="139">
        <v>15</v>
      </c>
      <c r="C67" s="308" t="str">
        <f>MARET!B50</f>
        <v>Peningkatan Partisipasi Masyarakat dalam Forum Musyawarah Perencanaan Pembangunan di Desa</v>
      </c>
      <c r="D67" s="159">
        <f>MARET!C50</f>
        <v>5100000</v>
      </c>
      <c r="E67" s="141"/>
      <c r="F67" s="142">
        <v>0</v>
      </c>
      <c r="G67" s="143"/>
      <c r="H67" s="144"/>
      <c r="I67" s="142">
        <v>0</v>
      </c>
      <c r="J67" s="146"/>
      <c r="K67" s="144"/>
      <c r="L67" s="142">
        <v>100</v>
      </c>
      <c r="M67" s="146"/>
      <c r="N67" s="144"/>
      <c r="O67" s="142">
        <v>100</v>
      </c>
      <c r="P67" s="146"/>
      <c r="Q67" s="144"/>
      <c r="R67" s="142">
        <v>100</v>
      </c>
      <c r="S67" s="146"/>
      <c r="T67" s="144"/>
      <c r="U67" s="142">
        <v>100</v>
      </c>
      <c r="V67" s="146"/>
      <c r="W67" s="144"/>
      <c r="X67" s="142">
        <v>100</v>
      </c>
      <c r="Y67" s="146"/>
      <c r="Z67" s="144"/>
      <c r="AA67" s="142">
        <v>100</v>
      </c>
      <c r="AB67" s="146"/>
      <c r="AC67" s="144"/>
      <c r="AD67" s="142">
        <v>100</v>
      </c>
      <c r="AE67" s="146"/>
      <c r="AF67" s="144"/>
      <c r="AG67" s="142">
        <v>100</v>
      </c>
      <c r="AH67" s="146"/>
      <c r="AI67" s="144"/>
      <c r="AJ67" s="142">
        <v>100</v>
      </c>
      <c r="AK67" s="146"/>
      <c r="AL67" s="144"/>
      <c r="AM67" s="142">
        <v>100</v>
      </c>
      <c r="AN67" s="147"/>
    </row>
    <row r="68" spans="2:40" ht="14.25" customHeight="1">
      <c r="B68" s="149"/>
      <c r="C68" s="327"/>
      <c r="D68" s="160"/>
      <c r="E68" s="151">
        <v>0</v>
      </c>
      <c r="F68" s="152"/>
      <c r="G68" s="153">
        <f>E68</f>
        <v>0</v>
      </c>
      <c r="H68" s="151">
        <v>0</v>
      </c>
      <c r="I68" s="152"/>
      <c r="J68" s="153">
        <f>H68</f>
        <v>0</v>
      </c>
      <c r="K68" s="151">
        <v>100</v>
      </c>
      <c r="L68" s="152"/>
      <c r="M68" s="153">
        <f>K68</f>
        <v>100</v>
      </c>
      <c r="N68" s="151">
        <v>0</v>
      </c>
      <c r="O68" s="152"/>
      <c r="P68" s="153">
        <f>N68</f>
        <v>0</v>
      </c>
      <c r="Q68" s="151">
        <v>0</v>
      </c>
      <c r="R68" s="152"/>
      <c r="S68" s="153">
        <f>Q68</f>
        <v>0</v>
      </c>
      <c r="T68" s="151">
        <v>0</v>
      </c>
      <c r="U68" s="152"/>
      <c r="V68" s="153">
        <f>T68</f>
        <v>0</v>
      </c>
      <c r="W68" s="151">
        <v>0</v>
      </c>
      <c r="X68" s="152"/>
      <c r="Y68" s="153">
        <f>W68</f>
        <v>0</v>
      </c>
      <c r="Z68" s="151">
        <v>0</v>
      </c>
      <c r="AA68" s="152"/>
      <c r="AB68" s="153">
        <f>Z68</f>
        <v>0</v>
      </c>
      <c r="AC68" s="151">
        <v>0</v>
      </c>
      <c r="AD68" s="152"/>
      <c r="AE68" s="153">
        <f>AC68</f>
        <v>0</v>
      </c>
      <c r="AF68" s="151">
        <v>0</v>
      </c>
      <c r="AG68" s="152"/>
      <c r="AH68" s="153">
        <f>AF68</f>
        <v>0</v>
      </c>
      <c r="AI68" s="151">
        <v>0</v>
      </c>
      <c r="AJ68" s="152"/>
      <c r="AK68" s="153">
        <f>AI68</f>
        <v>0</v>
      </c>
      <c r="AL68" s="151">
        <v>0</v>
      </c>
      <c r="AM68" s="152"/>
      <c r="AN68" s="174">
        <f>AL68</f>
        <v>0</v>
      </c>
    </row>
    <row r="69" spans="2:40" ht="14.25" customHeight="1">
      <c r="B69" s="154"/>
      <c r="C69" s="328"/>
      <c r="D69" s="161"/>
      <c r="E69" s="156"/>
      <c r="F69" s="157">
        <f>G68</f>
        <v>0</v>
      </c>
      <c r="G69" s="158"/>
      <c r="H69" s="156"/>
      <c r="I69" s="157">
        <f>J68</f>
        <v>0</v>
      </c>
      <c r="J69" s="158"/>
      <c r="K69" s="156"/>
      <c r="L69" s="157">
        <f>M68</f>
        <v>100</v>
      </c>
      <c r="M69" s="158"/>
      <c r="N69" s="156"/>
      <c r="O69" s="157">
        <f>P68</f>
        <v>0</v>
      </c>
      <c r="P69" s="158"/>
      <c r="Q69" s="156"/>
      <c r="R69" s="157">
        <f>S68</f>
        <v>0</v>
      </c>
      <c r="S69" s="158"/>
      <c r="T69" s="156"/>
      <c r="U69" s="157">
        <f>V68</f>
        <v>0</v>
      </c>
      <c r="V69" s="158"/>
      <c r="W69" s="156"/>
      <c r="X69" s="157">
        <f>Y68</f>
        <v>0</v>
      </c>
      <c r="Y69" s="158"/>
      <c r="Z69" s="156"/>
      <c r="AA69" s="157">
        <f>AB68</f>
        <v>0</v>
      </c>
      <c r="AB69" s="158"/>
      <c r="AC69" s="156"/>
      <c r="AD69" s="157">
        <f>AE68</f>
        <v>0</v>
      </c>
      <c r="AE69" s="158"/>
      <c r="AF69" s="156"/>
      <c r="AG69" s="157">
        <f>AH68</f>
        <v>0</v>
      </c>
      <c r="AH69" s="158"/>
      <c r="AI69" s="156"/>
      <c r="AJ69" s="157">
        <f>AK68</f>
        <v>0</v>
      </c>
      <c r="AK69" s="158"/>
      <c r="AL69" s="156"/>
      <c r="AM69" s="157">
        <f>AN68</f>
        <v>0</v>
      </c>
      <c r="AN69" s="175"/>
    </row>
    <row r="70" spans="2:40" s="235" customFormat="1" ht="14.25" customHeight="1">
      <c r="B70" s="227">
        <v>16</v>
      </c>
      <c r="C70" s="311" t="str">
        <f>MARET!B54</f>
        <v>Peningkatan Kapasitas Lembaga Kemasyarakatan</v>
      </c>
      <c r="D70" s="228">
        <f>MARET!C54</f>
        <v>5100000</v>
      </c>
      <c r="E70" s="229"/>
      <c r="F70" s="230">
        <v>0</v>
      </c>
      <c r="G70" s="231"/>
      <c r="H70" s="232"/>
      <c r="I70" s="230">
        <v>0</v>
      </c>
      <c r="J70" s="233"/>
      <c r="K70" s="232"/>
      <c r="L70" s="230">
        <v>100</v>
      </c>
      <c r="M70" s="233"/>
      <c r="N70" s="232"/>
      <c r="O70" s="230">
        <f>100</f>
        <v>100</v>
      </c>
      <c r="P70" s="233"/>
      <c r="Q70" s="232"/>
      <c r="R70" s="230">
        <f>100</f>
        <v>100</v>
      </c>
      <c r="S70" s="233"/>
      <c r="T70" s="232"/>
      <c r="U70" s="230">
        <f>100</f>
        <v>100</v>
      </c>
      <c r="V70" s="233"/>
      <c r="W70" s="232"/>
      <c r="X70" s="230">
        <f>100</f>
        <v>100</v>
      </c>
      <c r="Y70" s="233"/>
      <c r="Z70" s="232"/>
      <c r="AA70" s="230">
        <f>100</f>
        <v>100</v>
      </c>
      <c r="AB70" s="233"/>
      <c r="AC70" s="232"/>
      <c r="AD70" s="230">
        <f>100</f>
        <v>100</v>
      </c>
      <c r="AE70" s="233"/>
      <c r="AF70" s="232"/>
      <c r="AG70" s="230">
        <f>100</f>
        <v>100</v>
      </c>
      <c r="AH70" s="233"/>
      <c r="AI70" s="232"/>
      <c r="AJ70" s="230">
        <f>100</f>
        <v>100</v>
      </c>
      <c r="AK70" s="233"/>
      <c r="AL70" s="232"/>
      <c r="AM70" s="230">
        <f>100</f>
        <v>100</v>
      </c>
      <c r="AN70" s="234"/>
    </row>
    <row r="71" spans="2:40" s="235" customFormat="1" ht="14.25" customHeight="1">
      <c r="B71" s="236"/>
      <c r="C71" s="325"/>
      <c r="D71" s="237"/>
      <c r="E71" s="238">
        <v>0</v>
      </c>
      <c r="F71" s="239"/>
      <c r="G71" s="240">
        <f>E71</f>
        <v>0</v>
      </c>
      <c r="H71" s="238">
        <v>0</v>
      </c>
      <c r="I71" s="239"/>
      <c r="J71" s="240">
        <f>H71</f>
        <v>0</v>
      </c>
      <c r="K71" s="238">
        <v>100</v>
      </c>
      <c r="L71" s="239"/>
      <c r="M71" s="240">
        <f>K71</f>
        <v>100</v>
      </c>
      <c r="N71" s="238">
        <v>0</v>
      </c>
      <c r="O71" s="239"/>
      <c r="P71" s="240">
        <f>N71</f>
        <v>0</v>
      </c>
      <c r="Q71" s="238">
        <v>0</v>
      </c>
      <c r="R71" s="239"/>
      <c r="S71" s="240">
        <f>Q71</f>
        <v>0</v>
      </c>
      <c r="T71" s="238">
        <v>0</v>
      </c>
      <c r="U71" s="239"/>
      <c r="V71" s="240">
        <f>T71</f>
        <v>0</v>
      </c>
      <c r="W71" s="238">
        <v>0</v>
      </c>
      <c r="X71" s="239"/>
      <c r="Y71" s="240">
        <f>W71</f>
        <v>0</v>
      </c>
      <c r="Z71" s="238">
        <v>0</v>
      </c>
      <c r="AA71" s="239"/>
      <c r="AB71" s="240">
        <f>Z71</f>
        <v>0</v>
      </c>
      <c r="AC71" s="238">
        <v>0</v>
      </c>
      <c r="AD71" s="239"/>
      <c r="AE71" s="240">
        <f>AC71</f>
        <v>0</v>
      </c>
      <c r="AF71" s="238">
        <v>0</v>
      </c>
      <c r="AG71" s="239"/>
      <c r="AH71" s="240">
        <f>AF71</f>
        <v>0</v>
      </c>
      <c r="AI71" s="238">
        <v>0</v>
      </c>
      <c r="AJ71" s="239"/>
      <c r="AK71" s="240">
        <f>AI71</f>
        <v>0</v>
      </c>
      <c r="AL71" s="238">
        <v>0</v>
      </c>
      <c r="AM71" s="239"/>
      <c r="AN71" s="241">
        <f>AL71</f>
        <v>0</v>
      </c>
    </row>
    <row r="72" spans="2:40" s="235" customFormat="1" ht="14.25" customHeight="1">
      <c r="B72" s="242"/>
      <c r="C72" s="326"/>
      <c r="D72" s="243"/>
      <c r="E72" s="244"/>
      <c r="F72" s="245">
        <f>G71</f>
        <v>0</v>
      </c>
      <c r="G72" s="246"/>
      <c r="H72" s="244"/>
      <c r="I72" s="245">
        <f>J71</f>
        <v>0</v>
      </c>
      <c r="J72" s="246"/>
      <c r="K72" s="244"/>
      <c r="L72" s="245">
        <f>M71</f>
        <v>100</v>
      </c>
      <c r="M72" s="246"/>
      <c r="N72" s="244"/>
      <c r="O72" s="245">
        <f>P71</f>
        <v>0</v>
      </c>
      <c r="P72" s="246"/>
      <c r="Q72" s="244"/>
      <c r="R72" s="245">
        <f>S71</f>
        <v>0</v>
      </c>
      <c r="S72" s="246"/>
      <c r="T72" s="244"/>
      <c r="U72" s="245">
        <f>V71</f>
        <v>0</v>
      </c>
      <c r="V72" s="246"/>
      <c r="W72" s="244"/>
      <c r="X72" s="245">
        <f>Y71</f>
        <v>0</v>
      </c>
      <c r="Y72" s="246"/>
      <c r="Z72" s="244"/>
      <c r="AA72" s="245">
        <f>AB71</f>
        <v>0</v>
      </c>
      <c r="AB72" s="246"/>
      <c r="AC72" s="244"/>
      <c r="AD72" s="245">
        <f>AE71</f>
        <v>0</v>
      </c>
      <c r="AE72" s="246"/>
      <c r="AF72" s="244"/>
      <c r="AG72" s="245">
        <f>AH71</f>
        <v>0</v>
      </c>
      <c r="AH72" s="246"/>
      <c r="AI72" s="244"/>
      <c r="AJ72" s="245">
        <f>AK71</f>
        <v>0</v>
      </c>
      <c r="AK72" s="246"/>
      <c r="AL72" s="244"/>
      <c r="AM72" s="245">
        <f>AN71</f>
        <v>0</v>
      </c>
      <c r="AN72" s="247"/>
    </row>
    <row r="73" spans="2:40" ht="14.25" customHeight="1" hidden="1">
      <c r="B73" s="34">
        <v>17</v>
      </c>
      <c r="C73" s="319" t="str">
        <f>MARET!B56</f>
        <v>Pelaksanaan Musyawarah Pembangunan Desa</v>
      </c>
      <c r="D73" s="35">
        <f>MARET!C56</f>
        <v>0</v>
      </c>
      <c r="E73" s="36"/>
      <c r="F73" s="37"/>
      <c r="G73" s="38"/>
      <c r="H73" s="39"/>
      <c r="I73" s="40"/>
      <c r="J73" s="41"/>
      <c r="K73" s="39"/>
      <c r="L73" s="40"/>
      <c r="M73" s="41"/>
      <c r="N73" s="39"/>
      <c r="O73" s="40"/>
      <c r="P73" s="41"/>
      <c r="Q73" s="39"/>
      <c r="R73" s="40"/>
      <c r="S73" s="41"/>
      <c r="T73" s="39"/>
      <c r="U73" s="40"/>
      <c r="V73" s="41"/>
      <c r="W73" s="39"/>
      <c r="X73" s="40"/>
      <c r="Y73" s="41"/>
      <c r="Z73" s="39"/>
      <c r="AA73" s="40"/>
      <c r="AB73" s="41"/>
      <c r="AC73" s="39"/>
      <c r="AD73" s="40"/>
      <c r="AE73" s="41"/>
      <c r="AF73" s="39"/>
      <c r="AG73" s="40"/>
      <c r="AH73" s="41"/>
      <c r="AI73" s="39"/>
      <c r="AJ73" s="40"/>
      <c r="AK73" s="41"/>
      <c r="AL73" s="39"/>
      <c r="AM73" s="40"/>
      <c r="AN73" s="42"/>
    </row>
    <row r="74" spans="2:40" ht="14.25" customHeight="1" hidden="1">
      <c r="B74" s="12"/>
      <c r="C74" s="320"/>
      <c r="D74" s="13"/>
      <c r="E74" s="43">
        <v>0</v>
      </c>
      <c r="F74" s="44"/>
      <c r="G74" s="31">
        <f>E74</f>
        <v>0</v>
      </c>
      <c r="H74" s="43">
        <v>0</v>
      </c>
      <c r="I74" s="44"/>
      <c r="J74" s="31">
        <f>H74</f>
        <v>0</v>
      </c>
      <c r="K74" s="43">
        <v>0</v>
      </c>
      <c r="L74" s="44"/>
      <c r="M74" s="31">
        <f>K74</f>
        <v>0</v>
      </c>
      <c r="N74" s="43">
        <v>0</v>
      </c>
      <c r="O74" s="44"/>
      <c r="P74" s="31">
        <f>N74</f>
        <v>0</v>
      </c>
      <c r="Q74" s="43">
        <v>0</v>
      </c>
      <c r="R74" s="44"/>
      <c r="S74" s="31">
        <f>Q74</f>
        <v>0</v>
      </c>
      <c r="T74" s="43">
        <v>0</v>
      </c>
      <c r="U74" s="44"/>
      <c r="V74" s="31">
        <f>T74</f>
        <v>0</v>
      </c>
      <c r="W74" s="43">
        <v>0</v>
      </c>
      <c r="X74" s="44"/>
      <c r="Y74" s="31">
        <f>W74</f>
        <v>0</v>
      </c>
      <c r="Z74" s="43">
        <v>0</v>
      </c>
      <c r="AA74" s="44"/>
      <c r="AB74" s="31">
        <f>Z74</f>
        <v>0</v>
      </c>
      <c r="AC74" s="43">
        <v>0</v>
      </c>
      <c r="AD74" s="44"/>
      <c r="AE74" s="31">
        <f>AC74</f>
        <v>0</v>
      </c>
      <c r="AF74" s="43">
        <v>0</v>
      </c>
      <c r="AG74" s="44"/>
      <c r="AH74" s="31">
        <f>AF74</f>
        <v>0</v>
      </c>
      <c r="AI74" s="43">
        <v>0</v>
      </c>
      <c r="AJ74" s="44"/>
      <c r="AK74" s="31">
        <f>AI74</f>
        <v>0</v>
      </c>
      <c r="AL74" s="43">
        <v>0</v>
      </c>
      <c r="AM74" s="44"/>
      <c r="AN74" s="176">
        <f>AL74</f>
        <v>0</v>
      </c>
    </row>
    <row r="75" spans="2:40" ht="14.25" customHeight="1" hidden="1">
      <c r="B75" s="48"/>
      <c r="C75" s="321"/>
      <c r="D75" s="49"/>
      <c r="E75" s="50"/>
      <c r="F75" s="51">
        <f>G74</f>
        <v>0</v>
      </c>
      <c r="G75" s="52"/>
      <c r="H75" s="50"/>
      <c r="I75" s="51">
        <f>J74</f>
        <v>0</v>
      </c>
      <c r="J75" s="52"/>
      <c r="K75" s="50"/>
      <c r="L75" s="51">
        <f>M74</f>
        <v>0</v>
      </c>
      <c r="M75" s="52"/>
      <c r="N75" s="50"/>
      <c r="O75" s="51">
        <f>P74</f>
        <v>0</v>
      </c>
      <c r="P75" s="52"/>
      <c r="Q75" s="50"/>
      <c r="R75" s="51">
        <f>S74</f>
        <v>0</v>
      </c>
      <c r="S75" s="52"/>
      <c r="T75" s="50"/>
      <c r="U75" s="51">
        <f>V74</f>
        <v>0</v>
      </c>
      <c r="V75" s="52"/>
      <c r="W75" s="50"/>
      <c r="X75" s="51">
        <f>Y74</f>
        <v>0</v>
      </c>
      <c r="Y75" s="52"/>
      <c r="Z75" s="50"/>
      <c r="AA75" s="51">
        <f>AB74</f>
        <v>0</v>
      </c>
      <c r="AB75" s="52"/>
      <c r="AC75" s="50"/>
      <c r="AD75" s="51">
        <f>AE74</f>
        <v>0</v>
      </c>
      <c r="AE75" s="52"/>
      <c r="AF75" s="50"/>
      <c r="AG75" s="51">
        <f>AH74</f>
        <v>0</v>
      </c>
      <c r="AH75" s="52"/>
      <c r="AI75" s="50"/>
      <c r="AJ75" s="51">
        <f>AK74</f>
        <v>0</v>
      </c>
      <c r="AK75" s="52"/>
      <c r="AL75" s="50"/>
      <c r="AM75" s="51">
        <f>AN74</f>
        <v>0</v>
      </c>
      <c r="AN75" s="177"/>
    </row>
    <row r="76" spans="2:40" ht="14.25" customHeight="1" hidden="1">
      <c r="B76" s="34">
        <v>18</v>
      </c>
      <c r="C76" s="319" t="s">
        <v>107</v>
      </c>
      <c r="D76" s="35">
        <f>MARET!C58</f>
        <v>0</v>
      </c>
      <c r="E76" s="36"/>
      <c r="F76" s="37">
        <v>0</v>
      </c>
      <c r="G76" s="38"/>
      <c r="H76" s="39"/>
      <c r="I76" s="40">
        <v>0</v>
      </c>
      <c r="J76" s="41"/>
      <c r="K76" s="39"/>
      <c r="L76" s="40">
        <v>0</v>
      </c>
      <c r="M76" s="41"/>
      <c r="N76" s="39"/>
      <c r="O76" s="40">
        <v>0</v>
      </c>
      <c r="P76" s="41"/>
      <c r="Q76" s="39"/>
      <c r="R76" s="40">
        <v>0</v>
      </c>
      <c r="S76" s="41"/>
      <c r="T76" s="39"/>
      <c r="U76" s="40">
        <v>0</v>
      </c>
      <c r="V76" s="41"/>
      <c r="W76" s="39"/>
      <c r="X76" s="40">
        <v>0</v>
      </c>
      <c r="Y76" s="41"/>
      <c r="Z76" s="39"/>
      <c r="AA76" s="40">
        <v>0</v>
      </c>
      <c r="AB76" s="41"/>
      <c r="AC76" s="39"/>
      <c r="AD76" s="40">
        <v>0</v>
      </c>
      <c r="AE76" s="41"/>
      <c r="AF76" s="39"/>
      <c r="AG76" s="40">
        <v>0</v>
      </c>
      <c r="AH76" s="41"/>
      <c r="AI76" s="39"/>
      <c r="AJ76" s="40">
        <v>0</v>
      </c>
      <c r="AK76" s="41"/>
      <c r="AL76" s="39"/>
      <c r="AM76" s="40">
        <v>0</v>
      </c>
      <c r="AN76" s="42"/>
    </row>
    <row r="77" spans="2:40" ht="14.25" customHeight="1" hidden="1">
      <c r="B77" s="12"/>
      <c r="C77" s="320"/>
      <c r="D77" s="13"/>
      <c r="E77" s="43">
        <v>0</v>
      </c>
      <c r="F77" s="44"/>
      <c r="G77" s="31">
        <f>E77</f>
        <v>0</v>
      </c>
      <c r="H77" s="43">
        <v>0</v>
      </c>
      <c r="I77" s="44"/>
      <c r="J77" s="31">
        <f>H77</f>
        <v>0</v>
      </c>
      <c r="K77" s="43">
        <v>0</v>
      </c>
      <c r="L77" s="44"/>
      <c r="M77" s="31">
        <f>K77</f>
        <v>0</v>
      </c>
      <c r="N77" s="43">
        <v>0</v>
      </c>
      <c r="O77" s="44"/>
      <c r="P77" s="31">
        <f>N77</f>
        <v>0</v>
      </c>
      <c r="Q77" s="43">
        <v>0</v>
      </c>
      <c r="R77" s="44"/>
      <c r="S77" s="31">
        <f>Q77</f>
        <v>0</v>
      </c>
      <c r="T77" s="43">
        <v>0</v>
      </c>
      <c r="U77" s="44"/>
      <c r="V77" s="31">
        <f>T77</f>
        <v>0</v>
      </c>
      <c r="W77" s="43">
        <v>0</v>
      </c>
      <c r="X77" s="44"/>
      <c r="Y77" s="31">
        <f>W77</f>
        <v>0</v>
      </c>
      <c r="Z77" s="43">
        <v>0</v>
      </c>
      <c r="AA77" s="44"/>
      <c r="AB77" s="31">
        <f>Z77</f>
        <v>0</v>
      </c>
      <c r="AC77" s="43">
        <v>0</v>
      </c>
      <c r="AD77" s="44"/>
      <c r="AE77" s="31">
        <f>AC77</f>
        <v>0</v>
      </c>
      <c r="AF77" s="43">
        <v>0</v>
      </c>
      <c r="AG77" s="44"/>
      <c r="AH77" s="31">
        <f>AF77</f>
        <v>0</v>
      </c>
      <c r="AI77" s="43">
        <v>0</v>
      </c>
      <c r="AJ77" s="44"/>
      <c r="AK77" s="31">
        <f>AI77</f>
        <v>0</v>
      </c>
      <c r="AL77" s="43">
        <v>0</v>
      </c>
      <c r="AM77" s="44"/>
      <c r="AN77" s="176">
        <f>AL77</f>
        <v>0</v>
      </c>
    </row>
    <row r="78" spans="2:40" ht="14.25" customHeight="1" hidden="1">
      <c r="B78" s="48"/>
      <c r="C78" s="321"/>
      <c r="D78" s="49"/>
      <c r="E78" s="50"/>
      <c r="F78" s="51">
        <f>G77</f>
        <v>0</v>
      </c>
      <c r="G78" s="52"/>
      <c r="H78" s="50"/>
      <c r="I78" s="51">
        <f>J77</f>
        <v>0</v>
      </c>
      <c r="J78" s="52"/>
      <c r="K78" s="50"/>
      <c r="L78" s="51">
        <f>M77</f>
        <v>0</v>
      </c>
      <c r="M78" s="52"/>
      <c r="N78" s="50"/>
      <c r="O78" s="51">
        <f>P77</f>
        <v>0</v>
      </c>
      <c r="P78" s="52"/>
      <c r="Q78" s="50"/>
      <c r="R78" s="51">
        <f>S77</f>
        <v>0</v>
      </c>
      <c r="S78" s="52"/>
      <c r="T78" s="50"/>
      <c r="U78" s="51">
        <f>V77</f>
        <v>0</v>
      </c>
      <c r="V78" s="52"/>
      <c r="W78" s="50"/>
      <c r="X78" s="51">
        <f>Y77</f>
        <v>0</v>
      </c>
      <c r="Y78" s="52"/>
      <c r="Z78" s="50"/>
      <c r="AA78" s="51">
        <f>AB77</f>
        <v>0</v>
      </c>
      <c r="AB78" s="52"/>
      <c r="AC78" s="50"/>
      <c r="AD78" s="51">
        <f>AE77</f>
        <v>0</v>
      </c>
      <c r="AE78" s="52"/>
      <c r="AF78" s="50"/>
      <c r="AG78" s="51">
        <f>AH77</f>
        <v>0</v>
      </c>
      <c r="AH78" s="52"/>
      <c r="AI78" s="50"/>
      <c r="AJ78" s="51">
        <f>AK77</f>
        <v>0</v>
      </c>
      <c r="AK78" s="52"/>
      <c r="AL78" s="50"/>
      <c r="AM78" s="51">
        <f>AN77</f>
        <v>0</v>
      </c>
      <c r="AN78" s="177"/>
    </row>
    <row r="79" spans="2:40" ht="14.25" customHeight="1" hidden="1">
      <c r="B79" s="34">
        <v>19</v>
      </c>
      <c r="C79" s="319" t="str">
        <f>MARET!B60</f>
        <v>Evaluasi Pemberdayaan Masyarakat, Perlombaan Desa / Kelurahan</v>
      </c>
      <c r="D79" s="35">
        <f>MARET!C60</f>
        <v>0</v>
      </c>
      <c r="E79" s="36"/>
      <c r="F79" s="37">
        <v>0</v>
      </c>
      <c r="G79" s="38"/>
      <c r="H79" s="39"/>
      <c r="I79" s="40">
        <v>0</v>
      </c>
      <c r="J79" s="41"/>
      <c r="K79" s="39"/>
      <c r="L79" s="40">
        <v>0</v>
      </c>
      <c r="M79" s="41"/>
      <c r="N79" s="39"/>
      <c r="O79" s="40">
        <v>0</v>
      </c>
      <c r="P79" s="41"/>
      <c r="Q79" s="39"/>
      <c r="R79" s="40">
        <v>0</v>
      </c>
      <c r="S79" s="41"/>
      <c r="T79" s="39"/>
      <c r="U79" s="40">
        <v>0</v>
      </c>
      <c r="V79" s="41"/>
      <c r="W79" s="39"/>
      <c r="X79" s="40">
        <v>0</v>
      </c>
      <c r="Y79" s="41"/>
      <c r="Z79" s="39"/>
      <c r="AA79" s="40">
        <v>0</v>
      </c>
      <c r="AB79" s="41"/>
      <c r="AC79" s="39"/>
      <c r="AD79" s="40">
        <v>0</v>
      </c>
      <c r="AE79" s="41"/>
      <c r="AF79" s="39"/>
      <c r="AG79" s="40">
        <v>0</v>
      </c>
      <c r="AH79" s="41"/>
      <c r="AI79" s="39"/>
      <c r="AJ79" s="40">
        <v>0</v>
      </c>
      <c r="AK79" s="41"/>
      <c r="AL79" s="39"/>
      <c r="AM79" s="40">
        <v>0</v>
      </c>
      <c r="AN79" s="42"/>
    </row>
    <row r="80" spans="2:40" ht="14.25" customHeight="1" hidden="1">
      <c r="B80" s="12"/>
      <c r="C80" s="320"/>
      <c r="D80" s="13"/>
      <c r="E80" s="43">
        <v>0</v>
      </c>
      <c r="F80" s="44"/>
      <c r="G80" s="31">
        <f>E80</f>
        <v>0</v>
      </c>
      <c r="H80" s="43">
        <v>0</v>
      </c>
      <c r="I80" s="44"/>
      <c r="J80" s="31">
        <f>H80</f>
        <v>0</v>
      </c>
      <c r="K80" s="43">
        <v>0</v>
      </c>
      <c r="L80" s="44"/>
      <c r="M80" s="31">
        <f>K80</f>
        <v>0</v>
      </c>
      <c r="N80" s="43">
        <v>0</v>
      </c>
      <c r="O80" s="44"/>
      <c r="P80" s="31">
        <f>N80</f>
        <v>0</v>
      </c>
      <c r="Q80" s="43">
        <v>0</v>
      </c>
      <c r="R80" s="44"/>
      <c r="S80" s="31">
        <f>Q80</f>
        <v>0</v>
      </c>
      <c r="T80" s="43">
        <v>0</v>
      </c>
      <c r="U80" s="44"/>
      <c r="V80" s="31">
        <f>T80</f>
        <v>0</v>
      </c>
      <c r="W80" s="43">
        <v>0</v>
      </c>
      <c r="X80" s="44"/>
      <c r="Y80" s="31">
        <f>W80</f>
        <v>0</v>
      </c>
      <c r="Z80" s="43">
        <v>0</v>
      </c>
      <c r="AA80" s="44"/>
      <c r="AB80" s="31">
        <f>Z80</f>
        <v>0</v>
      </c>
      <c r="AC80" s="43">
        <v>0</v>
      </c>
      <c r="AD80" s="44"/>
      <c r="AE80" s="31">
        <f>AC80</f>
        <v>0</v>
      </c>
      <c r="AF80" s="43">
        <v>0</v>
      </c>
      <c r="AG80" s="44"/>
      <c r="AH80" s="31">
        <f>AF80</f>
        <v>0</v>
      </c>
      <c r="AI80" s="43">
        <v>0</v>
      </c>
      <c r="AJ80" s="44"/>
      <c r="AK80" s="31">
        <f>AI80</f>
        <v>0</v>
      </c>
      <c r="AL80" s="43">
        <v>0</v>
      </c>
      <c r="AM80" s="44"/>
      <c r="AN80" s="176">
        <f>AL80</f>
        <v>0</v>
      </c>
    </row>
    <row r="81" spans="2:40" ht="14.25" customHeight="1" hidden="1">
      <c r="B81" s="48"/>
      <c r="C81" s="321"/>
      <c r="D81" s="49"/>
      <c r="E81" s="50"/>
      <c r="F81" s="51">
        <f>G80</f>
        <v>0</v>
      </c>
      <c r="G81" s="52"/>
      <c r="H81" s="50"/>
      <c r="I81" s="51">
        <f>J80</f>
        <v>0</v>
      </c>
      <c r="J81" s="52"/>
      <c r="K81" s="50"/>
      <c r="L81" s="51">
        <f>M80</f>
        <v>0</v>
      </c>
      <c r="M81" s="52"/>
      <c r="N81" s="50"/>
      <c r="O81" s="51">
        <f>P80</f>
        <v>0</v>
      </c>
      <c r="P81" s="52"/>
      <c r="Q81" s="50"/>
      <c r="R81" s="51">
        <f>S80</f>
        <v>0</v>
      </c>
      <c r="S81" s="52"/>
      <c r="T81" s="50"/>
      <c r="U81" s="51">
        <f>V80</f>
        <v>0</v>
      </c>
      <c r="V81" s="52"/>
      <c r="W81" s="50"/>
      <c r="X81" s="51">
        <f>Y80</f>
        <v>0</v>
      </c>
      <c r="Y81" s="52"/>
      <c r="Z81" s="50"/>
      <c r="AA81" s="51">
        <f>AB80</f>
        <v>0</v>
      </c>
      <c r="AB81" s="52"/>
      <c r="AC81" s="50"/>
      <c r="AD81" s="51">
        <f>AE80</f>
        <v>0</v>
      </c>
      <c r="AE81" s="52"/>
      <c r="AF81" s="50"/>
      <c r="AG81" s="51">
        <f>AH80</f>
        <v>0</v>
      </c>
      <c r="AH81" s="52"/>
      <c r="AI81" s="50"/>
      <c r="AJ81" s="51">
        <f>AK80</f>
        <v>0</v>
      </c>
      <c r="AK81" s="52"/>
      <c r="AL81" s="50"/>
      <c r="AM81" s="51">
        <f>AN80</f>
        <v>0</v>
      </c>
      <c r="AN81" s="177"/>
    </row>
    <row r="82" spans="2:40" s="25" customFormat="1" ht="14.25" customHeight="1" hidden="1">
      <c r="B82" s="34">
        <v>19</v>
      </c>
      <c r="C82" s="319" t="str">
        <f>MARET!B62</f>
        <v>Pembinaan Perangkat Desa</v>
      </c>
      <c r="D82" s="171">
        <f>MARET!C62</f>
        <v>0</v>
      </c>
      <c r="E82" s="36"/>
      <c r="F82" s="37"/>
      <c r="G82" s="38"/>
      <c r="H82" s="39"/>
      <c r="I82" s="40"/>
      <c r="J82" s="41"/>
      <c r="K82" s="39"/>
      <c r="L82" s="40"/>
      <c r="M82" s="41"/>
      <c r="N82" s="39"/>
      <c r="O82" s="40"/>
      <c r="P82" s="41"/>
      <c r="Q82" s="39"/>
      <c r="R82" s="40"/>
      <c r="S82" s="41"/>
      <c r="T82" s="39"/>
      <c r="U82" s="40"/>
      <c r="V82" s="41"/>
      <c r="W82" s="39"/>
      <c r="X82" s="40"/>
      <c r="Y82" s="41"/>
      <c r="Z82" s="39"/>
      <c r="AA82" s="40"/>
      <c r="AB82" s="41"/>
      <c r="AC82" s="39"/>
      <c r="AD82" s="40"/>
      <c r="AE82" s="41"/>
      <c r="AF82" s="39"/>
      <c r="AG82" s="40"/>
      <c r="AH82" s="41"/>
      <c r="AI82" s="39"/>
      <c r="AJ82" s="40"/>
      <c r="AK82" s="41"/>
      <c r="AL82" s="39"/>
      <c r="AM82" s="40"/>
      <c r="AN82" s="42"/>
    </row>
    <row r="83" spans="2:40" s="25" customFormat="1" ht="14.25" customHeight="1" hidden="1">
      <c r="B83" s="12"/>
      <c r="C83" s="320"/>
      <c r="D83" s="172"/>
      <c r="E83" s="43">
        <v>0</v>
      </c>
      <c r="F83" s="44"/>
      <c r="G83" s="31">
        <f>E83</f>
        <v>0</v>
      </c>
      <c r="H83" s="43">
        <v>0</v>
      </c>
      <c r="I83" s="44"/>
      <c r="J83" s="31">
        <f>H83</f>
        <v>0</v>
      </c>
      <c r="K83" s="43">
        <v>0</v>
      </c>
      <c r="L83" s="44"/>
      <c r="M83" s="31">
        <f>K83</f>
        <v>0</v>
      </c>
      <c r="N83" s="43">
        <v>0</v>
      </c>
      <c r="O83" s="44"/>
      <c r="P83" s="31">
        <f>N83</f>
        <v>0</v>
      </c>
      <c r="Q83" s="43">
        <v>0</v>
      </c>
      <c r="R83" s="44"/>
      <c r="S83" s="31">
        <f>Q83</f>
        <v>0</v>
      </c>
      <c r="T83" s="43">
        <v>0</v>
      </c>
      <c r="U83" s="44"/>
      <c r="V83" s="31">
        <f>T83</f>
        <v>0</v>
      </c>
      <c r="W83" s="43">
        <v>0</v>
      </c>
      <c r="X83" s="44"/>
      <c r="Y83" s="31">
        <f>W83</f>
        <v>0</v>
      </c>
      <c r="Z83" s="43">
        <v>0</v>
      </c>
      <c r="AA83" s="44"/>
      <c r="AB83" s="31">
        <f>Z83</f>
        <v>0</v>
      </c>
      <c r="AC83" s="43">
        <v>0</v>
      </c>
      <c r="AD83" s="44"/>
      <c r="AE83" s="31">
        <f>AC83</f>
        <v>0</v>
      </c>
      <c r="AF83" s="43">
        <v>0</v>
      </c>
      <c r="AG83" s="44"/>
      <c r="AH83" s="31">
        <f>AF83</f>
        <v>0</v>
      </c>
      <c r="AI83" s="43">
        <v>0</v>
      </c>
      <c r="AJ83" s="44"/>
      <c r="AK83" s="31">
        <f>AI83</f>
        <v>0</v>
      </c>
      <c r="AL83" s="43">
        <v>0</v>
      </c>
      <c r="AM83" s="44"/>
      <c r="AN83" s="176">
        <f>AL83</f>
        <v>0</v>
      </c>
    </row>
    <row r="84" spans="2:40" ht="14.25" customHeight="1" hidden="1">
      <c r="B84" s="48"/>
      <c r="C84" s="321"/>
      <c r="D84" s="173"/>
      <c r="E84" s="50"/>
      <c r="F84" s="51">
        <f>G83</f>
        <v>0</v>
      </c>
      <c r="G84" s="52"/>
      <c r="H84" s="50"/>
      <c r="I84" s="51">
        <f>J83</f>
        <v>0</v>
      </c>
      <c r="J84" s="52"/>
      <c r="K84" s="50"/>
      <c r="L84" s="51">
        <f>M83</f>
        <v>0</v>
      </c>
      <c r="M84" s="52"/>
      <c r="N84" s="50"/>
      <c r="O84" s="51">
        <f>P83</f>
        <v>0</v>
      </c>
      <c r="P84" s="52"/>
      <c r="Q84" s="50"/>
      <c r="R84" s="51">
        <f>S83</f>
        <v>0</v>
      </c>
      <c r="S84" s="52"/>
      <c r="T84" s="50"/>
      <c r="U84" s="51">
        <f>V83</f>
        <v>0</v>
      </c>
      <c r="V84" s="52"/>
      <c r="W84" s="50"/>
      <c r="X84" s="51">
        <f>Y83</f>
        <v>0</v>
      </c>
      <c r="Y84" s="52"/>
      <c r="Z84" s="50"/>
      <c r="AA84" s="51">
        <f>AB83</f>
        <v>0</v>
      </c>
      <c r="AB84" s="52"/>
      <c r="AC84" s="50"/>
      <c r="AD84" s="51">
        <f>AE83</f>
        <v>0</v>
      </c>
      <c r="AE84" s="52"/>
      <c r="AF84" s="50"/>
      <c r="AG84" s="51">
        <f>AH83</f>
        <v>0</v>
      </c>
      <c r="AH84" s="52"/>
      <c r="AI84" s="50"/>
      <c r="AJ84" s="51">
        <f>AK83</f>
        <v>0</v>
      </c>
      <c r="AK84" s="52"/>
      <c r="AL84" s="50"/>
      <c r="AM84" s="51">
        <f>AN83</f>
        <v>0</v>
      </c>
      <c r="AN84" s="177"/>
    </row>
    <row r="85" spans="2:40" s="25" customFormat="1" ht="14.25" customHeight="1" hidden="1">
      <c r="B85" s="34">
        <v>20</v>
      </c>
      <c r="C85" s="319" t="str">
        <f>MARET!B64</f>
        <v>Pembinaan Kegiatan Administrasi Pemerintahan Desa</v>
      </c>
      <c r="D85" s="35">
        <f>MARET!C64</f>
        <v>0</v>
      </c>
      <c r="E85" s="36"/>
      <c r="F85" s="37"/>
      <c r="G85" s="38"/>
      <c r="H85" s="39"/>
      <c r="I85" s="40"/>
      <c r="J85" s="41"/>
      <c r="K85" s="39"/>
      <c r="L85" s="40"/>
      <c r="M85" s="41"/>
      <c r="N85" s="39"/>
      <c r="O85" s="40"/>
      <c r="P85" s="41"/>
      <c r="Q85" s="39"/>
      <c r="R85" s="40"/>
      <c r="S85" s="41"/>
      <c r="T85" s="39"/>
      <c r="U85" s="40"/>
      <c r="V85" s="41"/>
      <c r="W85" s="39"/>
      <c r="X85" s="40"/>
      <c r="Y85" s="41"/>
      <c r="Z85" s="39"/>
      <c r="AA85" s="40"/>
      <c r="AB85" s="41"/>
      <c r="AC85" s="39"/>
      <c r="AD85" s="40"/>
      <c r="AE85" s="41"/>
      <c r="AF85" s="39"/>
      <c r="AG85" s="40"/>
      <c r="AH85" s="41"/>
      <c r="AI85" s="39"/>
      <c r="AJ85" s="40"/>
      <c r="AK85" s="41"/>
      <c r="AL85" s="39"/>
      <c r="AM85" s="40"/>
      <c r="AN85" s="42"/>
    </row>
    <row r="86" spans="2:40" s="25" customFormat="1" ht="14.25" customHeight="1" hidden="1">
      <c r="B86" s="12"/>
      <c r="C86" s="320"/>
      <c r="D86" s="13"/>
      <c r="E86" s="43">
        <v>0</v>
      </c>
      <c r="F86" s="44"/>
      <c r="G86" s="31">
        <f>E86</f>
        <v>0</v>
      </c>
      <c r="H86" s="43">
        <v>0</v>
      </c>
      <c r="I86" s="44"/>
      <c r="J86" s="31">
        <f>H86</f>
        <v>0</v>
      </c>
      <c r="K86" s="43">
        <v>0</v>
      </c>
      <c r="L86" s="44"/>
      <c r="M86" s="31">
        <f>K86</f>
        <v>0</v>
      </c>
      <c r="N86" s="43">
        <v>0</v>
      </c>
      <c r="O86" s="44"/>
      <c r="P86" s="31">
        <f>N86</f>
        <v>0</v>
      </c>
      <c r="Q86" s="43">
        <v>0</v>
      </c>
      <c r="R86" s="44"/>
      <c r="S86" s="31">
        <f>Q86</f>
        <v>0</v>
      </c>
      <c r="T86" s="43">
        <v>0</v>
      </c>
      <c r="U86" s="44"/>
      <c r="V86" s="31">
        <f>T86</f>
        <v>0</v>
      </c>
      <c r="W86" s="43">
        <v>0</v>
      </c>
      <c r="X86" s="44"/>
      <c r="Y86" s="31">
        <f>W86</f>
        <v>0</v>
      </c>
      <c r="Z86" s="43">
        <v>0</v>
      </c>
      <c r="AA86" s="44"/>
      <c r="AB86" s="31">
        <f>Z86</f>
        <v>0</v>
      </c>
      <c r="AC86" s="43">
        <v>0</v>
      </c>
      <c r="AD86" s="44"/>
      <c r="AE86" s="31">
        <f>AC86</f>
        <v>0</v>
      </c>
      <c r="AF86" s="43">
        <v>0</v>
      </c>
      <c r="AG86" s="44"/>
      <c r="AH86" s="31">
        <f>AF86</f>
        <v>0</v>
      </c>
      <c r="AI86" s="43">
        <v>0</v>
      </c>
      <c r="AJ86" s="44"/>
      <c r="AK86" s="31">
        <f>AI86</f>
        <v>0</v>
      </c>
      <c r="AL86" s="43">
        <v>0</v>
      </c>
      <c r="AM86" s="44"/>
      <c r="AN86" s="176">
        <f>AL86</f>
        <v>0</v>
      </c>
    </row>
    <row r="87" spans="2:40" ht="14.25" customHeight="1" hidden="1">
      <c r="B87" s="48"/>
      <c r="C87" s="321"/>
      <c r="D87" s="49"/>
      <c r="E87" s="50"/>
      <c r="F87" s="51">
        <f>G86</f>
        <v>0</v>
      </c>
      <c r="G87" s="52"/>
      <c r="H87" s="50"/>
      <c r="I87" s="51">
        <f>J86</f>
        <v>0</v>
      </c>
      <c r="J87" s="52"/>
      <c r="K87" s="50"/>
      <c r="L87" s="51">
        <f>M86</f>
        <v>0</v>
      </c>
      <c r="M87" s="52"/>
      <c r="N87" s="50"/>
      <c r="O87" s="51">
        <f>P86</f>
        <v>0</v>
      </c>
      <c r="P87" s="52"/>
      <c r="Q87" s="50"/>
      <c r="R87" s="51">
        <f>S86</f>
        <v>0</v>
      </c>
      <c r="S87" s="52"/>
      <c r="T87" s="50"/>
      <c r="U87" s="51">
        <f>V86</f>
        <v>0</v>
      </c>
      <c r="V87" s="52"/>
      <c r="W87" s="50"/>
      <c r="X87" s="51">
        <f>Y86</f>
        <v>0</v>
      </c>
      <c r="Y87" s="52"/>
      <c r="Z87" s="50"/>
      <c r="AA87" s="51">
        <f>AB86</f>
        <v>0</v>
      </c>
      <c r="AB87" s="52"/>
      <c r="AC87" s="50"/>
      <c r="AD87" s="51">
        <f>AE86</f>
        <v>0</v>
      </c>
      <c r="AE87" s="52"/>
      <c r="AF87" s="50"/>
      <c r="AG87" s="51">
        <f>AH86</f>
        <v>0</v>
      </c>
      <c r="AH87" s="52"/>
      <c r="AI87" s="50"/>
      <c r="AJ87" s="51">
        <f>AK86</f>
        <v>0</v>
      </c>
      <c r="AK87" s="52"/>
      <c r="AL87" s="50"/>
      <c r="AM87" s="51">
        <f>AN86</f>
        <v>0</v>
      </c>
      <c r="AN87" s="177"/>
    </row>
    <row r="88" spans="2:40" s="25" customFormat="1" ht="14.25" customHeight="1" hidden="1">
      <c r="B88" s="34">
        <v>20</v>
      </c>
      <c r="C88" s="319" t="str">
        <f>MARET!B66</f>
        <v>Monitoring dan Evaluasi Pelaporan Pemerintahan Desa</v>
      </c>
      <c r="D88" s="35">
        <f>MARET!C66</f>
        <v>0</v>
      </c>
      <c r="E88" s="36"/>
      <c r="F88" s="37"/>
      <c r="G88" s="38"/>
      <c r="H88" s="39"/>
      <c r="I88" s="40"/>
      <c r="J88" s="41"/>
      <c r="K88" s="39"/>
      <c r="L88" s="40"/>
      <c r="M88" s="41"/>
      <c r="N88" s="39"/>
      <c r="O88" s="40"/>
      <c r="P88" s="41"/>
      <c r="Q88" s="39"/>
      <c r="R88" s="40"/>
      <c r="S88" s="41"/>
      <c r="T88" s="39"/>
      <c r="U88" s="40"/>
      <c r="V88" s="41"/>
      <c r="W88" s="39"/>
      <c r="X88" s="40"/>
      <c r="Y88" s="41"/>
      <c r="Z88" s="39"/>
      <c r="AA88" s="40"/>
      <c r="AB88" s="41"/>
      <c r="AC88" s="39"/>
      <c r="AD88" s="40"/>
      <c r="AE88" s="41"/>
      <c r="AF88" s="39"/>
      <c r="AG88" s="40"/>
      <c r="AH88" s="41"/>
      <c r="AI88" s="39"/>
      <c r="AJ88" s="40"/>
      <c r="AK88" s="41"/>
      <c r="AL88" s="39"/>
      <c r="AM88" s="40"/>
      <c r="AN88" s="42"/>
    </row>
    <row r="89" spans="2:40" s="25" customFormat="1" ht="14.25" customHeight="1" hidden="1">
      <c r="B89" s="12"/>
      <c r="C89" s="320"/>
      <c r="D89" s="13"/>
      <c r="E89" s="43">
        <v>0</v>
      </c>
      <c r="F89" s="44"/>
      <c r="G89" s="31">
        <f>E89</f>
        <v>0</v>
      </c>
      <c r="H89" s="43">
        <v>0</v>
      </c>
      <c r="I89" s="44"/>
      <c r="J89" s="31">
        <f>H89</f>
        <v>0</v>
      </c>
      <c r="K89" s="43">
        <v>0</v>
      </c>
      <c r="L89" s="44"/>
      <c r="M89" s="31">
        <f>K89</f>
        <v>0</v>
      </c>
      <c r="N89" s="43">
        <v>0</v>
      </c>
      <c r="O89" s="44"/>
      <c r="P89" s="31">
        <f>N89</f>
        <v>0</v>
      </c>
      <c r="Q89" s="43">
        <v>0</v>
      </c>
      <c r="R89" s="44"/>
      <c r="S89" s="31">
        <f>Q89</f>
        <v>0</v>
      </c>
      <c r="T89" s="43">
        <v>0</v>
      </c>
      <c r="U89" s="44"/>
      <c r="V89" s="31">
        <f>T89</f>
        <v>0</v>
      </c>
      <c r="W89" s="43">
        <v>0</v>
      </c>
      <c r="X89" s="44"/>
      <c r="Y89" s="31">
        <f>W89</f>
        <v>0</v>
      </c>
      <c r="Z89" s="43">
        <v>0</v>
      </c>
      <c r="AA89" s="44"/>
      <c r="AB89" s="31">
        <f>Z89</f>
        <v>0</v>
      </c>
      <c r="AC89" s="43">
        <v>0</v>
      </c>
      <c r="AD89" s="44"/>
      <c r="AE89" s="31">
        <f>AC89</f>
        <v>0</v>
      </c>
      <c r="AF89" s="43">
        <v>0</v>
      </c>
      <c r="AG89" s="44"/>
      <c r="AH89" s="31">
        <f>AF89</f>
        <v>0</v>
      </c>
      <c r="AI89" s="43">
        <v>0</v>
      </c>
      <c r="AJ89" s="44"/>
      <c r="AK89" s="31">
        <f>AI89</f>
        <v>0</v>
      </c>
      <c r="AL89" s="43">
        <v>0</v>
      </c>
      <c r="AM89" s="44"/>
      <c r="AN89" s="176">
        <f>AL89</f>
        <v>0</v>
      </c>
    </row>
    <row r="90" spans="2:40" ht="14.25" customHeight="1" hidden="1">
      <c r="B90" s="48"/>
      <c r="C90" s="321"/>
      <c r="D90" s="49"/>
      <c r="E90" s="50"/>
      <c r="F90" s="51">
        <f>G89</f>
        <v>0</v>
      </c>
      <c r="G90" s="52"/>
      <c r="H90" s="50"/>
      <c r="I90" s="51">
        <f>J89</f>
        <v>0</v>
      </c>
      <c r="J90" s="52"/>
      <c r="K90" s="50"/>
      <c r="L90" s="51">
        <f>M89</f>
        <v>0</v>
      </c>
      <c r="M90" s="52"/>
      <c r="N90" s="50"/>
      <c r="O90" s="51">
        <f>P89</f>
        <v>0</v>
      </c>
      <c r="P90" s="52"/>
      <c r="Q90" s="50"/>
      <c r="R90" s="51">
        <f>S89</f>
        <v>0</v>
      </c>
      <c r="S90" s="52"/>
      <c r="T90" s="50"/>
      <c r="U90" s="51">
        <f>V89</f>
        <v>0</v>
      </c>
      <c r="V90" s="52"/>
      <c r="W90" s="50"/>
      <c r="X90" s="51">
        <f>Y89</f>
        <v>0</v>
      </c>
      <c r="Y90" s="52"/>
      <c r="Z90" s="50"/>
      <c r="AA90" s="51">
        <f>AB89</f>
        <v>0</v>
      </c>
      <c r="AB90" s="52"/>
      <c r="AC90" s="50"/>
      <c r="AD90" s="51">
        <f>AE89</f>
        <v>0</v>
      </c>
      <c r="AE90" s="52"/>
      <c r="AF90" s="50"/>
      <c r="AG90" s="51">
        <f>AH89</f>
        <v>0</v>
      </c>
      <c r="AH90" s="52"/>
      <c r="AI90" s="50"/>
      <c r="AJ90" s="51">
        <f>AK89</f>
        <v>0</v>
      </c>
      <c r="AK90" s="52"/>
      <c r="AL90" s="50"/>
      <c r="AM90" s="51">
        <f>AN89</f>
        <v>0</v>
      </c>
      <c r="AN90" s="177"/>
    </row>
    <row r="91" spans="2:40" s="25" customFormat="1" ht="14.25" customHeight="1" hidden="1">
      <c r="B91" s="34">
        <v>21</v>
      </c>
      <c r="C91" s="319" t="str">
        <f>MARET!B68</f>
        <v>Pembinaan PKK Desa</v>
      </c>
      <c r="D91" s="35"/>
      <c r="E91" s="36"/>
      <c r="F91" s="37"/>
      <c r="G91" s="38"/>
      <c r="H91" s="39"/>
      <c r="I91" s="40"/>
      <c r="J91" s="41"/>
      <c r="K91" s="39"/>
      <c r="L91" s="40"/>
      <c r="M91" s="41"/>
      <c r="N91" s="39"/>
      <c r="O91" s="37"/>
      <c r="P91" s="41"/>
      <c r="Q91" s="39"/>
      <c r="R91" s="37"/>
      <c r="S91" s="41"/>
      <c r="T91" s="39"/>
      <c r="U91" s="37"/>
      <c r="V91" s="41"/>
      <c r="W91" s="39"/>
      <c r="X91" s="37"/>
      <c r="Y91" s="41"/>
      <c r="Z91" s="39"/>
      <c r="AA91" s="37"/>
      <c r="AB91" s="41"/>
      <c r="AC91" s="39"/>
      <c r="AD91" s="37"/>
      <c r="AE91" s="41"/>
      <c r="AF91" s="39"/>
      <c r="AG91" s="37"/>
      <c r="AH91" s="41"/>
      <c r="AI91" s="39"/>
      <c r="AJ91" s="37"/>
      <c r="AK91" s="41"/>
      <c r="AL91" s="39"/>
      <c r="AM91" s="37"/>
      <c r="AN91" s="42"/>
    </row>
    <row r="92" spans="2:40" s="25" customFormat="1" ht="14.25" customHeight="1" hidden="1">
      <c r="B92" s="12"/>
      <c r="C92" s="320"/>
      <c r="D92" s="13"/>
      <c r="E92" s="43">
        <v>0</v>
      </c>
      <c r="F92" s="44"/>
      <c r="G92" s="31">
        <f>E92</f>
        <v>0</v>
      </c>
      <c r="H92" s="43">
        <v>0</v>
      </c>
      <c r="I92" s="44"/>
      <c r="J92" s="31">
        <f>H92</f>
        <v>0</v>
      </c>
      <c r="K92" s="43">
        <v>0</v>
      </c>
      <c r="L92" s="44"/>
      <c r="M92" s="31">
        <f>K92</f>
        <v>0</v>
      </c>
      <c r="N92" s="43">
        <v>0</v>
      </c>
      <c r="O92" s="44"/>
      <c r="P92" s="31">
        <f>N92</f>
        <v>0</v>
      </c>
      <c r="Q92" s="43">
        <v>0</v>
      </c>
      <c r="R92" s="44"/>
      <c r="S92" s="31">
        <f>Q92</f>
        <v>0</v>
      </c>
      <c r="T92" s="43">
        <v>0</v>
      </c>
      <c r="U92" s="44"/>
      <c r="V92" s="31">
        <f>T92</f>
        <v>0</v>
      </c>
      <c r="W92" s="43">
        <v>0</v>
      </c>
      <c r="X92" s="44"/>
      <c r="Y92" s="31">
        <f>W92</f>
        <v>0</v>
      </c>
      <c r="Z92" s="43">
        <v>0</v>
      </c>
      <c r="AA92" s="44"/>
      <c r="AB92" s="31">
        <f>Z92</f>
        <v>0</v>
      </c>
      <c r="AC92" s="43">
        <v>0</v>
      </c>
      <c r="AD92" s="44"/>
      <c r="AE92" s="31">
        <f>AC92</f>
        <v>0</v>
      </c>
      <c r="AF92" s="43">
        <v>0</v>
      </c>
      <c r="AG92" s="44"/>
      <c r="AH92" s="31">
        <f>AF92</f>
        <v>0</v>
      </c>
      <c r="AI92" s="43">
        <v>0</v>
      </c>
      <c r="AJ92" s="44"/>
      <c r="AK92" s="31">
        <f>AI92</f>
        <v>0</v>
      </c>
      <c r="AL92" s="43">
        <v>0</v>
      </c>
      <c r="AM92" s="44"/>
      <c r="AN92" s="176">
        <f>AL92</f>
        <v>0</v>
      </c>
    </row>
    <row r="93" spans="2:40" ht="14.25" customHeight="1" hidden="1">
      <c r="B93" s="48"/>
      <c r="C93" s="321"/>
      <c r="D93" s="49"/>
      <c r="E93" s="50"/>
      <c r="F93" s="51">
        <f>G92</f>
        <v>0</v>
      </c>
      <c r="G93" s="52"/>
      <c r="H93" s="50"/>
      <c r="I93" s="51">
        <f>J92</f>
        <v>0</v>
      </c>
      <c r="J93" s="52"/>
      <c r="K93" s="50"/>
      <c r="L93" s="51">
        <f>M92</f>
        <v>0</v>
      </c>
      <c r="M93" s="52"/>
      <c r="N93" s="50"/>
      <c r="O93" s="51">
        <f>P92</f>
        <v>0</v>
      </c>
      <c r="P93" s="52"/>
      <c r="Q93" s="50"/>
      <c r="R93" s="51">
        <f>S92</f>
        <v>0</v>
      </c>
      <c r="S93" s="52"/>
      <c r="T93" s="50"/>
      <c r="U93" s="51">
        <f>V92</f>
        <v>0</v>
      </c>
      <c r="V93" s="52"/>
      <c r="W93" s="50"/>
      <c r="X93" s="51">
        <f>Y92</f>
        <v>0</v>
      </c>
      <c r="Y93" s="52"/>
      <c r="Z93" s="50"/>
      <c r="AA93" s="51">
        <f>AB92</f>
        <v>0</v>
      </c>
      <c r="AB93" s="52"/>
      <c r="AC93" s="50"/>
      <c r="AD93" s="51">
        <f>AE92</f>
        <v>0</v>
      </c>
      <c r="AE93" s="52"/>
      <c r="AF93" s="50"/>
      <c r="AG93" s="51">
        <f>AH92</f>
        <v>0</v>
      </c>
      <c r="AH93" s="52"/>
      <c r="AI93" s="50"/>
      <c r="AJ93" s="51">
        <f>AK92</f>
        <v>0</v>
      </c>
      <c r="AK93" s="52"/>
      <c r="AL93" s="50"/>
      <c r="AM93" s="51">
        <f>AN92</f>
        <v>0</v>
      </c>
      <c r="AN93" s="177"/>
    </row>
    <row r="94" spans="2:40" s="235" customFormat="1" ht="14.25" customHeight="1">
      <c r="B94" s="139">
        <v>17</v>
      </c>
      <c r="C94" s="308" t="str">
        <f>MARET!B70</f>
        <v>Sinergitas dengan Kepolisian Negara Republik Indonesia, Tentara Nasional Indonesia dan Instansi Vertikal di Wilayah Kecamatan</v>
      </c>
      <c r="D94" s="159">
        <f>MARET!C70</f>
        <v>197280000</v>
      </c>
      <c r="E94" s="141"/>
      <c r="F94" s="142">
        <f>16440000*1/$D$94*100</f>
        <v>8.333333333333332</v>
      </c>
      <c r="G94" s="143"/>
      <c r="H94" s="144"/>
      <c r="I94" s="142">
        <f>16440000*2/$D$94*100</f>
        <v>16.666666666666664</v>
      </c>
      <c r="J94" s="146"/>
      <c r="K94" s="144"/>
      <c r="L94" s="142">
        <f>16440000*3/$D$94*100</f>
        <v>25</v>
      </c>
      <c r="M94" s="146"/>
      <c r="N94" s="144"/>
      <c r="O94" s="142">
        <f>16440000*4/$D$94*100</f>
        <v>33.33333333333333</v>
      </c>
      <c r="P94" s="146"/>
      <c r="Q94" s="144"/>
      <c r="R94" s="142">
        <f>16440000*5/$D$94*100</f>
        <v>41.66666666666667</v>
      </c>
      <c r="S94" s="146"/>
      <c r="T94" s="144"/>
      <c r="U94" s="142">
        <f>16440000*6/$D$94*100</f>
        <v>50</v>
      </c>
      <c r="V94" s="146"/>
      <c r="W94" s="144"/>
      <c r="X94" s="142">
        <f>16440000*7/$D$94*100</f>
        <v>58.333333333333336</v>
      </c>
      <c r="Y94" s="146"/>
      <c r="Z94" s="144"/>
      <c r="AA94" s="142">
        <f>16440000*8/$D$94*100</f>
        <v>66.66666666666666</v>
      </c>
      <c r="AB94" s="146"/>
      <c r="AC94" s="144"/>
      <c r="AD94" s="142">
        <f>16440000*9/$D$94*100</f>
        <v>75</v>
      </c>
      <c r="AE94" s="146"/>
      <c r="AF94" s="144"/>
      <c r="AG94" s="142">
        <f>16440000*10/$D$94*100</f>
        <v>83.33333333333334</v>
      </c>
      <c r="AH94" s="146"/>
      <c r="AI94" s="144"/>
      <c r="AJ94" s="142">
        <f>16440000*11/$D$94*100</f>
        <v>91.66666666666666</v>
      </c>
      <c r="AK94" s="146"/>
      <c r="AL94" s="144"/>
      <c r="AM94" s="142">
        <f>16440000*12/$D$94*100</f>
        <v>100</v>
      </c>
      <c r="AN94" s="147"/>
    </row>
    <row r="95" spans="2:40" s="235" customFormat="1" ht="14.25" customHeight="1">
      <c r="B95" s="149"/>
      <c r="C95" s="309"/>
      <c r="D95" s="160"/>
      <c r="E95" s="151">
        <v>0</v>
      </c>
      <c r="F95" s="152"/>
      <c r="G95" s="153">
        <f>E95</f>
        <v>0</v>
      </c>
      <c r="H95" s="151">
        <v>0</v>
      </c>
      <c r="I95" s="152"/>
      <c r="J95" s="153">
        <f>H95</f>
        <v>0</v>
      </c>
      <c r="K95" s="151">
        <v>18</v>
      </c>
      <c r="L95" s="152"/>
      <c r="M95" s="153">
        <f>K95</f>
        <v>18</v>
      </c>
      <c r="N95" s="151">
        <v>0</v>
      </c>
      <c r="O95" s="152"/>
      <c r="P95" s="153">
        <f>N95</f>
        <v>0</v>
      </c>
      <c r="Q95" s="151">
        <v>0</v>
      </c>
      <c r="R95" s="152"/>
      <c r="S95" s="153">
        <f>Q95</f>
        <v>0</v>
      </c>
      <c r="T95" s="151">
        <v>0</v>
      </c>
      <c r="U95" s="152"/>
      <c r="V95" s="153">
        <f>T95</f>
        <v>0</v>
      </c>
      <c r="W95" s="151">
        <v>0</v>
      </c>
      <c r="X95" s="152"/>
      <c r="Y95" s="153">
        <f>W95</f>
        <v>0</v>
      </c>
      <c r="Z95" s="151">
        <v>0</v>
      </c>
      <c r="AA95" s="152"/>
      <c r="AB95" s="153">
        <f>Z95</f>
        <v>0</v>
      </c>
      <c r="AC95" s="151">
        <v>0</v>
      </c>
      <c r="AD95" s="152"/>
      <c r="AE95" s="153">
        <f>AC95</f>
        <v>0</v>
      </c>
      <c r="AF95" s="151">
        <v>0</v>
      </c>
      <c r="AG95" s="152"/>
      <c r="AH95" s="153">
        <f>AF95</f>
        <v>0</v>
      </c>
      <c r="AI95" s="151">
        <v>0</v>
      </c>
      <c r="AJ95" s="152"/>
      <c r="AK95" s="153">
        <f>AI95</f>
        <v>0</v>
      </c>
      <c r="AL95" s="151">
        <v>0</v>
      </c>
      <c r="AM95" s="152"/>
      <c r="AN95" s="174">
        <f>AL95</f>
        <v>0</v>
      </c>
    </row>
    <row r="96" spans="2:40" s="235" customFormat="1" ht="14.25" customHeight="1">
      <c r="B96" s="154"/>
      <c r="C96" s="310"/>
      <c r="D96" s="161"/>
      <c r="E96" s="156"/>
      <c r="F96" s="157">
        <f>G95</f>
        <v>0</v>
      </c>
      <c r="G96" s="158"/>
      <c r="H96" s="156"/>
      <c r="I96" s="157">
        <f>J95</f>
        <v>0</v>
      </c>
      <c r="J96" s="158"/>
      <c r="K96" s="156"/>
      <c r="L96" s="157">
        <f>M95</f>
        <v>18</v>
      </c>
      <c r="M96" s="158"/>
      <c r="N96" s="156"/>
      <c r="O96" s="157">
        <f>P95</f>
        <v>0</v>
      </c>
      <c r="P96" s="158"/>
      <c r="Q96" s="156"/>
      <c r="R96" s="157">
        <f>S95</f>
        <v>0</v>
      </c>
      <c r="S96" s="158"/>
      <c r="T96" s="156"/>
      <c r="U96" s="157">
        <f>V95</f>
        <v>0</v>
      </c>
      <c r="V96" s="158"/>
      <c r="W96" s="156"/>
      <c r="X96" s="157">
        <f>Y95</f>
        <v>0</v>
      </c>
      <c r="Y96" s="158"/>
      <c r="Z96" s="156"/>
      <c r="AA96" s="157">
        <f>AB95</f>
        <v>0</v>
      </c>
      <c r="AB96" s="158"/>
      <c r="AC96" s="156"/>
      <c r="AD96" s="157">
        <f>AE95</f>
        <v>0</v>
      </c>
      <c r="AE96" s="158"/>
      <c r="AF96" s="156"/>
      <c r="AG96" s="157">
        <f>AH95</f>
        <v>0</v>
      </c>
      <c r="AH96" s="158"/>
      <c r="AI96" s="156"/>
      <c r="AJ96" s="157">
        <f>AK95</f>
        <v>0</v>
      </c>
      <c r="AK96" s="158"/>
      <c r="AL96" s="156"/>
      <c r="AM96" s="157">
        <f>AN95</f>
        <v>0</v>
      </c>
      <c r="AN96" s="175"/>
    </row>
    <row r="97" spans="2:40" s="235" customFormat="1" ht="14.25" customHeight="1">
      <c r="B97" s="227">
        <v>18</v>
      </c>
      <c r="C97" s="311" t="str">
        <f>MARET!B72</f>
        <v>Pembinaan Wawasan Kebangsaan dan Ketahanan Nasional dalam rangka Memantapkan Pengalaman Pancasila, Pelaksanaan Undang-Undang Dasar Negara Republik Indonesia Tahun 1945, Pelestarian Bhineka Tunggal Ika serta Pemertahanan dan Pemeliharaan Keutuhan Negara Kesatuan Republik Indonesia</v>
      </c>
      <c r="D97" s="228">
        <f>MARET!C72</f>
        <v>10200000</v>
      </c>
      <c r="E97" s="229"/>
      <c r="F97" s="230">
        <v>50</v>
      </c>
      <c r="G97" s="231"/>
      <c r="H97" s="232"/>
      <c r="I97" s="230">
        <v>50</v>
      </c>
      <c r="J97" s="233"/>
      <c r="K97" s="232"/>
      <c r="L97" s="230">
        <v>50</v>
      </c>
      <c r="M97" s="233"/>
      <c r="N97" s="232"/>
      <c r="O97" s="230">
        <v>50</v>
      </c>
      <c r="P97" s="233"/>
      <c r="Q97" s="232"/>
      <c r="R97" s="230">
        <v>50</v>
      </c>
      <c r="S97" s="233"/>
      <c r="T97" s="232"/>
      <c r="U97" s="230">
        <v>50</v>
      </c>
      <c r="V97" s="233"/>
      <c r="W97" s="232"/>
      <c r="X97" s="230">
        <v>50</v>
      </c>
      <c r="Y97" s="233"/>
      <c r="Z97" s="232"/>
      <c r="AA97" s="230">
        <v>50</v>
      </c>
      <c r="AB97" s="233"/>
      <c r="AC97" s="232"/>
      <c r="AD97" s="230">
        <v>50</v>
      </c>
      <c r="AE97" s="233"/>
      <c r="AF97" s="232"/>
      <c r="AG97" s="230">
        <v>50</v>
      </c>
      <c r="AH97" s="233"/>
      <c r="AI97" s="232"/>
      <c r="AJ97" s="230">
        <v>50</v>
      </c>
      <c r="AK97" s="233"/>
      <c r="AL97" s="232"/>
      <c r="AM97" s="230">
        <f>100</f>
        <v>100</v>
      </c>
      <c r="AN97" s="234"/>
    </row>
    <row r="98" spans="2:40" s="235" customFormat="1" ht="14.25" customHeight="1">
      <c r="B98" s="236"/>
      <c r="C98" s="312"/>
      <c r="D98" s="237"/>
      <c r="E98" s="238">
        <v>0</v>
      </c>
      <c r="F98" s="239"/>
      <c r="G98" s="240">
        <f>E98</f>
        <v>0</v>
      </c>
      <c r="H98" s="238">
        <v>50</v>
      </c>
      <c r="I98" s="239"/>
      <c r="J98" s="240">
        <f>H98</f>
        <v>50</v>
      </c>
      <c r="K98" s="238">
        <v>50</v>
      </c>
      <c r="L98" s="239"/>
      <c r="M98" s="240">
        <f>K98</f>
        <v>50</v>
      </c>
      <c r="N98" s="238">
        <v>0</v>
      </c>
      <c r="O98" s="239"/>
      <c r="P98" s="240">
        <f>N98</f>
        <v>0</v>
      </c>
      <c r="Q98" s="238">
        <v>0</v>
      </c>
      <c r="R98" s="239"/>
      <c r="S98" s="240">
        <f>Q98</f>
        <v>0</v>
      </c>
      <c r="T98" s="238">
        <v>0</v>
      </c>
      <c r="U98" s="239"/>
      <c r="V98" s="240">
        <f>T98</f>
        <v>0</v>
      </c>
      <c r="W98" s="238">
        <v>0</v>
      </c>
      <c r="X98" s="239"/>
      <c r="Y98" s="240">
        <f>W98</f>
        <v>0</v>
      </c>
      <c r="Z98" s="238">
        <v>0</v>
      </c>
      <c r="AA98" s="239"/>
      <c r="AB98" s="240">
        <f>Z98</f>
        <v>0</v>
      </c>
      <c r="AC98" s="238">
        <v>0</v>
      </c>
      <c r="AD98" s="239"/>
      <c r="AE98" s="240">
        <f>AC98</f>
        <v>0</v>
      </c>
      <c r="AF98" s="238">
        <v>0</v>
      </c>
      <c r="AG98" s="239"/>
      <c r="AH98" s="240">
        <f>AF98</f>
        <v>0</v>
      </c>
      <c r="AI98" s="238">
        <v>0</v>
      </c>
      <c r="AJ98" s="239"/>
      <c r="AK98" s="240">
        <f>AI98</f>
        <v>0</v>
      </c>
      <c r="AL98" s="238">
        <v>0</v>
      </c>
      <c r="AM98" s="239"/>
      <c r="AN98" s="241">
        <f>AL98</f>
        <v>0</v>
      </c>
    </row>
    <row r="99" spans="2:40" s="235" customFormat="1" ht="12" customHeight="1">
      <c r="B99" s="242"/>
      <c r="C99" s="313"/>
      <c r="D99" s="243"/>
      <c r="E99" s="244"/>
      <c r="F99" s="245">
        <f>G98</f>
        <v>0</v>
      </c>
      <c r="G99" s="246"/>
      <c r="H99" s="244"/>
      <c r="I99" s="245">
        <f>J98</f>
        <v>50</v>
      </c>
      <c r="J99" s="246"/>
      <c r="K99" s="244"/>
      <c r="L99" s="245">
        <f>M98</f>
        <v>50</v>
      </c>
      <c r="M99" s="246"/>
      <c r="N99" s="244"/>
      <c r="O99" s="245">
        <f>P98</f>
        <v>0</v>
      </c>
      <c r="P99" s="246"/>
      <c r="Q99" s="244"/>
      <c r="R99" s="245">
        <f>S98</f>
        <v>0</v>
      </c>
      <c r="S99" s="246"/>
      <c r="T99" s="244"/>
      <c r="U99" s="245">
        <f>V98</f>
        <v>0</v>
      </c>
      <c r="V99" s="246"/>
      <c r="W99" s="244"/>
      <c r="X99" s="245">
        <f>Y98</f>
        <v>0</v>
      </c>
      <c r="Y99" s="246"/>
      <c r="Z99" s="244"/>
      <c r="AA99" s="245">
        <f>AB98</f>
        <v>0</v>
      </c>
      <c r="AB99" s="246"/>
      <c r="AC99" s="244"/>
      <c r="AD99" s="245">
        <f>AE98</f>
        <v>0</v>
      </c>
      <c r="AE99" s="246"/>
      <c r="AF99" s="244"/>
      <c r="AG99" s="245">
        <f>AH98</f>
        <v>0</v>
      </c>
      <c r="AH99" s="246"/>
      <c r="AI99" s="244"/>
      <c r="AJ99" s="245">
        <f>AK98</f>
        <v>0</v>
      </c>
      <c r="AK99" s="246"/>
      <c r="AL99" s="244"/>
      <c r="AM99" s="245">
        <f>AN98</f>
        <v>0</v>
      </c>
      <c r="AN99" s="247"/>
    </row>
    <row r="100" spans="2:40" s="235" customFormat="1" ht="14.25" customHeight="1">
      <c r="B100" s="250">
        <v>19</v>
      </c>
      <c r="C100" s="314" t="str">
        <f>MARET!B74</f>
        <v>Fasilitasi Administrasi Tata Pemerintahan Desa</v>
      </c>
      <c r="D100" s="251">
        <f>MARET!C74</f>
        <v>12750000</v>
      </c>
      <c r="E100" s="252"/>
      <c r="F100" s="253">
        <v>0</v>
      </c>
      <c r="G100" s="254"/>
      <c r="H100" s="255"/>
      <c r="I100" s="253">
        <v>0</v>
      </c>
      <c r="J100" s="256"/>
      <c r="K100" s="255"/>
      <c r="L100" s="253">
        <v>0</v>
      </c>
      <c r="M100" s="256"/>
      <c r="N100" s="255"/>
      <c r="O100" s="253">
        <v>50</v>
      </c>
      <c r="P100" s="256"/>
      <c r="Q100" s="255"/>
      <c r="R100" s="253">
        <v>50</v>
      </c>
      <c r="S100" s="256"/>
      <c r="T100" s="255"/>
      <c r="U100" s="253">
        <v>50</v>
      </c>
      <c r="V100" s="256"/>
      <c r="W100" s="255"/>
      <c r="X100" s="253">
        <v>50</v>
      </c>
      <c r="Y100" s="256"/>
      <c r="Z100" s="255"/>
      <c r="AA100" s="253">
        <v>50</v>
      </c>
      <c r="AB100" s="256"/>
      <c r="AC100" s="255"/>
      <c r="AD100" s="253">
        <f>100</f>
        <v>100</v>
      </c>
      <c r="AE100" s="256"/>
      <c r="AF100" s="255"/>
      <c r="AG100" s="253">
        <f>100</f>
        <v>100</v>
      </c>
      <c r="AH100" s="256"/>
      <c r="AI100" s="255"/>
      <c r="AJ100" s="253">
        <f>100</f>
        <v>100</v>
      </c>
      <c r="AK100" s="256"/>
      <c r="AL100" s="255"/>
      <c r="AM100" s="253">
        <f>100</f>
        <v>100</v>
      </c>
      <c r="AN100" s="257"/>
    </row>
    <row r="101" spans="2:40" s="235" customFormat="1" ht="14.25" customHeight="1">
      <c r="B101" s="258"/>
      <c r="C101" s="315"/>
      <c r="D101" s="259"/>
      <c r="E101" s="260">
        <v>0</v>
      </c>
      <c r="F101" s="261"/>
      <c r="G101" s="262">
        <f>E101</f>
        <v>0</v>
      </c>
      <c r="H101" s="260">
        <v>0</v>
      </c>
      <c r="I101" s="261"/>
      <c r="J101" s="262">
        <f>H101</f>
        <v>0</v>
      </c>
      <c r="K101" s="260">
        <v>15</v>
      </c>
      <c r="L101" s="261"/>
      <c r="M101" s="262">
        <f>K101</f>
        <v>15</v>
      </c>
      <c r="N101" s="260">
        <v>0</v>
      </c>
      <c r="O101" s="261"/>
      <c r="P101" s="262">
        <f>N101</f>
        <v>0</v>
      </c>
      <c r="Q101" s="260">
        <v>0</v>
      </c>
      <c r="R101" s="261"/>
      <c r="S101" s="262">
        <f>Q101</f>
        <v>0</v>
      </c>
      <c r="T101" s="260">
        <v>0</v>
      </c>
      <c r="U101" s="261"/>
      <c r="V101" s="262">
        <f>T101</f>
        <v>0</v>
      </c>
      <c r="W101" s="260">
        <v>0</v>
      </c>
      <c r="X101" s="261"/>
      <c r="Y101" s="262">
        <f>W101</f>
        <v>0</v>
      </c>
      <c r="Z101" s="260">
        <v>0</v>
      </c>
      <c r="AA101" s="261"/>
      <c r="AB101" s="262">
        <f>Z101</f>
        <v>0</v>
      </c>
      <c r="AC101" s="260">
        <v>0</v>
      </c>
      <c r="AD101" s="261"/>
      <c r="AE101" s="262">
        <f>AC101</f>
        <v>0</v>
      </c>
      <c r="AF101" s="260">
        <v>0</v>
      </c>
      <c r="AG101" s="261"/>
      <c r="AH101" s="262">
        <f>AF101</f>
        <v>0</v>
      </c>
      <c r="AI101" s="260">
        <v>0</v>
      </c>
      <c r="AJ101" s="261"/>
      <c r="AK101" s="262">
        <f>AI101</f>
        <v>0</v>
      </c>
      <c r="AL101" s="260">
        <v>0</v>
      </c>
      <c r="AM101" s="261"/>
      <c r="AN101" s="263">
        <f>AL101</f>
        <v>0</v>
      </c>
    </row>
    <row r="102" spans="2:40" s="235" customFormat="1" ht="14.25" customHeight="1">
      <c r="B102" s="264"/>
      <c r="C102" s="316"/>
      <c r="D102" s="265"/>
      <c r="E102" s="266"/>
      <c r="F102" s="267">
        <f>G101</f>
        <v>0</v>
      </c>
      <c r="G102" s="268"/>
      <c r="H102" s="266"/>
      <c r="I102" s="267">
        <f>J101</f>
        <v>0</v>
      </c>
      <c r="J102" s="268"/>
      <c r="K102" s="266"/>
      <c r="L102" s="267">
        <f>M101</f>
        <v>15</v>
      </c>
      <c r="M102" s="268"/>
      <c r="N102" s="266"/>
      <c r="O102" s="267">
        <f>P101</f>
        <v>0</v>
      </c>
      <c r="P102" s="268"/>
      <c r="Q102" s="266"/>
      <c r="R102" s="267">
        <f>S101</f>
        <v>0</v>
      </c>
      <c r="S102" s="268"/>
      <c r="T102" s="266"/>
      <c r="U102" s="267">
        <f>V101</f>
        <v>0</v>
      </c>
      <c r="V102" s="268"/>
      <c r="W102" s="266"/>
      <c r="X102" s="267">
        <f>Y101</f>
        <v>0</v>
      </c>
      <c r="Y102" s="268"/>
      <c r="Z102" s="266"/>
      <c r="AA102" s="267">
        <f>AB101</f>
        <v>0</v>
      </c>
      <c r="AB102" s="268"/>
      <c r="AC102" s="266"/>
      <c r="AD102" s="267">
        <f>AE101</f>
        <v>0</v>
      </c>
      <c r="AE102" s="268"/>
      <c r="AF102" s="266"/>
      <c r="AG102" s="267">
        <f>AH101</f>
        <v>0</v>
      </c>
      <c r="AH102" s="268"/>
      <c r="AI102" s="266"/>
      <c r="AJ102" s="267">
        <f>AK101</f>
        <v>0</v>
      </c>
      <c r="AK102" s="268"/>
      <c r="AL102" s="266"/>
      <c r="AM102" s="267">
        <f>AN101</f>
        <v>0</v>
      </c>
      <c r="AN102" s="269"/>
    </row>
    <row r="103" spans="2:40" s="25" customFormat="1" ht="14.25" customHeight="1">
      <c r="B103" s="227"/>
      <c r="C103" s="322" t="s">
        <v>105</v>
      </c>
      <c r="D103" s="270">
        <f>SUM(D13:D100)</f>
        <v>2408209000</v>
      </c>
      <c r="E103" s="291"/>
      <c r="F103" s="292">
        <f>(F13+F16+F19+F22+F28+F31+F34+F37+F40+F43+F49+F52+F61+F64+F67+F70+F94+F97+F100)/19</f>
        <v>10.087719147719406</v>
      </c>
      <c r="G103" s="293"/>
      <c r="H103" s="291"/>
      <c r="I103" s="292">
        <f>(I13+I16+I19+I22+I28+I31+I34+I37+I40+I43+I49+I52+I61+I64+I67+I70+I94+I97+I100)/19</f>
        <v>14.912280400701967</v>
      </c>
      <c r="J103" s="293"/>
      <c r="K103" s="291"/>
      <c r="L103" s="292">
        <f>(L13+L16+L19+L22+L28+L31+L34+L37+L40+L43+L49+L52+L61+L64+L67+L70+L94+L97+L100)/19</f>
        <v>38.368420601052954</v>
      </c>
      <c r="M103" s="293"/>
      <c r="N103" s="273"/>
      <c r="O103" s="274">
        <f>(O13+O16+O19+O22+O28+O31+O34+O37+O40+O43+O49+O52+O61+O64+O67+O70+O94+O97+O100)/19</f>
        <v>45.82456080140394</v>
      </c>
      <c r="P103" s="275"/>
      <c r="Q103" s="273"/>
      <c r="R103" s="274">
        <f>(R13+R16+R19+R22+R28+R31+R34+R37+R40+R43+R49+R52+R61+R64+R67+R70+R94+R97+R100)/19</f>
        <v>51.239779949123346</v>
      </c>
      <c r="S103" s="275"/>
      <c r="T103" s="273"/>
      <c r="U103" s="274">
        <f>(U13+U16+U19+U22+U28+U31+U34+U37+U40+U43+U49+U52+U61+U64+U67+U70+U94+U97+U100)/19</f>
        <v>56.064341202105915</v>
      </c>
      <c r="V103" s="275"/>
      <c r="W103" s="273"/>
      <c r="X103" s="274">
        <f>(X13+X16+X19+X22+X28+X31+X34+X37+X40+X43+X49+X52+X61+X64+X67+X70+X94+X97+X100)/19</f>
        <v>60.88890245508847</v>
      </c>
      <c r="Y103" s="275"/>
      <c r="Z103" s="273"/>
      <c r="AA103" s="274">
        <f>(AA13+AA16+AA19+AA22+AA28+AA31+AA34+AA37+AA40+AA43+AA49+AA52+AA61+AA64+AA67+AA70+AA94+AA97+AA100)/19</f>
        <v>65.71346370807105</v>
      </c>
      <c r="AB103" s="275"/>
      <c r="AC103" s="273"/>
      <c r="AD103" s="274">
        <f>(AD13+AD16+AD19+AD22+AD28+AD31+AD34+AD37+AD40+AD43+AD49+AD52+AD61+AD64+AD67+AD70+AD94+AD97+AD100)/19</f>
        <v>77.84210390842202</v>
      </c>
      <c r="AE103" s="275"/>
      <c r="AF103" s="273"/>
      <c r="AG103" s="274">
        <f>(AG13+AG16+AG19+AG22+AG28+AG31+AG34+AG37+AG40+AG43+AG49+AG52+AG61+AG64+AG67+AG70+AG94+AG97+AG100)/19</f>
        <v>82.6666651614046</v>
      </c>
      <c r="AH103" s="275"/>
      <c r="AI103" s="273"/>
      <c r="AJ103" s="274">
        <f>(AJ13+AJ16+AJ19+AJ22+AJ28+AJ31+AJ34+AJ37+AJ40+AJ43+AJ49+AJ52+AJ61+AJ64+AJ67+AJ70+AJ94+AJ97+AJ100)/19</f>
        <v>87.49122641438714</v>
      </c>
      <c r="AK103" s="275"/>
      <c r="AL103" s="273"/>
      <c r="AM103" s="274">
        <f>(AM13+AM16+AM19+AM22+AM28+AM31+AM34+AM37+AM40+AM43+AM49+AM52+AM61+AM64+AM67+AM70+AM94+AM97+AM100)/19</f>
        <v>99.99999819368551</v>
      </c>
      <c r="AN103" s="276"/>
    </row>
    <row r="104" spans="2:40" s="25" customFormat="1" ht="14.25" customHeight="1">
      <c r="B104" s="236"/>
      <c r="C104" s="323"/>
      <c r="D104" s="271"/>
      <c r="E104" s="294">
        <v>2.99</v>
      </c>
      <c r="F104" s="295"/>
      <c r="G104" s="296">
        <f>E104</f>
        <v>2.99</v>
      </c>
      <c r="H104" s="297">
        <v>10.32</v>
      </c>
      <c r="I104" s="295"/>
      <c r="J104" s="296">
        <f>H104</f>
        <v>10.32</v>
      </c>
      <c r="K104" s="294">
        <v>17</v>
      </c>
      <c r="L104" s="295"/>
      <c r="M104" s="296">
        <f>K104</f>
        <v>17</v>
      </c>
      <c r="N104" s="284" t="s">
        <v>156</v>
      </c>
      <c r="O104" s="277"/>
      <c r="P104" s="278" t="str">
        <f>N104</f>
        <v>0</v>
      </c>
      <c r="Q104" s="284" t="s">
        <v>156</v>
      </c>
      <c r="R104" s="277"/>
      <c r="S104" s="278" t="str">
        <f>Q104</f>
        <v>0</v>
      </c>
      <c r="T104" s="284" t="s">
        <v>156</v>
      </c>
      <c r="U104" s="277"/>
      <c r="V104" s="278" t="str">
        <f>T104</f>
        <v>0</v>
      </c>
      <c r="W104" s="284" t="s">
        <v>156</v>
      </c>
      <c r="X104" s="277"/>
      <c r="Y104" s="278" t="str">
        <f>W104</f>
        <v>0</v>
      </c>
      <c r="Z104" s="284" t="s">
        <v>156</v>
      </c>
      <c r="AA104" s="277"/>
      <c r="AB104" s="278" t="str">
        <f>Z104</f>
        <v>0</v>
      </c>
      <c r="AC104" s="284" t="s">
        <v>156</v>
      </c>
      <c r="AD104" s="277"/>
      <c r="AE104" s="278" t="str">
        <f>AC104</f>
        <v>0</v>
      </c>
      <c r="AF104" s="284" t="s">
        <v>156</v>
      </c>
      <c r="AG104" s="277"/>
      <c r="AH104" s="278" t="str">
        <f>AF104</f>
        <v>0</v>
      </c>
      <c r="AI104" s="284" t="s">
        <v>156</v>
      </c>
      <c r="AJ104" s="277"/>
      <c r="AK104" s="278" t="str">
        <f>AI104</f>
        <v>0</v>
      </c>
      <c r="AL104" s="284" t="s">
        <v>156</v>
      </c>
      <c r="AM104" s="277"/>
      <c r="AN104" s="279" t="str">
        <f>AL104</f>
        <v>0</v>
      </c>
    </row>
    <row r="105" spans="2:40" ht="14.25" customHeight="1">
      <c r="B105" s="242"/>
      <c r="C105" s="324"/>
      <c r="D105" s="272"/>
      <c r="E105" s="298"/>
      <c r="F105" s="299">
        <f>G104</f>
        <v>2.99</v>
      </c>
      <c r="G105" s="300"/>
      <c r="H105" s="298"/>
      <c r="I105" s="299">
        <f>J104</f>
        <v>10.32</v>
      </c>
      <c r="J105" s="300"/>
      <c r="K105" s="298"/>
      <c r="L105" s="299">
        <f>M104</f>
        <v>17</v>
      </c>
      <c r="M105" s="300"/>
      <c r="N105" s="280"/>
      <c r="O105" s="281" t="str">
        <f>P104</f>
        <v>0</v>
      </c>
      <c r="P105" s="282"/>
      <c r="Q105" s="280"/>
      <c r="R105" s="281" t="str">
        <f>S104</f>
        <v>0</v>
      </c>
      <c r="S105" s="282"/>
      <c r="T105" s="280"/>
      <c r="U105" s="281" t="str">
        <f>V104</f>
        <v>0</v>
      </c>
      <c r="V105" s="282"/>
      <c r="W105" s="280"/>
      <c r="X105" s="281" t="str">
        <f>Y104</f>
        <v>0</v>
      </c>
      <c r="Y105" s="282"/>
      <c r="Z105" s="280"/>
      <c r="AA105" s="281" t="str">
        <f>AB104</f>
        <v>0</v>
      </c>
      <c r="AB105" s="282"/>
      <c r="AC105" s="280"/>
      <c r="AD105" s="281" t="str">
        <f>AE104</f>
        <v>0</v>
      </c>
      <c r="AE105" s="282"/>
      <c r="AF105" s="280"/>
      <c r="AG105" s="281" t="str">
        <f>AH104</f>
        <v>0</v>
      </c>
      <c r="AH105" s="282"/>
      <c r="AI105" s="280"/>
      <c r="AJ105" s="281" t="str">
        <f>AK104</f>
        <v>0</v>
      </c>
      <c r="AK105" s="282"/>
      <c r="AL105" s="280"/>
      <c r="AM105" s="281" t="str">
        <f>AN104</f>
        <v>0</v>
      </c>
      <c r="AN105" s="283"/>
    </row>
    <row r="106" spans="2:40" ht="14.25" customHeight="1">
      <c r="B106" s="163"/>
      <c r="C106" s="164"/>
      <c r="D106" s="165"/>
      <c r="E106" s="37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162"/>
      <c r="AM106" s="162"/>
      <c r="AN106" s="162"/>
    </row>
    <row r="107" spans="2:40" ht="14.25" customHeight="1">
      <c r="B107" s="163"/>
      <c r="C107" s="167" t="s">
        <v>79</v>
      </c>
      <c r="D107" s="165"/>
      <c r="E107" s="5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162"/>
      <c r="AM107" s="162"/>
      <c r="AN107" s="162"/>
    </row>
    <row r="108" spans="2:36" ht="14.25">
      <c r="B108" s="125"/>
      <c r="C108" s="126" t="s">
        <v>80</v>
      </c>
      <c r="D108" s="126"/>
      <c r="E108" s="166"/>
      <c r="F108" s="128" t="s">
        <v>89</v>
      </c>
      <c r="G108" s="129"/>
      <c r="H108" s="169"/>
      <c r="AD108" s="180"/>
      <c r="AE108" s="180"/>
      <c r="AF108" s="180"/>
      <c r="AG108" s="180" t="str">
        <f>MARET!J79</f>
        <v>Kebakkramat, 4 April 2022</v>
      </c>
      <c r="AH108" s="180"/>
      <c r="AI108" s="180"/>
      <c r="AJ108" s="180"/>
    </row>
    <row r="109" spans="2:36" ht="14.25">
      <c r="B109" s="125"/>
      <c r="C109" s="126" t="s">
        <v>81</v>
      </c>
      <c r="D109" s="126"/>
      <c r="E109" s="130" t="s">
        <v>91</v>
      </c>
      <c r="F109" s="131"/>
      <c r="G109" s="132" t="s">
        <v>90</v>
      </c>
      <c r="H109" s="170"/>
      <c r="AD109" s="180"/>
      <c r="AE109" s="180"/>
      <c r="AF109" s="180"/>
      <c r="AG109" s="180" t="str">
        <f>MARET!J80</f>
        <v>CAMAT KEBAKKRAMAT</v>
      </c>
      <c r="AH109" s="180"/>
      <c r="AI109" s="180"/>
      <c r="AJ109" s="180"/>
    </row>
    <row r="110" spans="2:36" ht="15">
      <c r="B110" s="125"/>
      <c r="C110" s="126" t="s">
        <v>82</v>
      </c>
      <c r="D110" s="126"/>
      <c r="E110" s="134"/>
      <c r="F110" s="135" t="s">
        <v>92</v>
      </c>
      <c r="G110" s="136"/>
      <c r="H110" s="170"/>
      <c r="AD110" s="180"/>
      <c r="AE110" s="180"/>
      <c r="AF110" s="180"/>
      <c r="AG110" s="180"/>
      <c r="AH110" s="180"/>
      <c r="AI110" s="180"/>
      <c r="AJ110" s="180"/>
    </row>
    <row r="111" spans="2:36" ht="14.25">
      <c r="B111" s="125"/>
      <c r="C111" s="126" t="s">
        <v>83</v>
      </c>
      <c r="D111" s="126"/>
      <c r="E111" s="137"/>
      <c r="F111" s="137"/>
      <c r="G111" s="137"/>
      <c r="H111" s="133"/>
      <c r="AD111" s="180"/>
      <c r="AE111" s="180"/>
      <c r="AF111" s="180"/>
      <c r="AG111" s="180"/>
      <c r="AH111" s="180"/>
      <c r="AI111" s="180"/>
      <c r="AJ111" s="180"/>
    </row>
    <row r="112" spans="2:36" ht="14.25">
      <c r="B112" s="125"/>
      <c r="C112" s="127"/>
      <c r="D112" s="127"/>
      <c r="E112" s="138"/>
      <c r="F112" s="127"/>
      <c r="G112" s="127"/>
      <c r="H112" s="127"/>
      <c r="AD112" s="180"/>
      <c r="AE112" s="180"/>
      <c r="AF112" s="180"/>
      <c r="AG112" s="180"/>
      <c r="AH112" s="180"/>
      <c r="AI112" s="180"/>
      <c r="AJ112" s="180"/>
    </row>
    <row r="113" spans="30:36" ht="12.75">
      <c r="AD113" s="180"/>
      <c r="AE113" s="180"/>
      <c r="AF113" s="180"/>
      <c r="AG113" s="5" t="str">
        <f>MARET!J84</f>
        <v>Joko Sutrisno, S.H., M.M.</v>
      </c>
      <c r="AH113" s="180"/>
      <c r="AI113" s="180"/>
      <c r="AJ113" s="180"/>
    </row>
    <row r="114" spans="3:36" ht="12.75">
      <c r="C114" s="301"/>
      <c r="D114" s="301"/>
      <c r="AD114" s="180"/>
      <c r="AE114" s="180"/>
      <c r="AF114" s="180"/>
      <c r="AG114" s="180" t="str">
        <f>MARET!J85</f>
        <v>Pembina </v>
      </c>
      <c r="AH114" s="180"/>
      <c r="AI114" s="180"/>
      <c r="AJ114" s="180"/>
    </row>
    <row r="115" spans="3:36" ht="12.75">
      <c r="C115" s="303"/>
      <c r="D115" s="303"/>
      <c r="AD115" s="180"/>
      <c r="AE115" s="180"/>
      <c r="AF115" s="180"/>
      <c r="AG115" s="180" t="str">
        <f>MARET!J86</f>
        <v>NIP. 19680305 199003 1 010</v>
      </c>
      <c r="AH115" s="180"/>
      <c r="AI115" s="180"/>
      <c r="AJ115" s="180"/>
    </row>
    <row r="116" spans="3:36" ht="12.75">
      <c r="C116" s="303"/>
      <c r="D116" s="303"/>
      <c r="AD116" s="180"/>
      <c r="AE116" s="180"/>
      <c r="AF116" s="180"/>
      <c r="AG116" s="180"/>
      <c r="AH116" s="180"/>
      <c r="AI116" s="180"/>
      <c r="AJ116" s="180"/>
    </row>
  </sheetData>
  <sheetProtection/>
  <mergeCells count="63">
    <mergeCell ref="C43:C45"/>
    <mergeCell ref="C49:C51"/>
    <mergeCell ref="H12:J12"/>
    <mergeCell ref="K12:M12"/>
    <mergeCell ref="W12:Y12"/>
    <mergeCell ref="C46:C48"/>
    <mergeCell ref="C34:C36"/>
    <mergeCell ref="C40:C42"/>
    <mergeCell ref="C16:C18"/>
    <mergeCell ref="C37:C39"/>
    <mergeCell ref="B1:AN1"/>
    <mergeCell ref="B2:AN2"/>
    <mergeCell ref="AC12:AE12"/>
    <mergeCell ref="W10:Y11"/>
    <mergeCell ref="AC10:AE11"/>
    <mergeCell ref="C25:C27"/>
    <mergeCell ref="AI12:AK12"/>
    <mergeCell ref="AL12:AN12"/>
    <mergeCell ref="T12:V12"/>
    <mergeCell ref="Z12:AB12"/>
    <mergeCell ref="N6:P6"/>
    <mergeCell ref="C116:D116"/>
    <mergeCell ref="N12:P12"/>
    <mergeCell ref="Q12:S12"/>
    <mergeCell ref="C115:D115"/>
    <mergeCell ref="C85:C87"/>
    <mergeCell ref="E9:AN9"/>
    <mergeCell ref="E10:G11"/>
    <mergeCell ref="H10:J11"/>
    <mergeCell ref="C31:C33"/>
    <mergeCell ref="AI10:AK11"/>
    <mergeCell ref="T10:V11"/>
    <mergeCell ref="Q10:S11"/>
    <mergeCell ref="AL10:AN11"/>
    <mergeCell ref="AF10:AH11"/>
    <mergeCell ref="E12:G12"/>
    <mergeCell ref="AF12:AH12"/>
    <mergeCell ref="Z10:AB11"/>
    <mergeCell ref="N10:P11"/>
    <mergeCell ref="C19:C21"/>
    <mergeCell ref="C10:C11"/>
    <mergeCell ref="C13:C15"/>
    <mergeCell ref="C22:C24"/>
    <mergeCell ref="C28:C30"/>
    <mergeCell ref="K10:M11"/>
    <mergeCell ref="C58:C60"/>
    <mergeCell ref="C70:C72"/>
    <mergeCell ref="C88:C90"/>
    <mergeCell ref="C79:C81"/>
    <mergeCell ref="C52:C54"/>
    <mergeCell ref="C82:C84"/>
    <mergeCell ref="C67:C69"/>
    <mergeCell ref="C55:C57"/>
    <mergeCell ref="C61:C63"/>
    <mergeCell ref="C94:C96"/>
    <mergeCell ref="C97:C99"/>
    <mergeCell ref="C100:C102"/>
    <mergeCell ref="C114:D114"/>
    <mergeCell ref="C64:C66"/>
    <mergeCell ref="C91:C93"/>
    <mergeCell ref="C103:C105"/>
    <mergeCell ref="C73:C75"/>
    <mergeCell ref="C76:C78"/>
  </mergeCells>
  <printOptions horizontalCentered="1"/>
  <pageMargins left="0.7" right="0.7" top="0.75" bottom="0.75" header="0.3" footer="0.3"/>
  <pageSetup horizontalDpi="600" verticalDpi="600" orientation="landscape" paperSize="5" scale="50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27"/>
  <sheetViews>
    <sheetView zoomScale="85" zoomScaleNormal="85" zoomScalePageLayoutView="0" workbookViewId="0" topLeftCell="A1">
      <selection activeCell="A1" sqref="A1:I27"/>
    </sheetView>
  </sheetViews>
  <sheetFormatPr defaultColWidth="9.140625" defaultRowHeight="15"/>
  <cols>
    <col min="1" max="1" width="6.57421875" style="57" customWidth="1"/>
    <col min="2" max="2" width="21.57421875" style="57" customWidth="1"/>
    <col min="3" max="3" width="27.57421875" style="57" customWidth="1"/>
    <col min="4" max="4" width="2.7109375" style="57" customWidth="1"/>
    <col min="5" max="5" width="26.8515625" style="57" customWidth="1"/>
    <col min="6" max="7" width="9.140625" style="57" customWidth="1"/>
    <col min="8" max="8" width="30.00390625" style="57" customWidth="1"/>
    <col min="9" max="9" width="17.421875" style="57" customWidth="1"/>
    <col min="10" max="16384" width="9.140625" style="57" customWidth="1"/>
  </cols>
  <sheetData>
    <row r="1" spans="1:9" ht="14.25">
      <c r="A1" s="360" t="s">
        <v>53</v>
      </c>
      <c r="B1" s="360"/>
      <c r="C1" s="360"/>
      <c r="D1" s="360"/>
      <c r="E1" s="360"/>
      <c r="F1" s="360"/>
      <c r="G1" s="360"/>
      <c r="H1" s="360"/>
      <c r="I1" s="360"/>
    </row>
    <row r="2" spans="1:9" ht="14.25">
      <c r="A2" s="360" t="s">
        <v>33</v>
      </c>
      <c r="B2" s="360"/>
      <c r="C2" s="360"/>
      <c r="D2" s="360"/>
      <c r="E2" s="360"/>
      <c r="F2" s="360"/>
      <c r="G2" s="360"/>
      <c r="H2" s="360"/>
      <c r="I2" s="360"/>
    </row>
    <row r="3" spans="1:9" ht="14.25">
      <c r="A3" s="32"/>
      <c r="B3" s="32"/>
      <c r="C3" s="32"/>
      <c r="D3" s="32"/>
      <c r="E3" s="32"/>
      <c r="F3" s="32"/>
      <c r="G3" s="32"/>
      <c r="H3" s="32"/>
      <c r="I3" s="32"/>
    </row>
    <row r="4" spans="3:5" s="33" customFormat="1" ht="15" customHeight="1">
      <c r="C4" s="33" t="s">
        <v>106</v>
      </c>
      <c r="D4" s="33" t="s">
        <v>75</v>
      </c>
      <c r="E4" s="33" t="str">
        <f>MARET!G4</f>
        <v>KECAMATAN KEBAKKRAMAT</v>
      </c>
    </row>
    <row r="5" spans="1:9" ht="14.25">
      <c r="A5" s="33"/>
      <c r="B5" s="33"/>
      <c r="C5" s="58" t="s">
        <v>48</v>
      </c>
      <c r="D5" s="58" t="s">
        <v>75</v>
      </c>
      <c r="E5" s="33" t="str">
        <f>MARET!G5</f>
        <v>APBD</v>
      </c>
      <c r="G5" s="33"/>
      <c r="H5" s="33"/>
      <c r="I5" s="33"/>
    </row>
    <row r="6" spans="1:9" ht="14.25">
      <c r="A6" s="33"/>
      <c r="B6" s="33"/>
      <c r="C6" s="33" t="s">
        <v>49</v>
      </c>
      <c r="D6" s="33" t="s">
        <v>75</v>
      </c>
      <c r="E6" s="59" t="str">
        <f>MARET!G6</f>
        <v>2022</v>
      </c>
      <c r="G6" s="33"/>
      <c r="H6" s="33"/>
      <c r="I6" s="33"/>
    </row>
    <row r="7" spans="1:9" ht="14.25">
      <c r="A7" s="33"/>
      <c r="B7" s="33"/>
      <c r="C7" s="33" t="s">
        <v>50</v>
      </c>
      <c r="D7" s="33" t="s">
        <v>75</v>
      </c>
      <c r="E7" s="33" t="str">
        <f>MARET!G7</f>
        <v>MARET</v>
      </c>
      <c r="G7" s="33"/>
      <c r="H7" s="33"/>
      <c r="I7" s="33"/>
    </row>
    <row r="8" ht="15">
      <c r="I8" s="60" t="s">
        <v>51</v>
      </c>
    </row>
    <row r="9" spans="1:9" ht="15">
      <c r="A9" s="61"/>
      <c r="B9" s="61"/>
      <c r="C9" s="61" t="s">
        <v>35</v>
      </c>
      <c r="D9" s="363" t="s">
        <v>38</v>
      </c>
      <c r="E9" s="364"/>
      <c r="F9" s="361" t="s">
        <v>47</v>
      </c>
      <c r="G9" s="361"/>
      <c r="H9" s="361"/>
      <c r="I9" s="61"/>
    </row>
    <row r="10" spans="1:9" ht="15">
      <c r="A10" s="63" t="s">
        <v>1</v>
      </c>
      <c r="B10" s="63" t="s">
        <v>34</v>
      </c>
      <c r="C10" s="63" t="s">
        <v>37</v>
      </c>
      <c r="D10" s="352" t="s">
        <v>39</v>
      </c>
      <c r="E10" s="353"/>
      <c r="F10" s="61"/>
      <c r="G10" s="61"/>
      <c r="H10" s="61" t="s">
        <v>43</v>
      </c>
      <c r="I10" s="362" t="s">
        <v>46</v>
      </c>
    </row>
    <row r="11" spans="1:9" ht="15">
      <c r="A11" s="63"/>
      <c r="B11" s="63" t="s">
        <v>3</v>
      </c>
      <c r="C11" s="63" t="s">
        <v>36</v>
      </c>
      <c r="D11" s="352" t="s">
        <v>40</v>
      </c>
      <c r="E11" s="353"/>
      <c r="F11" s="63" t="s">
        <v>41</v>
      </c>
      <c r="G11" s="63" t="s">
        <v>42</v>
      </c>
      <c r="H11" s="63" t="s">
        <v>44</v>
      </c>
      <c r="I11" s="362"/>
    </row>
    <row r="12" spans="1:9" ht="15">
      <c r="A12" s="65"/>
      <c r="B12" s="65"/>
      <c r="C12" s="65"/>
      <c r="D12" s="358"/>
      <c r="E12" s="359"/>
      <c r="F12" s="65"/>
      <c r="G12" s="65"/>
      <c r="H12" s="65" t="s">
        <v>45</v>
      </c>
      <c r="I12" s="65"/>
    </row>
    <row r="13" spans="1:9" ht="15">
      <c r="A13" s="62">
        <v>1</v>
      </c>
      <c r="B13" s="62">
        <v>2</v>
      </c>
      <c r="C13" s="62">
        <v>3</v>
      </c>
      <c r="D13" s="350">
        <v>4</v>
      </c>
      <c r="E13" s="351"/>
      <c r="F13" s="62">
        <v>5</v>
      </c>
      <c r="G13" s="62">
        <v>6</v>
      </c>
      <c r="H13" s="62">
        <v>7</v>
      </c>
      <c r="I13" s="62">
        <v>8</v>
      </c>
    </row>
    <row r="14" spans="1:9" ht="14.25">
      <c r="A14" s="67"/>
      <c r="B14" s="67"/>
      <c r="C14" s="67"/>
      <c r="D14" s="356"/>
      <c r="E14" s="357"/>
      <c r="F14" s="68"/>
      <c r="G14" s="68"/>
      <c r="H14" s="68"/>
      <c r="I14" s="68"/>
    </row>
    <row r="15" spans="1:9" ht="26.25">
      <c r="A15" s="63"/>
      <c r="B15" s="69"/>
      <c r="C15" s="69" t="s">
        <v>85</v>
      </c>
      <c r="D15" s="348" t="s">
        <v>86</v>
      </c>
      <c r="E15" s="349"/>
      <c r="F15" s="70" t="s">
        <v>87</v>
      </c>
      <c r="G15" s="70" t="s">
        <v>86</v>
      </c>
      <c r="H15" s="70" t="s">
        <v>88</v>
      </c>
      <c r="I15" s="71"/>
    </row>
    <row r="16" spans="1:9" ht="14.25">
      <c r="A16" s="72"/>
      <c r="B16" s="72"/>
      <c r="C16" s="72"/>
      <c r="D16" s="354"/>
      <c r="E16" s="355"/>
      <c r="F16" s="73"/>
      <c r="G16" s="73"/>
      <c r="H16" s="73"/>
      <c r="I16" s="73"/>
    </row>
    <row r="17" spans="1:9" ht="14.25">
      <c r="A17" s="74"/>
      <c r="B17" s="74"/>
      <c r="C17" s="74"/>
      <c r="D17" s="346"/>
      <c r="E17" s="347"/>
      <c r="F17" s="75"/>
      <c r="G17" s="75"/>
      <c r="H17" s="75"/>
      <c r="I17" s="75"/>
    </row>
    <row r="20" ht="14.25">
      <c r="H20" s="195" t="str">
        <f>MARET!J79</f>
        <v>Kebakkramat, 4 April 2022</v>
      </c>
    </row>
    <row r="21" ht="14.25">
      <c r="H21" s="195" t="str">
        <f>MARET!J80</f>
        <v>CAMAT KEBAKKRAMAT</v>
      </c>
    </row>
    <row r="22" ht="14.25">
      <c r="H22" s="196"/>
    </row>
    <row r="23" ht="14.25">
      <c r="H23" s="196"/>
    </row>
    <row r="24" ht="14.25">
      <c r="H24" s="196"/>
    </row>
    <row r="25" ht="15">
      <c r="H25" s="197" t="str">
        <f>MARET!J84</f>
        <v>Joko Sutrisno, S.H., M.M.</v>
      </c>
    </row>
    <row r="26" ht="14.25">
      <c r="H26" s="195" t="str">
        <f>MARET!J85</f>
        <v>Pembina </v>
      </c>
    </row>
    <row r="27" ht="14.25">
      <c r="H27" s="195" t="str">
        <f>MARET!J86</f>
        <v>NIP. 19680305 199003 1 010</v>
      </c>
    </row>
  </sheetData>
  <sheetProtection/>
  <mergeCells count="13">
    <mergeCell ref="A1:I1"/>
    <mergeCell ref="A2:I2"/>
    <mergeCell ref="F9:H9"/>
    <mergeCell ref="I10:I11"/>
    <mergeCell ref="D9:E9"/>
    <mergeCell ref="D10:E10"/>
    <mergeCell ref="D17:E17"/>
    <mergeCell ref="D15:E15"/>
    <mergeCell ref="D13:E13"/>
    <mergeCell ref="D11:E11"/>
    <mergeCell ref="D16:E16"/>
    <mergeCell ref="D14:E14"/>
    <mergeCell ref="D12:E12"/>
  </mergeCells>
  <printOptions horizontalCentered="1"/>
  <pageMargins left="0.44" right="0.48" top="0.45" bottom="0.44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7"/>
  <sheetViews>
    <sheetView view="pageBreakPreview" zoomScaleNormal="80" zoomScaleSheetLayoutView="100" zoomScalePageLayoutView="0" workbookViewId="0" topLeftCell="A250">
      <selection activeCell="F14" sqref="F14:G14"/>
    </sheetView>
  </sheetViews>
  <sheetFormatPr defaultColWidth="9.140625" defaultRowHeight="15"/>
  <cols>
    <col min="1" max="1" width="6.00390625" style="57" customWidth="1"/>
    <col min="2" max="2" width="28.7109375" style="57" customWidth="1"/>
    <col min="3" max="3" width="5.140625" style="57" customWidth="1"/>
    <col min="4" max="4" width="18.28125" style="57" customWidth="1"/>
    <col min="5" max="5" width="30.00390625" style="57" customWidth="1"/>
    <col min="6" max="6" width="2.28125" style="57" customWidth="1"/>
    <col min="7" max="7" width="14.421875" style="57" customWidth="1"/>
    <col min="8" max="8" width="13.57421875" style="57" customWidth="1"/>
    <col min="9" max="9" width="18.140625" style="57" customWidth="1"/>
    <col min="10" max="10" width="32.28125" style="57" customWidth="1"/>
    <col min="11" max="16384" width="9.140625" style="57" customWidth="1"/>
  </cols>
  <sheetData>
    <row r="1" spans="1:10" ht="18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5">
      <c r="A4" s="76"/>
      <c r="B4" s="76"/>
      <c r="C4" s="76"/>
      <c r="D4" s="76"/>
      <c r="E4" s="33" t="s">
        <v>106</v>
      </c>
      <c r="F4" s="33" t="s">
        <v>75</v>
      </c>
      <c r="G4" s="33" t="str">
        <f>MARET!G4</f>
        <v>KECAMATAN KEBAKKRAMAT</v>
      </c>
      <c r="H4" s="76"/>
      <c r="I4" s="76"/>
      <c r="J4" s="76"/>
    </row>
    <row r="5" spans="1:10" ht="15">
      <c r="A5" s="76"/>
      <c r="B5" s="76"/>
      <c r="C5" s="76"/>
      <c r="D5" s="76"/>
      <c r="E5" s="58" t="s">
        <v>48</v>
      </c>
      <c r="F5" s="58" t="s">
        <v>75</v>
      </c>
      <c r="G5" s="33" t="str">
        <f>MARET!G5</f>
        <v>APBD</v>
      </c>
      <c r="H5" s="76"/>
      <c r="I5" s="76"/>
      <c r="J5" s="76"/>
    </row>
    <row r="6" spans="1:10" ht="15">
      <c r="A6" s="76"/>
      <c r="B6" s="76"/>
      <c r="C6" s="76"/>
      <c r="D6" s="76"/>
      <c r="E6" s="33" t="s">
        <v>49</v>
      </c>
      <c r="F6" s="33" t="s">
        <v>75</v>
      </c>
      <c r="G6" s="77" t="str">
        <f>MARET!G6</f>
        <v>2022</v>
      </c>
      <c r="H6" s="76"/>
      <c r="I6" s="76"/>
      <c r="J6" s="76"/>
    </row>
    <row r="7" spans="1:10" ht="15">
      <c r="A7" s="76"/>
      <c r="B7" s="76"/>
      <c r="C7" s="76"/>
      <c r="D7" s="76"/>
      <c r="E7" s="33" t="s">
        <v>50</v>
      </c>
      <c r="F7" s="33" t="s">
        <v>75</v>
      </c>
      <c r="G7" s="33" t="str">
        <f>MARET!G7</f>
        <v>MARET</v>
      </c>
      <c r="H7" s="76"/>
      <c r="I7" s="76"/>
      <c r="J7" s="76"/>
    </row>
    <row r="8" ht="14.25">
      <c r="J8" s="78" t="s">
        <v>30</v>
      </c>
    </row>
    <row r="9" spans="1:10" ht="15">
      <c r="A9" s="61"/>
      <c r="B9" s="61" t="s">
        <v>2</v>
      </c>
      <c r="C9" s="363" t="s">
        <v>4</v>
      </c>
      <c r="D9" s="364"/>
      <c r="E9" s="61" t="s">
        <v>7</v>
      </c>
      <c r="F9" s="350" t="s">
        <v>9</v>
      </c>
      <c r="G9" s="380"/>
      <c r="H9" s="351"/>
      <c r="I9" s="61" t="s">
        <v>12</v>
      </c>
      <c r="J9" s="61" t="s">
        <v>14</v>
      </c>
    </row>
    <row r="10" spans="1:10" ht="15">
      <c r="A10" s="63" t="s">
        <v>1</v>
      </c>
      <c r="B10" s="362" t="s">
        <v>3</v>
      </c>
      <c r="C10" s="64"/>
      <c r="D10" s="79" t="s">
        <v>5</v>
      </c>
      <c r="E10" s="63" t="s">
        <v>8</v>
      </c>
      <c r="F10" s="381" t="s">
        <v>10</v>
      </c>
      <c r="G10" s="382"/>
      <c r="H10" s="362" t="s">
        <v>11</v>
      </c>
      <c r="I10" s="362" t="s">
        <v>13</v>
      </c>
      <c r="J10" s="63" t="s">
        <v>15</v>
      </c>
    </row>
    <row r="11" spans="1:10" ht="15">
      <c r="A11" s="65"/>
      <c r="B11" s="378"/>
      <c r="C11" s="66"/>
      <c r="D11" s="80" t="s">
        <v>6</v>
      </c>
      <c r="E11" s="65"/>
      <c r="F11" s="383"/>
      <c r="G11" s="384"/>
      <c r="H11" s="378"/>
      <c r="I11" s="378"/>
      <c r="J11" s="65" t="s">
        <v>16</v>
      </c>
    </row>
    <row r="12" spans="1:10" ht="15">
      <c r="A12" s="81">
        <v>1</v>
      </c>
      <c r="B12" s="81">
        <v>2</v>
      </c>
      <c r="C12" s="369">
        <v>3</v>
      </c>
      <c r="D12" s="370"/>
      <c r="E12" s="81">
        <v>4</v>
      </c>
      <c r="F12" s="371">
        <v>5</v>
      </c>
      <c r="G12" s="371"/>
      <c r="H12" s="81">
        <v>6</v>
      </c>
      <c r="I12" s="81">
        <v>7</v>
      </c>
      <c r="J12" s="81">
        <v>8</v>
      </c>
    </row>
    <row r="13" spans="1:10" s="88" customFormat="1" ht="18.75" customHeight="1">
      <c r="A13" s="82"/>
      <c r="B13" s="83"/>
      <c r="C13" s="84"/>
      <c r="D13" s="85"/>
      <c r="E13" s="86"/>
      <c r="F13" s="374"/>
      <c r="G13" s="375"/>
      <c r="H13" s="87"/>
      <c r="I13" s="82"/>
      <c r="J13" s="82"/>
    </row>
    <row r="14" spans="1:10" s="88" customFormat="1" ht="55.5" customHeight="1">
      <c r="A14" s="89"/>
      <c r="B14" s="90" t="s">
        <v>85</v>
      </c>
      <c r="C14" s="91"/>
      <c r="D14" s="92" t="s">
        <v>86</v>
      </c>
      <c r="E14" s="93" t="s">
        <v>87</v>
      </c>
      <c r="F14" s="372" t="s">
        <v>86</v>
      </c>
      <c r="G14" s="373"/>
      <c r="H14" s="94" t="s">
        <v>88</v>
      </c>
      <c r="I14" s="95"/>
      <c r="J14" s="96"/>
    </row>
    <row r="15" spans="1:10" s="88" customFormat="1" ht="18.75" customHeight="1">
      <c r="A15" s="82"/>
      <c r="B15" s="86"/>
      <c r="C15" s="84"/>
      <c r="D15" s="97"/>
      <c r="E15" s="98"/>
      <c r="F15" s="376"/>
      <c r="G15" s="377"/>
      <c r="H15" s="98"/>
      <c r="I15" s="98"/>
      <c r="J15" s="98"/>
    </row>
    <row r="16" spans="1:10" s="88" customFormat="1" ht="18.75" customHeight="1">
      <c r="A16" s="99"/>
      <c r="B16" s="99"/>
      <c r="C16" s="100"/>
      <c r="D16" s="101"/>
      <c r="E16" s="102"/>
      <c r="F16" s="365"/>
      <c r="G16" s="366"/>
      <c r="H16" s="102"/>
      <c r="I16" s="102"/>
      <c r="J16" s="102"/>
    </row>
    <row r="17" spans="1:10" ht="14.25">
      <c r="A17" s="74"/>
      <c r="B17" s="74"/>
      <c r="C17" s="103"/>
      <c r="D17" s="104"/>
      <c r="E17" s="105"/>
      <c r="F17" s="367"/>
      <c r="G17" s="368"/>
      <c r="H17" s="105"/>
      <c r="I17" s="106"/>
      <c r="J17" s="107"/>
    </row>
    <row r="20" spans="8:10" ht="14.25">
      <c r="H20" s="196"/>
      <c r="I20" s="195" t="str">
        <f>MARET!J79</f>
        <v>Kebakkramat, 4 April 2022</v>
      </c>
      <c r="J20" s="196"/>
    </row>
    <row r="21" spans="8:10" ht="14.25">
      <c r="H21" s="196"/>
      <c r="I21" s="195" t="str">
        <f>MARET!J80</f>
        <v>CAMAT KEBAKKRAMAT</v>
      </c>
      <c r="J21" s="196"/>
    </row>
    <row r="22" spans="8:10" ht="14.25">
      <c r="H22" s="196"/>
      <c r="I22" s="196"/>
      <c r="J22" s="196"/>
    </row>
    <row r="23" spans="8:10" ht="14.25">
      <c r="H23" s="196"/>
      <c r="I23" s="196"/>
      <c r="J23" s="196"/>
    </row>
    <row r="24" spans="8:10" ht="14.25">
      <c r="H24" s="196"/>
      <c r="I24" s="196"/>
      <c r="J24" s="196"/>
    </row>
    <row r="25" spans="8:10" ht="15">
      <c r="H25" s="196"/>
      <c r="I25" s="197" t="str">
        <f>MARET!J84</f>
        <v>Joko Sutrisno, S.H., M.M.</v>
      </c>
      <c r="J25" s="196"/>
    </row>
    <row r="26" spans="8:10" ht="14.25">
      <c r="H26" s="196"/>
      <c r="I26" s="195" t="str">
        <f>MARET!J85</f>
        <v>Pembina </v>
      </c>
      <c r="J26" s="196"/>
    </row>
    <row r="27" spans="8:10" ht="14.25">
      <c r="H27" s="196"/>
      <c r="I27" s="195" t="str">
        <f>MARET!J86</f>
        <v>NIP. 19680305 199003 1 010</v>
      </c>
      <c r="J27" s="196"/>
    </row>
  </sheetData>
  <sheetProtection/>
  <mergeCells count="14">
    <mergeCell ref="C9:D9"/>
    <mergeCell ref="B10:B11"/>
    <mergeCell ref="A1:J1"/>
    <mergeCell ref="H10:H11"/>
    <mergeCell ref="I10:I11"/>
    <mergeCell ref="F9:H9"/>
    <mergeCell ref="F10:G11"/>
    <mergeCell ref="F16:G16"/>
    <mergeCell ref="F17:G17"/>
    <mergeCell ref="C12:D12"/>
    <mergeCell ref="F12:G12"/>
    <mergeCell ref="F14:G14"/>
    <mergeCell ref="F13:G13"/>
    <mergeCell ref="F15:G15"/>
  </mergeCells>
  <printOptions horizontalCentered="1"/>
  <pageMargins left="0.5" right="0.51" top="0.42" bottom="0.39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ismail - [2010]</cp:lastModifiedBy>
  <cp:lastPrinted>2022-04-20T02:14:18Z</cp:lastPrinted>
  <dcterms:created xsi:type="dcterms:W3CDTF">2010-04-07T02:39:12Z</dcterms:created>
  <dcterms:modified xsi:type="dcterms:W3CDTF">2022-05-17T06:09:58Z</dcterms:modified>
  <cp:category/>
  <cp:version/>
  <cp:contentType/>
  <cp:contentStatus/>
</cp:coreProperties>
</file>