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nov" sheetId="1" r:id="rId1"/>
    <sheet name="LABA2 nov" sheetId="2" r:id="rId2"/>
    <sheet name="Masalah-Hambatan" sheetId="3" r:id="rId3"/>
    <sheet name="Pekerjaan-Kegiatan" sheetId="4" r:id="rId4"/>
  </sheets>
  <definedNames>
    <definedName name="_xlnm.Print_Area" localSheetId="1">'LABA2 nov'!$A$1:$AM$122</definedName>
    <definedName name="_xlnm.Print_Area" localSheetId="2">'Masalah-Hambatan'!$A$1:$I$28</definedName>
    <definedName name="_xlnm.Print_Area" localSheetId="0">'nov'!$A$1:$M$88</definedName>
    <definedName name="_xlnm.Print_Area" localSheetId="3">'Pekerjaan-Kegiatan'!$A$1:$J$27</definedName>
    <definedName name="_xlnm.Print_Titles" localSheetId="1">'LABA2 nov'!$9:$12</definedName>
    <definedName name="_xlnm.Print_Titles" localSheetId="0">'nov'!$9:$12</definedName>
  </definedNames>
  <calcPr fullCalcOnLoad="1"/>
</workbook>
</file>

<file path=xl/comments1.xml><?xml version="1.0" encoding="utf-8"?>
<comments xmlns="http://schemas.openxmlformats.org/spreadsheetml/2006/main">
  <authors>
    <author>Windows 10</author>
  </authors>
  <commentList>
    <comment ref="K78" authorId="0">
      <text>
        <r>
          <rPr>
            <b/>
            <sz val="9"/>
            <rFont val="Tahoma"/>
            <family val="2"/>
          </rPr>
          <t>Windows 10: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<sst xmlns="http://schemas.openxmlformats.org/spreadsheetml/2006/main" count="214" uniqueCount="159">
  <si>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</si>
  <si>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</si>
  <si>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</si>
  <si>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</si>
  <si>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</si>
  <si>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</si>
  <si>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</si>
  <si>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</si>
  <si>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</si>
  <si>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</si>
  <si>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</si>
  <si>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</si>
  <si>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</si>
  <si>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</si>
  <si>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</si>
  <si>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</si>
  <si>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</si>
  <si>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</si>
  <si>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</si>
  <si>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</si>
  <si>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</si>
  <si>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</si>
  <si>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</si>
  <si>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</si>
  <si>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</si>
  <si>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</si>
  <si>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</si>
  <si>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</si>
  <si>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</si>
  <si>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</si>
  <si>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</si>
  <si>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</si>
  <si>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</si>
  <si>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</si>
  <si>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</si>
  <si>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</si>
  <si>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</si>
  <si>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</si>
  <si>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</si>
  <si>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</si>
  <si>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</si>
  <si>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</si>
  <si>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</si>
  <si>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</si>
  <si>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</si>
  <si>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</si>
  <si>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</si>
  <si>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</si>
  <si>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</si>
  <si>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</si>
  <si>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</si>
  <si>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</si>
  <si>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</si>
  <si>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</si>
  <si>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</si>
  <si>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</si>
  <si>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</si>
  <si>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</si>
  <si>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</si>
  <si>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</si>
  <si>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</si>
  <si>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</si>
  <si>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</si>
  <si>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</si>
  <si>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</si>
  <si>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</si>
  <si>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</si>
  <si>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</si>
  <si>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</si>
  <si>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</si>
  <si>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</si>
  <si>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</si>
  <si>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</si>
  <si>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</si>
  <si>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</si>
  <si>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</si>
  <si>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</si>
  <si>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</si>
  <si>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</si>
  <si>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</si>
  <si>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</si>
  <si>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</si>
  <si>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</si>
  <si>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</si>
  <si>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</si>
  <si>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</si>
  <si>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</si>
  <si>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</si>
  <si>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</si>
  <si>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</si>
  <si>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</si>
  <si>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</si>
  <si>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</si>
  <si>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</si>
  <si>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</si>
  <si>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</si>
  <si>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</si>
  <si>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</si>
  <si>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</si>
  <si>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</si>
  <si>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</si>
  <si>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</si>
  <si>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</si>
  <si>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</si>
  <si>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</si>
  <si>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</si>
  <si>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</si>
  <si>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</si>
  <si>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</si>
  <si>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</si>
  <si>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</si>
  <si>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</si>
  <si>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</si>
  <si>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</si>
  <si>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</si>
  <si>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</si>
  <si>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</si>
  <si>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</si>
  <si>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</si>
  <si>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</si>
  <si>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</si>
  <si>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</si>
  <si>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</si>
  <si>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</si>
  <si>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</si>
  <si>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</si>
  <si>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</si>
  <si>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</si>
  <si>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</si>
  <si>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</si>
  <si>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 xml:space="preserve">Penyerdiaan Jasa Komunikasi, Sumber Daya Air dan Listrik 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</si>
  <si>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</si>
  <si>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</si>
  <si>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</si>
  <si>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</si>
  <si>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</si>
  <si>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</si>
  <si>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</si>
  <si>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</si>
  <si>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</si>
  <si>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</si>
  <si>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</si>
  <si>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</si>
  <si>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</si>
  <si>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Sinergitas dengan Kepolisian Negara Republik Indonesia, Tentara Nasional Indonesia dan Instansi Vertikal di Wilayah Kecamatan</t>
  </si>
  <si>
    <t>04.2.03.01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</si>
  <si>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</si>
  <si>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05.2.01.01</t>
  </si>
  <si>
    <t>Fasilitasi Administrasi Tata Pemerintahan Desa</t>
  </si>
  <si>
    <t>06.2.01.02</t>
  </si>
  <si>
    <t>2022</t>
  </si>
  <si>
    <t>Pemeliharaan/Rehabilitasi Sarana dan Prasarana Gedung Kantor atau Bangunan Lainnya</t>
  </si>
  <si>
    <t>01.2.09.10</t>
  </si>
  <si>
    <t>Joko Sutrisno, S.H., M.M.</t>
  </si>
  <si>
    <t>NIP. 19680305 199003 1 010</t>
  </si>
  <si>
    <t>REALISASI PENGGUNAAN DANA PEKERJAAN / KEGIATAN TAHUN ANGGARAN 2022</t>
  </si>
  <si>
    <t>Pembina Tk I</t>
  </si>
  <si>
    <t>NOVEMBER</t>
  </si>
  <si>
    <t>Kebakkramat, 1 Desember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</si>
</sst>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[$-409]dddd\,\ mmmm\ d\,\ yyyy"/>
    <numFmt numFmtId="194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 diagonalUp="1" diagonalDown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7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7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7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5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2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27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6" fillId="32" borderId="16" xfId="0" applyNumberFormat="1" applyFont="1" applyFill="1" applyBorder="1" applyAlignment="1">
      <alignment horizontal="center"/>
    </xf>
    <xf numFmtId="3" fontId="6" fillId="32" borderId="16" xfId="0" applyNumberFormat="1" applyFont="1" applyFill="1" applyBorder="1" applyAlignment="1">
      <alignment vertical="top" wrapText="1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16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2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29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6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3" fontId="7" fillId="0" borderId="16" xfId="57" applyNumberFormat="1" applyFont="1" applyFill="1" applyBorder="1" applyAlignment="1">
      <alignment horizontal="right" vertical="justify"/>
      <protection/>
    </xf>
    <xf numFmtId="3" fontId="5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justify"/>
    </xf>
    <xf numFmtId="3" fontId="8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right" vertical="justify"/>
    </xf>
    <xf numFmtId="3" fontId="6" fillId="0" borderId="10" xfId="0" applyNumberFormat="1" applyFont="1" applyFill="1" applyBorder="1" applyAlignment="1">
      <alignment horizontal="justify" vertical="center" wrapText="1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 horizontal="right" vertical="justify"/>
    </xf>
    <xf numFmtId="41" fontId="7" fillId="0" borderId="12" xfId="0" applyNumberFormat="1" applyFont="1" applyFill="1" applyBorder="1" applyAlignment="1">
      <alignment horizontal="right" vertical="justify"/>
    </xf>
    <xf numFmtId="41" fontId="7" fillId="0" borderId="13" xfId="0" applyNumberFormat="1" applyFont="1" applyFill="1" applyBorder="1" applyAlignment="1">
      <alignment horizontal="right" vertical="justify"/>
    </xf>
    <xf numFmtId="41" fontId="7" fillId="0" borderId="14" xfId="0" applyNumberFormat="1" applyFont="1" applyFill="1" applyBorder="1" applyAlignment="1">
      <alignment horizontal="right" vertical="justify"/>
    </xf>
    <xf numFmtId="41" fontId="5" fillId="0" borderId="19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left" vertical="center"/>
    </xf>
    <xf numFmtId="41" fontId="6" fillId="32" borderId="10" xfId="0" applyNumberFormat="1" applyFont="1" applyFill="1" applyBorder="1" applyAlignment="1">
      <alignment horizontal="center"/>
    </xf>
    <xf numFmtId="41" fontId="5" fillId="32" borderId="10" xfId="0" applyNumberFormat="1" applyFont="1" applyFill="1" applyBorder="1" applyAlignment="1">
      <alignment/>
    </xf>
    <xf numFmtId="41" fontId="6" fillId="32" borderId="0" xfId="0" applyNumberFormat="1" applyFont="1" applyFill="1" applyAlignment="1">
      <alignment vertical="center"/>
    </xf>
    <xf numFmtId="41" fontId="6" fillId="32" borderId="12" xfId="0" applyNumberFormat="1" applyFont="1" applyFill="1" applyBorder="1" applyAlignment="1">
      <alignment horizontal="center"/>
    </xf>
    <xf numFmtId="41" fontId="5" fillId="32" borderId="12" xfId="0" applyNumberFormat="1" applyFont="1" applyFill="1" applyBorder="1" applyAlignment="1">
      <alignment/>
    </xf>
    <xf numFmtId="41" fontId="23" fillId="32" borderId="18" xfId="0" applyNumberFormat="1" applyFont="1" applyFill="1" applyBorder="1" applyAlignment="1">
      <alignment horizontal="center" vertical="center"/>
    </xf>
    <xf numFmtId="41" fontId="23" fillId="32" borderId="30" xfId="0" applyNumberFormat="1" applyFont="1" applyFill="1" applyBorder="1" applyAlignment="1">
      <alignment horizontal="center" vertical="center"/>
    </xf>
    <xf numFmtId="41" fontId="23" fillId="32" borderId="0" xfId="0" applyNumberFormat="1" applyFont="1" applyFill="1" applyBorder="1" applyAlignment="1">
      <alignment horizontal="center" vertical="center"/>
    </xf>
    <xf numFmtId="41" fontId="23" fillId="32" borderId="20" xfId="0" applyNumberFormat="1" applyFont="1" applyFill="1" applyBorder="1" applyAlignment="1">
      <alignment horizontal="center" vertical="center"/>
    </xf>
    <xf numFmtId="41" fontId="6" fillId="32" borderId="16" xfId="0" applyNumberFormat="1" applyFont="1" applyFill="1" applyBorder="1" applyAlignment="1">
      <alignment horizontal="center"/>
    </xf>
    <xf numFmtId="41" fontId="5" fillId="32" borderId="16" xfId="0" applyNumberFormat="1" applyFont="1" applyFill="1" applyBorder="1" applyAlignment="1">
      <alignment/>
    </xf>
    <xf numFmtId="41" fontId="23" fillId="32" borderId="31" xfId="0" applyNumberFormat="1" applyFont="1" applyFill="1" applyBorder="1" applyAlignment="1">
      <alignment horizontal="center" vertical="center"/>
    </xf>
    <xf numFmtId="41" fontId="23" fillId="32" borderId="17" xfId="0" applyNumberFormat="1" applyFont="1" applyFill="1" applyBorder="1" applyAlignment="1">
      <alignment horizontal="center" vertical="center"/>
    </xf>
    <xf numFmtId="41" fontId="23" fillId="32" borderId="32" xfId="0" applyNumberFormat="1" applyFont="1" applyFill="1" applyBorder="1" applyAlignment="1">
      <alignment horizontal="center" vertical="center"/>
    </xf>
    <xf numFmtId="41" fontId="23" fillId="32" borderId="33" xfId="0" applyNumberFormat="1" applyFont="1" applyFill="1" applyBorder="1" applyAlignment="1">
      <alignment horizontal="center" vertical="center"/>
    </xf>
    <xf numFmtId="41" fontId="6" fillId="32" borderId="0" xfId="0" applyNumberFormat="1" applyFont="1" applyFill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justify"/>
    </xf>
    <xf numFmtId="3" fontId="6" fillId="0" borderId="17" xfId="0" applyNumberFormat="1" applyFont="1" applyFill="1" applyBorder="1" applyAlignment="1">
      <alignment/>
    </xf>
    <xf numFmtId="3" fontId="23" fillId="32" borderId="35" xfId="0" applyNumberFormat="1" applyFont="1" applyFill="1" applyBorder="1" applyAlignment="1">
      <alignment horizontal="center" vertical="center"/>
    </xf>
    <xf numFmtId="3" fontId="23" fillId="32" borderId="15" xfId="0" applyNumberFormat="1" applyFont="1" applyFill="1" applyBorder="1" applyAlignment="1">
      <alignment horizontal="center" vertical="center"/>
    </xf>
    <xf numFmtId="3" fontId="23" fillId="32" borderId="36" xfId="0" applyNumberFormat="1" applyFont="1" applyFill="1" applyBorder="1" applyAlignment="1">
      <alignment horizontal="center" vertical="center"/>
    </xf>
    <xf numFmtId="3" fontId="26" fillId="32" borderId="35" xfId="0" applyNumberFormat="1" applyFont="1" applyFill="1" applyBorder="1" applyAlignment="1">
      <alignment horizontal="center" vertical="center"/>
    </xf>
    <xf numFmtId="3" fontId="26" fillId="32" borderId="36" xfId="0" applyNumberFormat="1" applyFont="1" applyFill="1" applyBorder="1" applyAlignment="1">
      <alignment horizontal="center" vertical="center"/>
    </xf>
    <xf numFmtId="3" fontId="26" fillId="32" borderId="37" xfId="0" applyNumberFormat="1" applyFont="1" applyFill="1" applyBorder="1" applyAlignment="1">
      <alignment horizontal="center" vertical="center"/>
    </xf>
    <xf numFmtId="3" fontId="23" fillId="32" borderId="18" xfId="0" applyNumberFormat="1" applyFont="1" applyFill="1" applyBorder="1" applyAlignment="1">
      <alignment horizontal="center" vertical="center"/>
    </xf>
    <xf numFmtId="3" fontId="23" fillId="32" borderId="30" xfId="0" applyNumberFormat="1" applyFont="1" applyFill="1" applyBorder="1" applyAlignment="1">
      <alignment horizontal="center" vertical="center"/>
    </xf>
    <xf numFmtId="3" fontId="23" fillId="32" borderId="0" xfId="0" applyNumberFormat="1" applyFont="1" applyFill="1" applyBorder="1" applyAlignment="1">
      <alignment horizontal="center" vertical="center"/>
    </xf>
    <xf numFmtId="3" fontId="23" fillId="32" borderId="31" xfId="0" applyNumberFormat="1" applyFont="1" applyFill="1" applyBorder="1" applyAlignment="1">
      <alignment horizontal="center" vertical="center"/>
    </xf>
    <xf numFmtId="3" fontId="23" fillId="32" borderId="17" xfId="0" applyNumberFormat="1" applyFont="1" applyFill="1" applyBorder="1" applyAlignment="1">
      <alignment horizontal="center" vertical="center"/>
    </xf>
    <xf numFmtId="3" fontId="23" fillId="32" borderId="32" xfId="0" applyNumberFormat="1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3" fillId="0" borderId="36" xfId="0" applyNumberFormat="1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178" fontId="26" fillId="0" borderId="36" xfId="0" applyNumberFormat="1" applyFont="1" applyFill="1" applyBorder="1" applyAlignment="1">
      <alignment horizontal="center" vertical="center"/>
    </xf>
    <xf numFmtId="178" fontId="26" fillId="0" borderId="35" xfId="0" applyNumberFormat="1" applyFont="1" applyFill="1" applyBorder="1" applyAlignment="1">
      <alignment horizontal="center" vertical="center"/>
    </xf>
    <xf numFmtId="178" fontId="26" fillId="0" borderId="37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6" fillId="32" borderId="15" xfId="0" applyNumberFormat="1" applyFont="1" applyFill="1" applyBorder="1" applyAlignment="1">
      <alignment horizontal="center" vertical="center"/>
    </xf>
    <xf numFmtId="3" fontId="23" fillId="32" borderId="20" xfId="0" applyNumberFormat="1" applyFont="1" applyFill="1" applyBorder="1" applyAlignment="1">
      <alignment horizontal="center" vertical="center"/>
    </xf>
    <xf numFmtId="3" fontId="23" fillId="32" borderId="33" xfId="0" applyNumberFormat="1" applyFont="1" applyFill="1" applyBorder="1" applyAlignment="1">
      <alignment horizontal="center" vertical="center"/>
    </xf>
    <xf numFmtId="3" fontId="26" fillId="0" borderId="37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32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41" fontId="23" fillId="32" borderId="35" xfId="0" applyNumberFormat="1" applyFont="1" applyFill="1" applyBorder="1" applyAlignment="1">
      <alignment horizontal="center" vertical="center"/>
    </xf>
    <xf numFmtId="41" fontId="23" fillId="32" borderId="15" xfId="0" applyNumberFormat="1" applyFont="1" applyFill="1" applyBorder="1" applyAlignment="1">
      <alignment horizontal="center" vertical="center"/>
    </xf>
    <xf numFmtId="41" fontId="23" fillId="32" borderId="36" xfId="0" applyNumberFormat="1" applyFont="1" applyFill="1" applyBorder="1" applyAlignment="1">
      <alignment horizontal="center" vertical="center"/>
    </xf>
    <xf numFmtId="41" fontId="23" fillId="32" borderId="3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3" fontId="6" fillId="32" borderId="10" xfId="0" applyNumberFormat="1" applyFont="1" applyFill="1" applyBorder="1" applyAlignment="1">
      <alignment horizontal="left" vertical="top" wrapText="1"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16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horizontal="left" vertical="top" wrapText="1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41" fontId="5" fillId="32" borderId="10" xfId="0" applyNumberFormat="1" applyFont="1" applyFill="1" applyBorder="1" applyAlignment="1">
      <alignment horizontal="center" vertical="center" wrapText="1"/>
    </xf>
    <xf numFmtId="41" fontId="5" fillId="32" borderId="12" xfId="0" applyNumberFormat="1" applyFont="1" applyFill="1" applyBorder="1" applyAlignment="1">
      <alignment horizontal="center" vertical="center" wrapText="1"/>
    </xf>
    <xf numFmtId="41" fontId="5" fillId="32" borderId="16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 quotePrefix="1">
      <alignment horizontal="left"/>
    </xf>
    <xf numFmtId="0" fontId="0" fillId="32" borderId="12" xfId="0" applyFill="1" applyBorder="1" applyAlignment="1">
      <alignment/>
    </xf>
    <xf numFmtId="0" fontId="0" fillId="32" borderId="16" xfId="0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6"/>
  <sheetViews>
    <sheetView showGridLines="0" tabSelected="1" zoomScaleSheetLayoutView="130" workbookViewId="0" topLeftCell="A72">
      <selection activeCell="A76" sqref="A76:IV76"/>
    </sheetView>
  </sheetViews>
  <sheetFormatPr defaultColWidth="9.140625" defaultRowHeight="15"/>
  <cols>
    <col min="1" max="1" width="3.57421875" style="2" customWidth="1"/>
    <col min="2" max="2" width="52.421875" style="2" customWidth="1"/>
    <col min="3" max="3" width="14.28125" style="2" customWidth="1"/>
    <col min="4" max="4" width="13.57421875" style="2" customWidth="1"/>
    <col min="5" max="5" width="12.57421875" style="2" customWidth="1"/>
    <col min="6" max="6" width="12.8515625" style="2" customWidth="1"/>
    <col min="7" max="7" width="8.421875" style="170" customWidth="1"/>
    <col min="8" max="8" width="13.57421875" style="2" customWidth="1"/>
    <col min="9" max="9" width="13.421875" style="2" customWidth="1"/>
    <col min="10" max="10" width="14.8515625" style="2" customWidth="1"/>
    <col min="11" max="11" width="7.8515625" style="170" customWidth="1"/>
    <col min="12" max="12" width="7.00390625" style="2" customWidth="1"/>
    <col min="13" max="13" width="13.7109375" style="2" customWidth="1"/>
    <col min="14" max="16384" width="9.140625" style="2" customWidth="1"/>
  </cols>
  <sheetData>
    <row r="1" spans="1:13" ht="12.75">
      <c r="A1" s="246" t="s">
        <v>155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>
      <c r="A2" s="246" t="s">
        <v>29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>
      <c r="A3" s="1"/>
      <c r="B3" s="1"/>
      <c r="C3" s="1"/>
      <c r="D3" s="1"/>
      <c r="E3" s="1"/>
      <c r="F3" s="1"/>
      <c r="G3" s="166"/>
      <c r="H3" s="1"/>
      <c r="I3" s="1"/>
      <c r="J3" s="1"/>
      <c r="K3" s="166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167" t="s">
        <v>76</v>
      </c>
      <c r="H4" s="3"/>
      <c r="I4" s="3"/>
      <c r="J4" s="3"/>
      <c r="K4" s="167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167" t="s">
        <v>77</v>
      </c>
      <c r="H5" s="3"/>
      <c r="I5" s="3"/>
      <c r="J5" s="3"/>
      <c r="K5" s="167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168" t="s">
        <v>150</v>
      </c>
      <c r="H6" s="3"/>
      <c r="I6" s="3"/>
      <c r="J6" s="3"/>
      <c r="K6" s="167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169" t="s">
        <v>157</v>
      </c>
      <c r="H7" s="3"/>
      <c r="I7" s="3"/>
      <c r="J7" s="3"/>
      <c r="K7" s="167"/>
    </row>
    <row r="8" ht="12.75">
      <c r="M8" s="4" t="s">
        <v>52</v>
      </c>
    </row>
    <row r="9" spans="1:13" ht="12.75">
      <c r="A9" s="6"/>
      <c r="B9" s="6" t="s">
        <v>17</v>
      </c>
      <c r="C9" s="6" t="s">
        <v>18</v>
      </c>
      <c r="D9" s="247" t="s">
        <v>19</v>
      </c>
      <c r="E9" s="247"/>
      <c r="F9" s="247"/>
      <c r="G9" s="247"/>
      <c r="H9" s="247" t="s">
        <v>27</v>
      </c>
      <c r="I9" s="247"/>
      <c r="J9" s="247"/>
      <c r="K9" s="247"/>
      <c r="L9" s="6" t="s">
        <v>28</v>
      </c>
      <c r="M9" s="6"/>
    </row>
    <row r="10" spans="1:13" ht="12.75">
      <c r="A10" s="8" t="s">
        <v>1</v>
      </c>
      <c r="B10" s="8" t="s">
        <v>3</v>
      </c>
      <c r="C10" s="9" t="s">
        <v>5</v>
      </c>
      <c r="D10" s="6" t="s">
        <v>20</v>
      </c>
      <c r="E10" s="6" t="s">
        <v>22</v>
      </c>
      <c r="F10" s="6" t="s">
        <v>24</v>
      </c>
      <c r="G10" s="252" t="s">
        <v>26</v>
      </c>
      <c r="H10" s="6" t="s">
        <v>20</v>
      </c>
      <c r="I10" s="6" t="s">
        <v>22</v>
      </c>
      <c r="J10" s="6" t="s">
        <v>24</v>
      </c>
      <c r="K10" s="252" t="s">
        <v>26</v>
      </c>
      <c r="L10" s="250" t="s">
        <v>26</v>
      </c>
      <c r="M10" s="8" t="s">
        <v>54</v>
      </c>
    </row>
    <row r="11" spans="1:13" ht="12.75">
      <c r="A11" s="8"/>
      <c r="B11" s="8"/>
      <c r="C11" s="9" t="s">
        <v>6</v>
      </c>
      <c r="D11" s="8" t="s">
        <v>21</v>
      </c>
      <c r="E11" s="8" t="s">
        <v>23</v>
      </c>
      <c r="F11" s="8" t="s">
        <v>25</v>
      </c>
      <c r="G11" s="253"/>
      <c r="H11" s="8" t="s">
        <v>21</v>
      </c>
      <c r="I11" s="8" t="s">
        <v>23</v>
      </c>
      <c r="J11" s="8" t="s">
        <v>25</v>
      </c>
      <c r="K11" s="253"/>
      <c r="L11" s="251"/>
      <c r="M11" s="8"/>
    </row>
    <row r="12" spans="1:13" s="10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71">
        <v>7</v>
      </c>
      <c r="H12" s="7">
        <v>8</v>
      </c>
      <c r="I12" s="7">
        <v>9</v>
      </c>
      <c r="J12" s="7">
        <v>10</v>
      </c>
      <c r="K12" s="171">
        <v>11</v>
      </c>
      <c r="L12" s="7">
        <v>12</v>
      </c>
      <c r="M12" s="7">
        <v>13</v>
      </c>
    </row>
    <row r="13" spans="1:13" ht="2.25" customHeight="1">
      <c r="A13" s="11"/>
      <c r="B13" s="12"/>
      <c r="C13" s="12"/>
      <c r="D13" s="12"/>
      <c r="E13" s="12"/>
      <c r="F13" s="12"/>
      <c r="G13" s="172"/>
      <c r="H13" s="12"/>
      <c r="I13" s="12"/>
      <c r="J13" s="12"/>
      <c r="K13" s="172"/>
      <c r="L13" s="12"/>
      <c r="M13" s="12"/>
    </row>
    <row r="14" spans="1:13" ht="13.5" customHeight="1">
      <c r="A14" s="143">
        <v>1</v>
      </c>
      <c r="B14" s="144" t="s">
        <v>113</v>
      </c>
      <c r="C14" s="145">
        <f>1819729000-61821000</f>
        <v>1757908000</v>
      </c>
      <c r="D14" s="147">
        <v>1276818989</v>
      </c>
      <c r="E14" s="146">
        <v>105993659</v>
      </c>
      <c r="F14" s="147">
        <f>SUM(D14:E14)</f>
        <v>1382812648</v>
      </c>
      <c r="G14" s="164">
        <f>SUM(F14/C14)*100</f>
        <v>78.66240144535436</v>
      </c>
      <c r="H14" s="147">
        <v>1276818989</v>
      </c>
      <c r="I14" s="146">
        <v>105993659</v>
      </c>
      <c r="J14" s="147">
        <f>SUM(H14:I14)</f>
        <v>1382812648</v>
      </c>
      <c r="K14" s="164">
        <f>J14/C14*100</f>
        <v>78.66240144535436</v>
      </c>
      <c r="L14" s="147"/>
      <c r="M14" s="147">
        <f>SUM(C14-F14)</f>
        <v>375095352</v>
      </c>
    </row>
    <row r="15" spans="1:13" ht="15.75" customHeight="1">
      <c r="A15" s="148"/>
      <c r="B15" s="149" t="s">
        <v>114</v>
      </c>
      <c r="C15" s="150"/>
      <c r="D15" s="151"/>
      <c r="E15" s="151"/>
      <c r="F15" s="140"/>
      <c r="G15" s="173"/>
      <c r="H15" s="151"/>
      <c r="I15" s="151"/>
      <c r="J15" s="140"/>
      <c r="K15" s="173"/>
      <c r="L15" s="140"/>
      <c r="M15" s="140"/>
    </row>
    <row r="16" spans="1:13" ht="13.5" customHeight="1">
      <c r="A16" s="90">
        <v>2</v>
      </c>
      <c r="B16" s="91" t="s">
        <v>115</v>
      </c>
      <c r="C16" s="13">
        <v>4000000</v>
      </c>
      <c r="D16" s="14">
        <v>2962200</v>
      </c>
      <c r="E16" s="2">
        <v>1037800</v>
      </c>
      <c r="F16" s="15">
        <f>SUM(D16:E16)</f>
        <v>4000000</v>
      </c>
      <c r="G16" s="174">
        <f>SUM(F16/C16)*100</f>
        <v>100</v>
      </c>
      <c r="H16" s="14">
        <v>2962200</v>
      </c>
      <c r="I16" s="2">
        <v>1037800</v>
      </c>
      <c r="J16" s="15">
        <f>SUM(H16:I16)</f>
        <v>4000000</v>
      </c>
      <c r="K16" s="174">
        <f>J16/C16*100</f>
        <v>100</v>
      </c>
      <c r="L16" s="15"/>
      <c r="M16" s="15">
        <f>SUM(C16-F16)</f>
        <v>0</v>
      </c>
    </row>
    <row r="17" spans="1:13" ht="16.5" customHeight="1">
      <c r="A17" s="148"/>
      <c r="B17" s="149" t="s">
        <v>116</v>
      </c>
      <c r="C17" s="152"/>
      <c r="D17" s="151"/>
      <c r="F17" s="140"/>
      <c r="G17" s="173"/>
      <c r="H17" s="151"/>
      <c r="J17" s="140"/>
      <c r="K17" s="173"/>
      <c r="L17" s="140"/>
      <c r="M17" s="140"/>
    </row>
    <row r="18" spans="1:13" ht="13.5" customHeight="1">
      <c r="A18" s="90">
        <v>3</v>
      </c>
      <c r="B18" s="91" t="s">
        <v>117</v>
      </c>
      <c r="C18" s="13">
        <v>31131300</v>
      </c>
      <c r="D18" s="14">
        <v>22347000</v>
      </c>
      <c r="E18" s="146">
        <v>7774600</v>
      </c>
      <c r="F18" s="15">
        <f>SUM(D18:E18)</f>
        <v>30121600</v>
      </c>
      <c r="G18" s="174">
        <f>SUM(F18/C18)*100</f>
        <v>96.75664042298266</v>
      </c>
      <c r="H18" s="14">
        <v>22347000</v>
      </c>
      <c r="I18" s="146">
        <v>7774600</v>
      </c>
      <c r="J18" s="15">
        <f>SUM(H18:I18)</f>
        <v>30121600</v>
      </c>
      <c r="K18" s="174">
        <f>J18/C18*100</f>
        <v>96.75664042298266</v>
      </c>
      <c r="L18" s="15"/>
      <c r="M18" s="15">
        <f>SUM(C18-F18)</f>
        <v>1009700</v>
      </c>
    </row>
    <row r="19" spans="1:13" ht="15" customHeight="1">
      <c r="A19" s="148"/>
      <c r="B19" s="149" t="s">
        <v>118</v>
      </c>
      <c r="C19" s="150"/>
      <c r="D19" s="151"/>
      <c r="E19" s="151"/>
      <c r="F19" s="140"/>
      <c r="G19" s="173"/>
      <c r="H19" s="151"/>
      <c r="I19" s="151"/>
      <c r="J19" s="140"/>
      <c r="K19" s="173"/>
      <c r="L19" s="140"/>
      <c r="M19" s="140"/>
    </row>
    <row r="20" spans="1:13" ht="13.5" customHeight="1">
      <c r="A20" s="90">
        <v>4</v>
      </c>
      <c r="B20" s="96" t="s">
        <v>109</v>
      </c>
      <c r="C20" s="13">
        <f>2099000-823000</f>
        <v>1276000</v>
      </c>
      <c r="D20" s="14">
        <v>1276000</v>
      </c>
      <c r="E20" s="14">
        <v>0</v>
      </c>
      <c r="F20" s="15">
        <f>SUM(D20:E20)</f>
        <v>1276000</v>
      </c>
      <c r="G20" s="174">
        <f>SUM(F20/C20)*100</f>
        <v>100</v>
      </c>
      <c r="H20" s="14">
        <v>1276000</v>
      </c>
      <c r="I20" s="14">
        <v>0</v>
      </c>
      <c r="J20" s="15">
        <f>SUM(H20:I20)</f>
        <v>1276000</v>
      </c>
      <c r="K20" s="174">
        <f>J20/C20*100</f>
        <v>100</v>
      </c>
      <c r="L20" s="15"/>
      <c r="M20" s="15">
        <f>SUM(C20-F20)</f>
        <v>0</v>
      </c>
    </row>
    <row r="21" spans="1:13" ht="15" customHeight="1">
      <c r="A21" s="148"/>
      <c r="B21" s="149" t="s">
        <v>119</v>
      </c>
      <c r="C21" s="150"/>
      <c r="D21" s="151"/>
      <c r="E21" s="151"/>
      <c r="F21" s="140"/>
      <c r="G21" s="173"/>
      <c r="H21" s="151"/>
      <c r="I21" s="151"/>
      <c r="J21" s="140"/>
      <c r="K21" s="173"/>
      <c r="L21" s="140"/>
      <c r="M21" s="140"/>
    </row>
    <row r="22" spans="1:13" ht="26.25" customHeight="1" hidden="1">
      <c r="A22" s="90">
        <v>5</v>
      </c>
      <c r="B22" s="153" t="s">
        <v>98</v>
      </c>
      <c r="C22" s="25">
        <v>0</v>
      </c>
      <c r="D22" s="14">
        <v>0</v>
      </c>
      <c r="E22" s="14">
        <v>1331340</v>
      </c>
      <c r="F22" s="15">
        <f>SUM(D22:E22)</f>
        <v>1331340</v>
      </c>
      <c r="G22" s="174">
        <v>0</v>
      </c>
      <c r="H22" s="14">
        <v>0</v>
      </c>
      <c r="I22" s="14">
        <v>1331340</v>
      </c>
      <c r="J22" s="15">
        <f>SUM(H22:I22)</f>
        <v>1331340</v>
      </c>
      <c r="K22" s="174">
        <v>0</v>
      </c>
      <c r="L22" s="18"/>
      <c r="M22" s="18">
        <f>SUM(C22-F22)</f>
        <v>-1331340</v>
      </c>
    </row>
    <row r="23" spans="1:13" ht="13.5" customHeight="1" hidden="1">
      <c r="A23" s="92"/>
      <c r="B23" s="93" t="s">
        <v>31</v>
      </c>
      <c r="C23" s="16"/>
      <c r="D23" s="17"/>
      <c r="E23" s="151"/>
      <c r="F23" s="15"/>
      <c r="G23" s="174"/>
      <c r="H23" s="17"/>
      <c r="I23" s="151"/>
      <c r="J23" s="15"/>
      <c r="K23" s="174"/>
      <c r="L23" s="15"/>
      <c r="M23" s="18"/>
    </row>
    <row r="24" spans="1:13" ht="16.5" customHeight="1">
      <c r="A24" s="94">
        <v>5</v>
      </c>
      <c r="B24" s="91" t="s">
        <v>120</v>
      </c>
      <c r="C24" s="13">
        <v>17083800</v>
      </c>
      <c r="D24" s="14">
        <v>10725420</v>
      </c>
      <c r="E24" s="14">
        <v>3533180</v>
      </c>
      <c r="F24" s="20">
        <f>SUM(D24:E24)</f>
        <v>14258600</v>
      </c>
      <c r="G24" s="174">
        <f>SUM(F24/C24)*100</f>
        <v>83.46269565319191</v>
      </c>
      <c r="H24" s="14">
        <v>10725420</v>
      </c>
      <c r="I24" s="14">
        <v>3533180</v>
      </c>
      <c r="J24" s="20">
        <f>SUM(H24:I24)</f>
        <v>14258600</v>
      </c>
      <c r="K24" s="174">
        <f>J24/C24*100</f>
        <v>83.46269565319191</v>
      </c>
      <c r="L24" s="15"/>
      <c r="M24" s="15">
        <f>SUM(C24-F24)</f>
        <v>2825200</v>
      </c>
    </row>
    <row r="25" spans="1:13" ht="15.75" customHeight="1">
      <c r="A25" s="148"/>
      <c r="B25" s="149" t="s">
        <v>121</v>
      </c>
      <c r="C25" s="150"/>
      <c r="D25" s="151"/>
      <c r="E25" s="17"/>
      <c r="F25" s="140"/>
      <c r="G25" s="173"/>
      <c r="H25" s="151"/>
      <c r="I25" s="17"/>
      <c r="J25" s="140"/>
      <c r="K25" s="173"/>
      <c r="L25" s="140"/>
      <c r="M25" s="140"/>
    </row>
    <row r="26" spans="1:13" ht="13.5" customHeight="1">
      <c r="A26" s="90">
        <v>6</v>
      </c>
      <c r="B26" s="91" t="s">
        <v>122</v>
      </c>
      <c r="C26" s="13">
        <f>14622400+27000</f>
        <v>14649400</v>
      </c>
      <c r="D26" s="14">
        <v>8809200</v>
      </c>
      <c r="E26" s="14">
        <v>4312000</v>
      </c>
      <c r="F26" s="15">
        <f>SUM(D26:E26)</f>
        <v>13121200</v>
      </c>
      <c r="G26" s="174">
        <f>SUM(F26/C26)*100</f>
        <v>89.56817344055047</v>
      </c>
      <c r="H26" s="14">
        <v>8809200</v>
      </c>
      <c r="I26" s="14">
        <v>4312000</v>
      </c>
      <c r="J26" s="15">
        <f>SUM(H26:I26)</f>
        <v>13121200</v>
      </c>
      <c r="K26" s="174">
        <f>J26/C26*100</f>
        <v>89.56817344055047</v>
      </c>
      <c r="L26" s="15"/>
      <c r="M26" s="15">
        <f>SUM(C26-F26)</f>
        <v>1528200</v>
      </c>
    </row>
    <row r="27" spans="1:13" ht="15" customHeight="1">
      <c r="A27" s="148"/>
      <c r="B27" s="149" t="s">
        <v>123</v>
      </c>
      <c r="C27" s="150"/>
      <c r="D27" s="151"/>
      <c r="E27" s="151"/>
      <c r="F27" s="140"/>
      <c r="G27" s="173"/>
      <c r="H27" s="151"/>
      <c r="I27" s="151"/>
      <c r="J27" s="140"/>
      <c r="K27" s="173"/>
      <c r="L27" s="140"/>
      <c r="M27" s="140"/>
    </row>
    <row r="28" spans="1:13" ht="13.5" customHeight="1">
      <c r="A28" s="90">
        <v>7</v>
      </c>
      <c r="B28" s="2" t="s">
        <v>124</v>
      </c>
      <c r="C28" s="13">
        <v>1920000</v>
      </c>
      <c r="D28" s="14">
        <v>1440000</v>
      </c>
      <c r="E28" s="14">
        <v>320000</v>
      </c>
      <c r="F28" s="15">
        <f>SUM(D28:E28)</f>
        <v>1760000</v>
      </c>
      <c r="G28" s="174">
        <f>SUM(F28/C28)*100</f>
        <v>91.66666666666666</v>
      </c>
      <c r="H28" s="14">
        <v>1440000</v>
      </c>
      <c r="I28" s="14">
        <v>320000</v>
      </c>
      <c r="J28" s="15">
        <f>SUM(H28:I28)</f>
        <v>1760000</v>
      </c>
      <c r="K28" s="174">
        <f>J28/C28*100</f>
        <v>91.66666666666666</v>
      </c>
      <c r="L28" s="15"/>
      <c r="M28" s="15">
        <f>SUM(C28-F28)</f>
        <v>160000</v>
      </c>
    </row>
    <row r="29" spans="1:13" ht="17.25" customHeight="1">
      <c r="A29" s="148"/>
      <c r="B29" s="149" t="s">
        <v>125</v>
      </c>
      <c r="C29" s="150"/>
      <c r="D29" s="151"/>
      <c r="E29" s="151"/>
      <c r="F29" s="140"/>
      <c r="G29" s="173"/>
      <c r="H29" s="151"/>
      <c r="I29" s="151"/>
      <c r="J29" s="140"/>
      <c r="K29" s="173"/>
      <c r="L29" s="140"/>
      <c r="M29" s="140"/>
    </row>
    <row r="30" spans="1:13" ht="13.5" customHeight="1">
      <c r="A30" s="90">
        <v>8</v>
      </c>
      <c r="B30" s="91" t="s">
        <v>126</v>
      </c>
      <c r="C30" s="13">
        <f>41000000+48745000</f>
        <v>89745000</v>
      </c>
      <c r="D30" s="14">
        <v>24435000</v>
      </c>
      <c r="E30" s="14">
        <v>6268000</v>
      </c>
      <c r="F30" s="15">
        <f>SUM(D30:E30)</f>
        <v>30703000</v>
      </c>
      <c r="G30" s="174">
        <f>SUM(F30/C30)*100</f>
        <v>34.211376678366484</v>
      </c>
      <c r="H30" s="14">
        <v>24435000</v>
      </c>
      <c r="I30" s="14">
        <v>6268000</v>
      </c>
      <c r="J30" s="15">
        <f>SUM(H30:I30)</f>
        <v>30703000</v>
      </c>
      <c r="K30" s="174">
        <f>J30/C30*100</f>
        <v>34.211376678366484</v>
      </c>
      <c r="L30" s="15"/>
      <c r="M30" s="15">
        <f>SUM(C30-F30)</f>
        <v>59042000</v>
      </c>
    </row>
    <row r="31" spans="1:13" ht="17.25" customHeight="1">
      <c r="A31" s="148"/>
      <c r="B31" s="149" t="s">
        <v>127</v>
      </c>
      <c r="C31" s="150"/>
      <c r="D31" s="151"/>
      <c r="E31" s="151"/>
      <c r="F31" s="140"/>
      <c r="G31" s="173"/>
      <c r="H31" s="151"/>
      <c r="I31" s="151"/>
      <c r="J31" s="140"/>
      <c r="K31" s="173"/>
      <c r="L31" s="140"/>
      <c r="M31" s="140"/>
    </row>
    <row r="32" spans="1:13" ht="13.5" customHeight="1">
      <c r="A32" s="90">
        <v>9</v>
      </c>
      <c r="B32" s="91" t="s">
        <v>128</v>
      </c>
      <c r="C32" s="13">
        <v>20802500</v>
      </c>
      <c r="D32" s="14">
        <v>20800000</v>
      </c>
      <c r="E32" s="14">
        <v>0</v>
      </c>
      <c r="F32" s="15">
        <f>SUM(D32:E32)</f>
        <v>20800000</v>
      </c>
      <c r="G32" s="174">
        <f>SUM(F32/C32)*100</f>
        <v>99.98798221367625</v>
      </c>
      <c r="H32" s="14">
        <v>20800000</v>
      </c>
      <c r="I32" s="14">
        <v>0</v>
      </c>
      <c r="J32" s="15">
        <f>SUM(H32:I32)</f>
        <v>20800000</v>
      </c>
      <c r="K32" s="174">
        <f>J32/C32*100</f>
        <v>99.98798221367625</v>
      </c>
      <c r="L32" s="15"/>
      <c r="M32" s="15">
        <f>SUM(C32-F32)</f>
        <v>2500</v>
      </c>
    </row>
    <row r="33" spans="1:13" ht="17.25" customHeight="1">
      <c r="A33" s="148"/>
      <c r="B33" s="149" t="s">
        <v>129</v>
      </c>
      <c r="C33" s="150"/>
      <c r="D33" s="151"/>
      <c r="E33" s="151"/>
      <c r="F33" s="140"/>
      <c r="G33" s="173"/>
      <c r="H33" s="151"/>
      <c r="I33" s="151"/>
      <c r="J33" s="140"/>
      <c r="K33" s="173"/>
      <c r="L33" s="140"/>
      <c r="M33" s="140"/>
    </row>
    <row r="34" spans="1:13" ht="21.75" customHeight="1">
      <c r="A34" s="90">
        <v>10</v>
      </c>
      <c r="B34" s="91" t="s">
        <v>130</v>
      </c>
      <c r="C34" s="161">
        <f>27600000+10000000</f>
        <v>37600000</v>
      </c>
      <c r="D34" s="14">
        <v>26329374</v>
      </c>
      <c r="E34" s="14">
        <v>3133157</v>
      </c>
      <c r="F34" s="15">
        <f>SUM(D34:E34)</f>
        <v>29462531</v>
      </c>
      <c r="G34" s="174">
        <f>SUM(F34/C34)*100</f>
        <v>78.35779521276595</v>
      </c>
      <c r="H34" s="14">
        <v>26329374</v>
      </c>
      <c r="I34" s="14">
        <v>3133157</v>
      </c>
      <c r="J34" s="15">
        <f>SUM(H34:I34)</f>
        <v>29462531</v>
      </c>
      <c r="K34" s="174">
        <f>J34/C34*100</f>
        <v>78.35779521276595</v>
      </c>
      <c r="L34" s="15"/>
      <c r="M34" s="15">
        <f>SUM(C34-F34)</f>
        <v>8137469</v>
      </c>
    </row>
    <row r="35" spans="1:13" ht="12" customHeight="1">
      <c r="A35" s="148"/>
      <c r="B35" s="149" t="s">
        <v>131</v>
      </c>
      <c r="C35" s="150"/>
      <c r="D35" s="151"/>
      <c r="E35" s="151"/>
      <c r="F35" s="140"/>
      <c r="G35" s="173"/>
      <c r="H35" s="151"/>
      <c r="I35" s="151"/>
      <c r="J35" s="140"/>
      <c r="K35" s="173"/>
      <c r="L35" s="140"/>
      <c r="M35" s="140"/>
    </row>
    <row r="36" spans="1:13" ht="15" customHeight="1">
      <c r="A36" s="90">
        <v>11</v>
      </c>
      <c r="B36" s="95" t="s">
        <v>132</v>
      </c>
      <c r="C36" s="13">
        <f>162720000+8100000</f>
        <v>170820000</v>
      </c>
      <c r="D36" s="14">
        <v>136500000</v>
      </c>
      <c r="E36" s="14">
        <v>0</v>
      </c>
      <c r="F36" s="15">
        <f>SUM(D36:E36)</f>
        <v>136500000</v>
      </c>
      <c r="G36" s="174">
        <f>SUM(F36/C36)*100</f>
        <v>79.90867579908677</v>
      </c>
      <c r="H36" s="14">
        <v>136500000</v>
      </c>
      <c r="I36" s="14">
        <v>0</v>
      </c>
      <c r="J36" s="15">
        <f>SUM(H36:I36)</f>
        <v>136500000</v>
      </c>
      <c r="K36" s="174">
        <f>J36/C36*100</f>
        <v>79.90867579908677</v>
      </c>
      <c r="L36" s="15"/>
      <c r="M36" s="15">
        <f>SUM(C36-F36)</f>
        <v>34320000</v>
      </c>
    </row>
    <row r="37" spans="1:13" ht="15" customHeight="1">
      <c r="A37" s="92"/>
      <c r="B37" s="149" t="s">
        <v>133</v>
      </c>
      <c r="C37" s="150"/>
      <c r="D37" s="17"/>
      <c r="E37" s="17"/>
      <c r="F37" s="140"/>
      <c r="G37" s="173"/>
      <c r="H37" s="17"/>
      <c r="I37" s="17"/>
      <c r="J37" s="140"/>
      <c r="K37" s="173"/>
      <c r="L37" s="140"/>
      <c r="M37" s="140"/>
    </row>
    <row r="38" spans="1:13" ht="13.5" customHeight="1" hidden="1">
      <c r="A38" s="94">
        <v>11</v>
      </c>
      <c r="B38" s="91" t="s">
        <v>56</v>
      </c>
      <c r="C38" s="13">
        <v>0</v>
      </c>
      <c r="D38" s="19">
        <v>94920000</v>
      </c>
      <c r="E38" s="19">
        <v>13560000</v>
      </c>
      <c r="F38" s="15">
        <f>SUM(D38:E38)</f>
        <v>108480000</v>
      </c>
      <c r="G38" s="174">
        <v>0</v>
      </c>
      <c r="H38" s="19">
        <v>94920000</v>
      </c>
      <c r="I38" s="19">
        <v>13560000</v>
      </c>
      <c r="J38" s="15">
        <f>SUM(H38:I38)</f>
        <v>108480000</v>
      </c>
      <c r="K38" s="174">
        <v>0</v>
      </c>
      <c r="L38" s="15"/>
      <c r="M38" s="15">
        <f>SUM(C38-F38)</f>
        <v>-108480000</v>
      </c>
    </row>
    <row r="39" spans="1:13" ht="13.5" customHeight="1" hidden="1">
      <c r="A39" s="148"/>
      <c r="B39" s="93" t="s">
        <v>55</v>
      </c>
      <c r="C39" s="16"/>
      <c r="D39" s="151"/>
      <c r="E39" s="151"/>
      <c r="F39" s="15"/>
      <c r="G39" s="175"/>
      <c r="H39" s="151"/>
      <c r="I39" s="151"/>
      <c r="J39" s="15"/>
      <c r="K39" s="175"/>
      <c r="L39" s="18"/>
      <c r="M39" s="18"/>
    </row>
    <row r="40" spans="1:13" ht="27.75" customHeight="1">
      <c r="A40" s="90">
        <v>12</v>
      </c>
      <c r="B40" s="160" t="s">
        <v>134</v>
      </c>
      <c r="C40" s="21">
        <f>24241000+2535000</f>
        <v>26776000</v>
      </c>
      <c r="D40" s="146">
        <v>18061000</v>
      </c>
      <c r="E40" s="146">
        <v>2980000</v>
      </c>
      <c r="F40" s="15">
        <f>SUM(D40:E40)</f>
        <v>21041000</v>
      </c>
      <c r="G40" s="176">
        <f>SUM(F40/C40)*100</f>
        <v>78.58156558111742</v>
      </c>
      <c r="H40" s="146">
        <v>18061000</v>
      </c>
      <c r="I40" s="146">
        <v>2980000</v>
      </c>
      <c r="J40" s="15">
        <f>SUM(H40:I40)</f>
        <v>21041000</v>
      </c>
      <c r="K40" s="174">
        <f>J40/C40*100</f>
        <v>78.58156558111742</v>
      </c>
      <c r="L40" s="20"/>
      <c r="M40" s="15">
        <f>SUM(C40-F40)</f>
        <v>5735000</v>
      </c>
    </row>
    <row r="41" spans="1:13" ht="17.25" customHeight="1">
      <c r="A41" s="148"/>
      <c r="B41" s="149" t="s">
        <v>135</v>
      </c>
      <c r="C41" s="150"/>
      <c r="D41" s="151"/>
      <c r="E41" s="151"/>
      <c r="F41" s="140"/>
      <c r="G41" s="173"/>
      <c r="H41" s="151"/>
      <c r="I41" s="151"/>
      <c r="J41" s="140"/>
      <c r="K41" s="173"/>
      <c r="L41" s="140"/>
      <c r="M41" s="140"/>
    </row>
    <row r="42" spans="1:13" ht="18.75" customHeight="1">
      <c r="A42" s="143">
        <v>13</v>
      </c>
      <c r="B42" s="22" t="s">
        <v>136</v>
      </c>
      <c r="C42" s="161">
        <f>7830000-1420000</f>
        <v>6410000</v>
      </c>
      <c r="D42" s="14">
        <v>3530000</v>
      </c>
      <c r="E42" s="14">
        <v>1460000</v>
      </c>
      <c r="F42" s="15">
        <f>SUM(D42:E42)</f>
        <v>4990000</v>
      </c>
      <c r="G42" s="174">
        <f>SUM(F42/C42)*100</f>
        <v>77.84711388455538</v>
      </c>
      <c r="H42" s="14">
        <v>3530000</v>
      </c>
      <c r="I42" s="14">
        <v>1460000</v>
      </c>
      <c r="J42" s="15">
        <f>SUM(H42:I42)</f>
        <v>4990000</v>
      </c>
      <c r="K42" s="174">
        <f>J42/C42*100</f>
        <v>77.84711388455538</v>
      </c>
      <c r="L42" s="15"/>
      <c r="M42" s="15">
        <f>SUM(C42-F42)</f>
        <v>1420000</v>
      </c>
    </row>
    <row r="43" spans="1:13" ht="17.25" customHeight="1">
      <c r="A43" s="148"/>
      <c r="B43" s="149" t="s">
        <v>137</v>
      </c>
      <c r="C43" s="150"/>
      <c r="D43" s="17"/>
      <c r="E43" s="17"/>
      <c r="F43" s="140"/>
      <c r="G43" s="173"/>
      <c r="H43" s="17"/>
      <c r="I43" s="17"/>
      <c r="J43" s="140"/>
      <c r="K43" s="173"/>
      <c r="L43" s="140"/>
      <c r="M43" s="140"/>
    </row>
    <row r="44" spans="1:13" s="24" customFormat="1" ht="27.75" customHeight="1" hidden="1">
      <c r="A44" s="90">
        <v>13</v>
      </c>
      <c r="B44" s="22" t="s">
        <v>57</v>
      </c>
      <c r="C44" s="23">
        <v>0</v>
      </c>
      <c r="D44" s="19">
        <v>0</v>
      </c>
      <c r="E44" s="14">
        <v>0</v>
      </c>
      <c r="F44" s="15">
        <f>SUM(D44:E44)</f>
        <v>0</v>
      </c>
      <c r="G44" s="174">
        <v>0</v>
      </c>
      <c r="H44" s="19">
        <v>0</v>
      </c>
      <c r="I44" s="14">
        <v>0</v>
      </c>
      <c r="J44" s="15">
        <f>SUM(H44:I44)</f>
        <v>0</v>
      </c>
      <c r="K44" s="174">
        <v>0</v>
      </c>
      <c r="L44" s="15"/>
      <c r="M44" s="15">
        <f>SUM(C44-F44)</f>
        <v>0</v>
      </c>
    </row>
    <row r="45" spans="1:13" ht="13.5" customHeight="1" hidden="1">
      <c r="A45" s="148"/>
      <c r="B45" s="93" t="s">
        <v>58</v>
      </c>
      <c r="C45" s="25"/>
      <c r="D45" s="151"/>
      <c r="E45" s="151"/>
      <c r="F45" s="18"/>
      <c r="G45" s="175"/>
      <c r="H45" s="151"/>
      <c r="I45" s="151"/>
      <c r="J45" s="18"/>
      <c r="K45" s="175"/>
      <c r="L45" s="18"/>
      <c r="M45" s="18"/>
    </row>
    <row r="46" spans="1:13" s="24" customFormat="1" ht="15" customHeight="1" hidden="1">
      <c r="A46" s="90">
        <v>14</v>
      </c>
      <c r="B46" s="22" t="s">
        <v>110</v>
      </c>
      <c r="C46" s="23">
        <v>0</v>
      </c>
      <c r="D46" s="14">
        <v>2840000</v>
      </c>
      <c r="E46" s="14">
        <v>690000</v>
      </c>
      <c r="F46" s="20">
        <f>SUM(D46:E46)</f>
        <v>3530000</v>
      </c>
      <c r="G46" s="176">
        <v>0</v>
      </c>
      <c r="H46" s="14">
        <v>2840000</v>
      </c>
      <c r="I46" s="14">
        <v>690000</v>
      </c>
      <c r="J46" s="20">
        <f>SUM(H46:I46)</f>
        <v>3530000</v>
      </c>
      <c r="K46" s="174">
        <v>0</v>
      </c>
      <c r="L46" s="20"/>
      <c r="M46" s="15">
        <f>SUM(C46-F46)</f>
        <v>-3530000</v>
      </c>
    </row>
    <row r="47" spans="1:13" ht="13.5" customHeight="1" hidden="1">
      <c r="A47" s="148"/>
      <c r="B47" s="149" t="s">
        <v>111</v>
      </c>
      <c r="C47" s="154"/>
      <c r="D47" s="151"/>
      <c r="E47" s="151"/>
      <c r="F47" s="140"/>
      <c r="G47" s="173"/>
      <c r="H47" s="151"/>
      <c r="I47" s="151"/>
      <c r="J47" s="140"/>
      <c r="K47" s="173"/>
      <c r="L47" s="140"/>
      <c r="M47" s="140"/>
    </row>
    <row r="48" spans="1:13" s="24" customFormat="1" ht="27" customHeight="1">
      <c r="A48" s="143">
        <v>14</v>
      </c>
      <c r="B48" s="198" t="s">
        <v>151</v>
      </c>
      <c r="C48" s="199">
        <f>1730000+98270000</f>
        <v>100000000</v>
      </c>
      <c r="D48" s="146">
        <v>0</v>
      </c>
      <c r="E48" s="146">
        <v>0</v>
      </c>
      <c r="F48" s="15">
        <f>SUM(D48:E48)</f>
        <v>0</v>
      </c>
      <c r="G48" s="174">
        <f>SUM(F48/C48)*100</f>
        <v>0</v>
      </c>
      <c r="H48" s="146">
        <v>0</v>
      </c>
      <c r="I48" s="146">
        <v>0</v>
      </c>
      <c r="J48" s="15">
        <f>SUM(H48:I48)</f>
        <v>0</v>
      </c>
      <c r="K48" s="174">
        <f>J48/C48*100</f>
        <v>0</v>
      </c>
      <c r="L48" s="15"/>
      <c r="M48" s="15">
        <f>SUM(C48-F48)</f>
        <v>100000000</v>
      </c>
    </row>
    <row r="49" spans="1:13" ht="16.5" customHeight="1">
      <c r="A49" s="148"/>
      <c r="B49" s="200" t="s">
        <v>152</v>
      </c>
      <c r="C49" s="150"/>
      <c r="D49" s="151"/>
      <c r="E49" s="151"/>
      <c r="F49" s="140"/>
      <c r="G49" s="173"/>
      <c r="H49" s="151"/>
      <c r="I49" s="151"/>
      <c r="J49" s="140"/>
      <c r="K49" s="173"/>
      <c r="L49" s="140"/>
      <c r="M49" s="140"/>
    </row>
    <row r="50" spans="1:13" ht="27" customHeight="1">
      <c r="A50" s="90">
        <v>15</v>
      </c>
      <c r="B50" s="165" t="s">
        <v>138</v>
      </c>
      <c r="C50" s="161">
        <v>3000000</v>
      </c>
      <c r="D50" s="146">
        <v>2432800</v>
      </c>
      <c r="E50" s="146">
        <v>0</v>
      </c>
      <c r="F50" s="15">
        <f>SUM(D50:E50)</f>
        <v>2432800</v>
      </c>
      <c r="G50" s="174">
        <f>SUM(F50/C50)*100</f>
        <v>81.09333333333333</v>
      </c>
      <c r="H50" s="146">
        <v>2432800</v>
      </c>
      <c r="I50" s="146">
        <v>0</v>
      </c>
      <c r="J50" s="15">
        <f>SUM(H50:I50)</f>
        <v>2432800</v>
      </c>
      <c r="K50" s="174">
        <f>J50/C50*100</f>
        <v>81.09333333333333</v>
      </c>
      <c r="L50" s="15"/>
      <c r="M50" s="15">
        <f>SUM(C50-F50)</f>
        <v>567200</v>
      </c>
    </row>
    <row r="51" spans="1:13" ht="17.25" customHeight="1">
      <c r="A51" s="148"/>
      <c r="B51" s="149" t="s">
        <v>139</v>
      </c>
      <c r="C51" s="150"/>
      <c r="D51" s="151"/>
      <c r="E51" s="151"/>
      <c r="F51" s="140"/>
      <c r="G51" s="173"/>
      <c r="H51" s="151"/>
      <c r="I51" s="151"/>
      <c r="J51" s="140"/>
      <c r="K51" s="173"/>
      <c r="L51" s="140"/>
      <c r="M51" s="140"/>
    </row>
    <row r="52" spans="1:13" ht="25.5" customHeight="1">
      <c r="A52" s="90">
        <v>16</v>
      </c>
      <c r="B52" s="160" t="s">
        <v>140</v>
      </c>
      <c r="C52" s="13">
        <v>5100000</v>
      </c>
      <c r="D52" s="19">
        <v>5100000</v>
      </c>
      <c r="E52" s="19">
        <v>0</v>
      </c>
      <c r="F52" s="20">
        <f>SUM(D52:E52)</f>
        <v>5100000</v>
      </c>
      <c r="G52" s="176">
        <f>SUM(F52/C52)*100</f>
        <v>100</v>
      </c>
      <c r="H52" s="19">
        <v>5100000</v>
      </c>
      <c r="I52" s="19">
        <v>0</v>
      </c>
      <c r="J52" s="20">
        <f>SUM(H52:I52)</f>
        <v>5100000</v>
      </c>
      <c r="K52" s="174">
        <f>J52/C52*100</f>
        <v>100</v>
      </c>
      <c r="L52" s="20"/>
      <c r="M52" s="15">
        <f>SUM(C52-F52)</f>
        <v>0</v>
      </c>
    </row>
    <row r="53" spans="1:13" ht="18" customHeight="1">
      <c r="A53" s="148"/>
      <c r="B53" s="149" t="s">
        <v>141</v>
      </c>
      <c r="C53" s="150"/>
      <c r="D53" s="151"/>
      <c r="E53" s="151"/>
      <c r="F53" s="140"/>
      <c r="G53" s="173"/>
      <c r="H53" s="151"/>
      <c r="I53" s="151"/>
      <c r="J53" s="140"/>
      <c r="K53" s="173"/>
      <c r="L53" s="140"/>
      <c r="M53" s="140"/>
    </row>
    <row r="54" spans="1:13" s="24" customFormat="1" ht="14.25" customHeight="1" hidden="1">
      <c r="A54" s="90">
        <v>17</v>
      </c>
      <c r="B54" s="22" t="s">
        <v>93</v>
      </c>
      <c r="C54" s="23">
        <v>0</v>
      </c>
      <c r="D54" s="14">
        <v>0</v>
      </c>
      <c r="E54" s="14">
        <v>0</v>
      </c>
      <c r="F54" s="15">
        <f>SUM(D54:E54)</f>
        <v>0</v>
      </c>
      <c r="G54" s="174">
        <v>0</v>
      </c>
      <c r="H54" s="14">
        <v>0</v>
      </c>
      <c r="I54" s="14">
        <v>0</v>
      </c>
      <c r="J54" s="15">
        <f>SUM(H54:I54)</f>
        <v>0</v>
      </c>
      <c r="K54" s="174">
        <v>0</v>
      </c>
      <c r="L54" s="15"/>
      <c r="M54" s="15">
        <f>SUM(C54-F54)</f>
        <v>0</v>
      </c>
    </row>
    <row r="55" spans="1:13" ht="13.5" customHeight="1" hidden="1">
      <c r="A55" s="148"/>
      <c r="B55" s="93" t="s">
        <v>94</v>
      </c>
      <c r="C55" s="16"/>
      <c r="D55" s="17"/>
      <c r="E55" s="17"/>
      <c r="F55" s="18"/>
      <c r="G55" s="175"/>
      <c r="H55" s="17"/>
      <c r="I55" s="17"/>
      <c r="J55" s="18"/>
      <c r="K55" s="175"/>
      <c r="L55" s="18"/>
      <c r="M55" s="18"/>
    </row>
    <row r="56" spans="1:13" s="24" customFormat="1" ht="14.25" customHeight="1">
      <c r="A56" s="90">
        <v>17</v>
      </c>
      <c r="B56" s="22" t="s">
        <v>142</v>
      </c>
      <c r="C56" s="26">
        <f>5100000+2550000</f>
        <v>7650000</v>
      </c>
      <c r="D56" s="19">
        <v>7650000</v>
      </c>
      <c r="E56" s="19">
        <v>0</v>
      </c>
      <c r="F56" s="20">
        <f>SUM(D56:E56)</f>
        <v>7650000</v>
      </c>
      <c r="G56" s="176">
        <f>SUM(F56/C56)*100</f>
        <v>100</v>
      </c>
      <c r="H56" s="19">
        <v>7650000</v>
      </c>
      <c r="I56" s="19">
        <v>0</v>
      </c>
      <c r="J56" s="20">
        <f>SUM(H56:I56)</f>
        <v>7650000</v>
      </c>
      <c r="K56" s="174">
        <f>J56/C56*100</f>
        <v>100</v>
      </c>
      <c r="L56" s="20"/>
      <c r="M56" s="15">
        <f>SUM(C56-F56)</f>
        <v>0</v>
      </c>
    </row>
    <row r="57" spans="1:13" ht="12.75">
      <c r="A57" s="148"/>
      <c r="B57" s="149" t="s">
        <v>143</v>
      </c>
      <c r="C57" s="150"/>
      <c r="D57" s="151"/>
      <c r="E57" s="151"/>
      <c r="F57" s="140"/>
      <c r="G57" s="173"/>
      <c r="H57" s="151"/>
      <c r="I57" s="151"/>
      <c r="J57" s="140"/>
      <c r="K57" s="173"/>
      <c r="L57" s="140"/>
      <c r="M57" s="140"/>
    </row>
    <row r="58" spans="1:13" ht="13.5" customHeight="1" hidden="1">
      <c r="A58" s="90">
        <v>19</v>
      </c>
      <c r="B58" s="22" t="s">
        <v>59</v>
      </c>
      <c r="C58" s="13">
        <v>0</v>
      </c>
      <c r="D58" s="14">
        <v>0</v>
      </c>
      <c r="E58" s="14">
        <v>0</v>
      </c>
      <c r="F58" s="15">
        <f>SUM(D58:E58)</f>
        <v>0</v>
      </c>
      <c r="G58" s="174">
        <v>0</v>
      </c>
      <c r="H58" s="14">
        <v>0</v>
      </c>
      <c r="I58" s="14">
        <v>0</v>
      </c>
      <c r="J58" s="15">
        <f>SUM(H58:I58)</f>
        <v>0</v>
      </c>
      <c r="K58" s="174">
        <v>0</v>
      </c>
      <c r="L58" s="15"/>
      <c r="M58" s="15">
        <f>SUM(C58-F58)</f>
        <v>0</v>
      </c>
    </row>
    <row r="59" spans="1:13" ht="13.5" customHeight="1" hidden="1">
      <c r="A59" s="92"/>
      <c r="B59" s="149" t="s">
        <v>95</v>
      </c>
      <c r="C59" s="150"/>
      <c r="D59" s="151"/>
      <c r="E59" s="151"/>
      <c r="F59" s="140"/>
      <c r="G59" s="173"/>
      <c r="H59" s="151"/>
      <c r="I59" s="151"/>
      <c r="J59" s="140"/>
      <c r="K59" s="173"/>
      <c r="L59" s="140"/>
      <c r="M59" s="140"/>
    </row>
    <row r="60" spans="1:13" ht="13.5" customHeight="1" hidden="1">
      <c r="A60" s="94">
        <v>20</v>
      </c>
      <c r="B60" s="22" t="s">
        <v>107</v>
      </c>
      <c r="C60" s="13">
        <v>0</v>
      </c>
      <c r="D60" s="14">
        <v>0</v>
      </c>
      <c r="E60" s="14">
        <v>0</v>
      </c>
      <c r="F60" s="15">
        <f>SUM(D60:E60)</f>
        <v>0</v>
      </c>
      <c r="G60" s="174">
        <v>0</v>
      </c>
      <c r="H60" s="14">
        <v>0</v>
      </c>
      <c r="I60" s="14">
        <v>0</v>
      </c>
      <c r="J60" s="15">
        <f>SUM(H60:I60)</f>
        <v>0</v>
      </c>
      <c r="K60" s="174">
        <v>0</v>
      </c>
      <c r="L60" s="15"/>
      <c r="M60" s="15">
        <f>SUM(C60-F60)</f>
        <v>0</v>
      </c>
    </row>
    <row r="61" spans="1:13" ht="13.5" customHeight="1" hidden="1">
      <c r="A61" s="92"/>
      <c r="B61" s="93" t="s">
        <v>108</v>
      </c>
      <c r="C61" s="16"/>
      <c r="D61" s="17"/>
      <c r="E61" s="17"/>
      <c r="F61" s="15"/>
      <c r="G61" s="175"/>
      <c r="H61" s="17"/>
      <c r="I61" s="17"/>
      <c r="J61" s="15"/>
      <c r="K61" s="175"/>
      <c r="L61" s="18"/>
      <c r="M61" s="18"/>
    </row>
    <row r="62" spans="1:13" ht="27.75" customHeight="1" hidden="1">
      <c r="A62" s="94">
        <v>19</v>
      </c>
      <c r="B62" s="22" t="s">
        <v>96</v>
      </c>
      <c r="C62" s="21">
        <v>0</v>
      </c>
      <c r="D62" s="19">
        <v>0</v>
      </c>
      <c r="E62" s="19">
        <v>0</v>
      </c>
      <c r="F62" s="20">
        <f>SUM(D62:E62)</f>
        <v>0</v>
      </c>
      <c r="G62" s="176">
        <v>0</v>
      </c>
      <c r="H62" s="19">
        <v>0</v>
      </c>
      <c r="I62" s="19">
        <v>0</v>
      </c>
      <c r="J62" s="20">
        <f>SUM(H62:I62)</f>
        <v>0</v>
      </c>
      <c r="K62" s="176">
        <v>0</v>
      </c>
      <c r="L62" s="20"/>
      <c r="M62" s="15">
        <f>SUM(C62-F62)</f>
        <v>0</v>
      </c>
    </row>
    <row r="63" spans="1:13" ht="13.5" customHeight="1" hidden="1">
      <c r="A63" s="148"/>
      <c r="B63" s="93" t="s">
        <v>97</v>
      </c>
      <c r="C63" s="16"/>
      <c r="D63" s="17"/>
      <c r="E63" s="17"/>
      <c r="F63" s="15"/>
      <c r="G63" s="175"/>
      <c r="H63" s="17"/>
      <c r="I63" s="17"/>
      <c r="J63" s="15"/>
      <c r="K63" s="175"/>
      <c r="L63" s="18"/>
      <c r="M63" s="18"/>
    </row>
    <row r="64" spans="1:13" ht="13.5" customHeight="1" hidden="1">
      <c r="A64" s="90">
        <v>20</v>
      </c>
      <c r="B64" s="22" t="s">
        <v>60</v>
      </c>
      <c r="C64" s="21">
        <v>0</v>
      </c>
      <c r="D64" s="19">
        <v>0</v>
      </c>
      <c r="E64" s="19">
        <v>0</v>
      </c>
      <c r="F64" s="20">
        <f>SUM(D64:E64)</f>
        <v>0</v>
      </c>
      <c r="G64" s="176">
        <v>0</v>
      </c>
      <c r="H64" s="19">
        <v>0</v>
      </c>
      <c r="I64" s="19">
        <v>0</v>
      </c>
      <c r="J64" s="20">
        <f>SUM(H64:I64)</f>
        <v>0</v>
      </c>
      <c r="K64" s="174">
        <v>0</v>
      </c>
      <c r="L64" s="20"/>
      <c r="M64" s="15">
        <f>SUM(C64-F64)</f>
        <v>0</v>
      </c>
    </row>
    <row r="65" spans="1:13" ht="13.5" customHeight="1" hidden="1">
      <c r="A65" s="148"/>
      <c r="B65" s="149" t="s">
        <v>99</v>
      </c>
      <c r="C65" s="150"/>
      <c r="D65" s="151"/>
      <c r="E65" s="151"/>
      <c r="F65" s="140"/>
      <c r="G65" s="173"/>
      <c r="H65" s="151"/>
      <c r="I65" s="151"/>
      <c r="J65" s="140"/>
      <c r="K65" s="173"/>
      <c r="L65" s="140"/>
      <c r="M65" s="140"/>
    </row>
    <row r="66" spans="1:13" ht="13.5" customHeight="1" hidden="1">
      <c r="A66" s="90">
        <v>21</v>
      </c>
      <c r="B66" s="91" t="s">
        <v>101</v>
      </c>
      <c r="C66" s="13">
        <v>0</v>
      </c>
      <c r="D66" s="14">
        <v>0</v>
      </c>
      <c r="E66" s="14">
        <v>0</v>
      </c>
      <c r="F66" s="15">
        <f>SUM(D66:E66)</f>
        <v>0</v>
      </c>
      <c r="G66" s="174">
        <v>0</v>
      </c>
      <c r="H66" s="14">
        <v>0</v>
      </c>
      <c r="I66" s="14">
        <v>0</v>
      </c>
      <c r="J66" s="15">
        <f>SUM(H66:I66)</f>
        <v>0</v>
      </c>
      <c r="K66" s="174">
        <v>0</v>
      </c>
      <c r="L66" s="15"/>
      <c r="M66" s="15">
        <f>SUM(C66-F66)</f>
        <v>0</v>
      </c>
    </row>
    <row r="67" spans="1:13" ht="13.5" customHeight="1" hidden="1">
      <c r="A67" s="148"/>
      <c r="B67" s="149" t="s">
        <v>103</v>
      </c>
      <c r="C67" s="150"/>
      <c r="D67" s="151"/>
      <c r="E67" s="151"/>
      <c r="F67" s="140"/>
      <c r="G67" s="173"/>
      <c r="H67" s="151"/>
      <c r="I67" s="151"/>
      <c r="J67" s="140"/>
      <c r="K67" s="173"/>
      <c r="L67" s="140"/>
      <c r="M67" s="140"/>
    </row>
    <row r="68" spans="1:13" ht="13.5" customHeight="1" hidden="1">
      <c r="A68" s="90">
        <v>22</v>
      </c>
      <c r="B68" s="91" t="s">
        <v>102</v>
      </c>
      <c r="C68" s="13">
        <v>0</v>
      </c>
      <c r="D68" s="14">
        <v>0</v>
      </c>
      <c r="E68" s="14">
        <v>0</v>
      </c>
      <c r="F68" s="15">
        <f>SUM(D68:E68)</f>
        <v>0</v>
      </c>
      <c r="G68" s="174">
        <v>0</v>
      </c>
      <c r="H68" s="14">
        <v>0</v>
      </c>
      <c r="I68" s="14">
        <v>0</v>
      </c>
      <c r="J68" s="15">
        <f>SUM(H68:I68)</f>
        <v>0</v>
      </c>
      <c r="K68" s="174">
        <v>0</v>
      </c>
      <c r="L68" s="15"/>
      <c r="M68" s="15">
        <f>SUM(C68-F68)</f>
        <v>0</v>
      </c>
    </row>
    <row r="69" spans="1:13" ht="13.5" customHeight="1" hidden="1">
      <c r="A69" s="148"/>
      <c r="B69" s="149" t="s">
        <v>104</v>
      </c>
      <c r="C69" s="150"/>
      <c r="D69" s="151"/>
      <c r="E69" s="151"/>
      <c r="F69" s="140"/>
      <c r="G69" s="173"/>
      <c r="H69" s="151"/>
      <c r="I69" s="151"/>
      <c r="J69" s="140"/>
      <c r="K69" s="173"/>
      <c r="L69" s="140"/>
      <c r="M69" s="140"/>
    </row>
    <row r="70" spans="1:13" ht="13.5" customHeight="1" hidden="1">
      <c r="A70" s="90">
        <v>23</v>
      </c>
      <c r="B70" s="97" t="s">
        <v>61</v>
      </c>
      <c r="C70" s="13">
        <v>0</v>
      </c>
      <c r="D70" s="14">
        <v>0</v>
      </c>
      <c r="E70" s="14">
        <v>0</v>
      </c>
      <c r="F70" s="15">
        <v>0</v>
      </c>
      <c r="G70" s="174">
        <v>0</v>
      </c>
      <c r="H70" s="14">
        <v>0</v>
      </c>
      <c r="I70" s="14">
        <v>0</v>
      </c>
      <c r="J70" s="15">
        <v>0</v>
      </c>
      <c r="K70" s="174">
        <v>0</v>
      </c>
      <c r="L70" s="15"/>
      <c r="M70" s="15">
        <f>SUM(C70-F70)</f>
        <v>0</v>
      </c>
    </row>
    <row r="71" spans="1:13" ht="13.5" customHeight="1" hidden="1">
      <c r="A71" s="148"/>
      <c r="B71" s="155" t="s">
        <v>100</v>
      </c>
      <c r="C71" s="150"/>
      <c r="D71" s="151"/>
      <c r="E71" s="140"/>
      <c r="F71" s="140"/>
      <c r="G71" s="173"/>
      <c r="H71" s="151"/>
      <c r="I71" s="140"/>
      <c r="J71" s="140"/>
      <c r="K71" s="173"/>
      <c r="L71" s="140"/>
      <c r="M71" s="140"/>
    </row>
    <row r="72" spans="1:13" s="24" customFormat="1" ht="27.75" customHeight="1">
      <c r="A72" s="90">
        <v>18</v>
      </c>
      <c r="B72" s="22" t="s">
        <v>144</v>
      </c>
      <c r="C72" s="26">
        <f>197280000+6416000</f>
        <v>203696000</v>
      </c>
      <c r="D72" s="19">
        <v>165300000</v>
      </c>
      <c r="E72" s="19">
        <v>3600000</v>
      </c>
      <c r="F72" s="20">
        <f>SUM(D72:E72)</f>
        <v>168900000</v>
      </c>
      <c r="G72" s="176">
        <f>SUM(F72/C72)*100</f>
        <v>82.91768125049093</v>
      </c>
      <c r="H72" s="19">
        <v>165300000</v>
      </c>
      <c r="I72" s="19">
        <v>3600000</v>
      </c>
      <c r="J72" s="20">
        <f>SUM(H72:I72)</f>
        <v>168900000</v>
      </c>
      <c r="K72" s="174">
        <f>J72/C72*100</f>
        <v>82.91768125049093</v>
      </c>
      <c r="L72" s="20"/>
      <c r="M72" s="15">
        <f>SUM(C72-F72)</f>
        <v>34796000</v>
      </c>
    </row>
    <row r="73" spans="1:13" ht="17.25" customHeight="1">
      <c r="A73" s="148"/>
      <c r="B73" s="149" t="s">
        <v>145</v>
      </c>
      <c r="C73" s="150"/>
      <c r="D73" s="151"/>
      <c r="E73" s="151"/>
      <c r="F73" s="140"/>
      <c r="G73" s="173"/>
      <c r="H73" s="151"/>
      <c r="I73" s="151"/>
      <c r="J73" s="140"/>
      <c r="K73" s="173"/>
      <c r="L73" s="140"/>
      <c r="M73" s="140"/>
    </row>
    <row r="74" spans="1:13" s="24" customFormat="1" ht="74.25" customHeight="1">
      <c r="A74" s="162">
        <v>19</v>
      </c>
      <c r="B74" s="22" t="s">
        <v>146</v>
      </c>
      <c r="C74" s="26">
        <f>10200000+52550000</f>
        <v>62750000</v>
      </c>
      <c r="D74" s="19">
        <v>9435000</v>
      </c>
      <c r="E74" s="19">
        <v>51520000</v>
      </c>
      <c r="F74" s="20">
        <f>SUM(D74:E74)</f>
        <v>60955000</v>
      </c>
      <c r="G74" s="176">
        <f>SUM(F74/C74)*100</f>
        <v>97.1394422310757</v>
      </c>
      <c r="H74" s="19">
        <v>9435000</v>
      </c>
      <c r="I74" s="19">
        <v>51520000</v>
      </c>
      <c r="J74" s="20">
        <f>SUM(H74:I74)</f>
        <v>60955000</v>
      </c>
      <c r="K74" s="174">
        <f>J74/C74*100</f>
        <v>97.1394422310757</v>
      </c>
      <c r="L74" s="20"/>
      <c r="M74" s="15">
        <f>SUM(C74-F74)</f>
        <v>1795000</v>
      </c>
    </row>
    <row r="75" spans="1:13" ht="17.25" customHeight="1">
      <c r="A75" s="148"/>
      <c r="B75" s="149" t="s">
        <v>147</v>
      </c>
      <c r="C75" s="150"/>
      <c r="D75" s="151"/>
      <c r="E75" s="151"/>
      <c r="F75" s="140"/>
      <c r="G75" s="173"/>
      <c r="H75" s="151"/>
      <c r="I75" s="151"/>
      <c r="J75" s="140"/>
      <c r="K75" s="173"/>
      <c r="L75" s="140"/>
      <c r="M75" s="140"/>
    </row>
    <row r="76" spans="1:13" s="24" customFormat="1" ht="14.25" customHeight="1">
      <c r="A76" s="90">
        <v>20</v>
      </c>
      <c r="B76" s="22" t="s">
        <v>148</v>
      </c>
      <c r="C76" s="26">
        <f>12750000+2550000</f>
        <v>15300000</v>
      </c>
      <c r="D76" s="19">
        <v>12648000</v>
      </c>
      <c r="E76" s="19">
        <v>0</v>
      </c>
      <c r="F76" s="20">
        <f>SUM(D76:E76)</f>
        <v>12648000</v>
      </c>
      <c r="G76" s="176">
        <f>SUM(F76/C76)*100</f>
        <v>82.66666666666667</v>
      </c>
      <c r="H76" s="19">
        <v>12648000</v>
      </c>
      <c r="I76" s="19">
        <v>0</v>
      </c>
      <c r="J76" s="20">
        <f>SUM(H76:I76)</f>
        <v>12648000</v>
      </c>
      <c r="K76" s="174">
        <f>J76/C76*100</f>
        <v>82.66666666666667</v>
      </c>
      <c r="L76" s="20"/>
      <c r="M76" s="15">
        <f>SUM(C76-F76)</f>
        <v>2652000</v>
      </c>
    </row>
    <row r="77" spans="1:13" ht="17.25" customHeight="1">
      <c r="A77" s="148"/>
      <c r="B77" s="149" t="s">
        <v>149</v>
      </c>
      <c r="C77" s="150"/>
      <c r="D77" s="151"/>
      <c r="E77" s="151"/>
      <c r="F77" s="140"/>
      <c r="G77" s="173"/>
      <c r="H77" s="151"/>
      <c r="I77" s="151"/>
      <c r="J77" s="140"/>
      <c r="K77" s="173"/>
      <c r="L77" s="140"/>
      <c r="M77" s="140"/>
    </row>
    <row r="78" spans="1:13" ht="13.5" customHeight="1">
      <c r="A78" s="37"/>
      <c r="B78" s="156" t="s">
        <v>32</v>
      </c>
      <c r="C78" s="152">
        <f>SUM(C14:C77)</f>
        <v>2577618000</v>
      </c>
      <c r="D78" s="152">
        <f>D14+D16+D18+D20+D24+D26+D28+D30+D32+D34+D36+D40+D42+D50+D52+D56+D72+D74+D76</f>
        <v>1756599983</v>
      </c>
      <c r="E78" s="152">
        <f>E14+E16+E18+E24+E26+E28+E30+E34+E40+E42+E72+E74</f>
        <v>191932396</v>
      </c>
      <c r="F78" s="152">
        <f>F14+F16+F18+F20+F24+F26+F28+F30+F32+F34+F36+F40+F42+F50+F52+F56+F72+F74+F76</f>
        <v>1948532379</v>
      </c>
      <c r="G78" s="177">
        <f>(F78/C78)*100</f>
        <v>75.59430369434106</v>
      </c>
      <c r="H78" s="152">
        <f>H14+H16+H18+H20+H24+H26+H28+H30+H32+H34+H36+H40+H42+H50+H52+H56+H72+H74+H76</f>
        <v>1756599983</v>
      </c>
      <c r="I78" s="152">
        <f>I14+I16+I18+I24+I26+I28+I30+I34+I40+I42+I72+I74</f>
        <v>191932396</v>
      </c>
      <c r="J78" s="152">
        <f>J14+J16+J18+J20+J24+J26+J28+J30+J32+J34+J36+J40+J42+J50+J52+J56+J72+J74+J76</f>
        <v>1948532379</v>
      </c>
      <c r="K78" s="177">
        <f>J78/C78*100</f>
        <v>75.59430369434106</v>
      </c>
      <c r="L78" s="140"/>
      <c r="M78" s="163">
        <f>SUM(M14:M77)</f>
        <v>515744281</v>
      </c>
    </row>
    <row r="79" spans="4:13" ht="13.5" customHeight="1">
      <c r="D79" s="27"/>
      <c r="E79" s="28"/>
      <c r="F79" s="28"/>
      <c r="G79" s="178"/>
      <c r="H79" s="28"/>
      <c r="I79" s="28"/>
      <c r="J79" s="28"/>
      <c r="K79" s="178"/>
      <c r="L79" s="28"/>
      <c r="M79" s="28"/>
    </row>
    <row r="80" spans="4:13" ht="13.5" customHeight="1">
      <c r="D80" s="27"/>
      <c r="E80" s="28"/>
      <c r="F80" s="28"/>
      <c r="G80" s="178"/>
      <c r="H80" s="28"/>
      <c r="I80" s="28"/>
      <c r="J80" s="28"/>
      <c r="K80" s="178"/>
      <c r="L80" s="28"/>
      <c r="M80" s="28"/>
    </row>
    <row r="81" spans="4:13" ht="12.75">
      <c r="D81" s="27"/>
      <c r="E81" s="28"/>
      <c r="F81" s="28"/>
      <c r="G81" s="178"/>
      <c r="H81" s="28"/>
      <c r="I81" s="141"/>
      <c r="J81" s="141" t="s">
        <v>158</v>
      </c>
      <c r="K81" s="179"/>
      <c r="L81" s="28"/>
      <c r="M81" s="28"/>
    </row>
    <row r="82" spans="2:13" ht="12.75">
      <c r="B82" s="248"/>
      <c r="C82" s="248"/>
      <c r="D82" s="27"/>
      <c r="E82" s="28"/>
      <c r="F82" s="28"/>
      <c r="G82" s="178"/>
      <c r="H82" s="28"/>
      <c r="I82" s="141"/>
      <c r="J82" s="141" t="s">
        <v>112</v>
      </c>
      <c r="K82" s="179"/>
      <c r="L82" s="28"/>
      <c r="M82" s="28"/>
    </row>
    <row r="83" spans="2:13" ht="12.75">
      <c r="B83" s="248"/>
      <c r="C83" s="248"/>
      <c r="D83" s="27"/>
      <c r="E83" s="28"/>
      <c r="F83" s="28"/>
      <c r="G83" s="178"/>
      <c r="H83" s="28"/>
      <c r="I83" s="141"/>
      <c r="J83" s="141"/>
      <c r="K83" s="179"/>
      <c r="L83" s="28"/>
      <c r="M83" s="28"/>
    </row>
    <row r="84" spans="2:13" ht="12.75">
      <c r="B84" s="248"/>
      <c r="C84" s="248"/>
      <c r="D84" s="27"/>
      <c r="E84" s="28"/>
      <c r="F84" s="28"/>
      <c r="G84" s="178"/>
      <c r="H84" s="28"/>
      <c r="I84" s="141"/>
      <c r="J84" s="141"/>
      <c r="K84" s="179"/>
      <c r="L84" s="28"/>
      <c r="M84" s="28"/>
    </row>
    <row r="85" spans="2:13" ht="12.75">
      <c r="B85" s="29"/>
      <c r="C85" s="29"/>
      <c r="D85" s="27"/>
      <c r="E85" s="28"/>
      <c r="F85" s="28"/>
      <c r="G85" s="178"/>
      <c r="H85" s="28"/>
      <c r="I85" s="141"/>
      <c r="J85" s="141"/>
      <c r="K85" s="179"/>
      <c r="L85" s="28"/>
      <c r="M85" s="28"/>
    </row>
    <row r="86" spans="2:13" ht="12.75">
      <c r="B86" s="29"/>
      <c r="C86" s="29"/>
      <c r="D86" s="27"/>
      <c r="E86" s="28"/>
      <c r="F86" s="28"/>
      <c r="G86" s="178"/>
      <c r="H86" s="28"/>
      <c r="I86" s="141"/>
      <c r="J86" s="249" t="s">
        <v>153</v>
      </c>
      <c r="K86" s="249"/>
      <c r="L86" s="249"/>
      <c r="M86" s="28"/>
    </row>
    <row r="87" spans="4:13" ht="12.75">
      <c r="D87" s="27"/>
      <c r="E87" s="28"/>
      <c r="F87" s="28"/>
      <c r="G87" s="178"/>
      <c r="H87" s="28"/>
      <c r="I87" s="141"/>
      <c r="J87" s="141" t="s">
        <v>156</v>
      </c>
      <c r="K87" s="141"/>
      <c r="L87" s="28"/>
      <c r="M87" s="28"/>
    </row>
    <row r="88" spans="4:13" ht="12.75">
      <c r="D88" s="27"/>
      <c r="E88" s="28"/>
      <c r="F88" s="28"/>
      <c r="G88" s="178"/>
      <c r="H88" s="28"/>
      <c r="I88" s="141"/>
      <c r="J88" s="141" t="s">
        <v>154</v>
      </c>
      <c r="K88" s="141"/>
      <c r="L88" s="28"/>
      <c r="M88" s="28"/>
    </row>
    <row r="89" spans="4:13" ht="12.75">
      <c r="D89" s="27"/>
      <c r="E89" s="28"/>
      <c r="F89" s="28"/>
      <c r="G89" s="178"/>
      <c r="H89" s="28"/>
      <c r="I89" s="28"/>
      <c r="J89" s="28"/>
      <c r="K89" s="178"/>
      <c r="L89" s="28"/>
      <c r="M89" s="28"/>
    </row>
    <row r="90" spans="2:13" ht="12.75">
      <c r="B90" s="246"/>
      <c r="C90" s="246"/>
      <c r="D90" s="27"/>
      <c r="E90" s="28"/>
      <c r="F90" s="28"/>
      <c r="G90" s="178"/>
      <c r="H90" s="28"/>
      <c r="I90" s="28"/>
      <c r="J90" s="28"/>
      <c r="K90" s="178"/>
      <c r="L90" s="28"/>
      <c r="M90" s="28"/>
    </row>
    <row r="91" spans="2:13" ht="12.75">
      <c r="B91" s="248"/>
      <c r="C91" s="248"/>
      <c r="D91" s="27"/>
      <c r="E91" s="28"/>
      <c r="F91" s="28"/>
      <c r="G91" s="178"/>
      <c r="H91" s="28"/>
      <c r="I91" s="28"/>
      <c r="J91" s="28"/>
      <c r="K91" s="178"/>
      <c r="L91" s="28"/>
      <c r="M91" s="28"/>
    </row>
    <row r="92" spans="2:13" ht="12.75">
      <c r="B92" s="248"/>
      <c r="C92" s="248"/>
      <c r="D92" s="27"/>
      <c r="E92" s="28"/>
      <c r="F92" s="28"/>
      <c r="G92" s="178"/>
      <c r="H92" s="28"/>
      <c r="I92" s="28"/>
      <c r="J92" s="28"/>
      <c r="K92" s="178"/>
      <c r="L92" s="28"/>
      <c r="M92" s="28"/>
    </row>
    <row r="93" spans="4:13" ht="12.75">
      <c r="D93" s="27"/>
      <c r="E93" s="28"/>
      <c r="F93" s="28"/>
      <c r="G93" s="178"/>
      <c r="H93" s="28"/>
      <c r="I93" s="28"/>
      <c r="J93" s="28"/>
      <c r="K93" s="178"/>
      <c r="L93" s="28"/>
      <c r="M93" s="28"/>
    </row>
    <row r="94" spans="4:13" ht="12.75">
      <c r="D94" s="27"/>
      <c r="E94" s="28"/>
      <c r="F94" s="28"/>
      <c r="G94" s="178"/>
      <c r="H94" s="28"/>
      <c r="I94" s="28"/>
      <c r="J94" s="28"/>
      <c r="K94" s="178"/>
      <c r="L94" s="28"/>
      <c r="M94" s="28"/>
    </row>
    <row r="95" spans="4:13" ht="12.75">
      <c r="D95" s="27"/>
      <c r="E95" s="28"/>
      <c r="F95" s="28"/>
      <c r="G95" s="178"/>
      <c r="H95" s="28"/>
      <c r="I95" s="28"/>
      <c r="J95" s="28"/>
      <c r="K95" s="178"/>
      <c r="L95" s="28"/>
      <c r="M95" s="28"/>
    </row>
    <row r="96" spans="4:13" ht="12.75">
      <c r="D96" s="27"/>
      <c r="E96" s="28"/>
      <c r="F96" s="28"/>
      <c r="G96" s="178"/>
      <c r="H96" s="28"/>
      <c r="I96" s="28"/>
      <c r="J96" s="28"/>
      <c r="K96" s="178"/>
      <c r="L96" s="28"/>
      <c r="M96" s="28"/>
    </row>
  </sheetData>
  <sheetProtection/>
  <mergeCells count="14">
    <mergeCell ref="B84:C84"/>
    <mergeCell ref="B92:C92"/>
    <mergeCell ref="B91:C91"/>
    <mergeCell ref="B90:C90"/>
    <mergeCell ref="J86:L86"/>
    <mergeCell ref="L10:L11"/>
    <mergeCell ref="G10:G11"/>
    <mergeCell ref="K10:K11"/>
    <mergeCell ref="A1:M1"/>
    <mergeCell ref="D9:G9"/>
    <mergeCell ref="H9:K9"/>
    <mergeCell ref="A2:M2"/>
    <mergeCell ref="B82:C82"/>
    <mergeCell ref="B83:C83"/>
  </mergeCells>
  <printOptions/>
  <pageMargins left="0.03937007874015748" right="0.1968503937007874" top="0.31496062992125984" bottom="0.2755905511811024" header="0.2362204724409449" footer="0.2362204724409449"/>
  <pageSetup horizontalDpi="600" verticalDpi="600" orientation="landscape" paperSize="9" scale="70" r:id="rId3"/>
  <rowBreaks count="1" manualBreakCount="1">
    <brk id="4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M120"/>
  <sheetViews>
    <sheetView view="pageBreakPreview" zoomScale="80" zoomScaleNormal="70" zoomScaleSheetLayoutView="80" zoomScalePageLayoutView="0" workbookViewId="0" topLeftCell="C1">
      <selection activeCell="A1" sqref="A1:AM122"/>
    </sheetView>
  </sheetViews>
  <sheetFormatPr defaultColWidth="9.140625" defaultRowHeight="15"/>
  <cols>
    <col min="1" max="1" width="8.7109375" style="2" customWidth="1"/>
    <col min="2" max="2" width="43.00390625" style="2" customWidth="1"/>
    <col min="3" max="3" width="15.140625" style="2" customWidth="1"/>
    <col min="4" max="4" width="5.28125" style="2" customWidth="1"/>
    <col min="5" max="5" width="5.421875" style="2" customWidth="1"/>
    <col min="6" max="6" width="5.57421875" style="2" customWidth="1"/>
    <col min="7" max="7" width="5.00390625" style="2" customWidth="1"/>
    <col min="8" max="8" width="4.8515625" style="2" customWidth="1"/>
    <col min="9" max="9" width="5.00390625" style="2" customWidth="1"/>
    <col min="10" max="10" width="5.28125" style="2" customWidth="1"/>
    <col min="11" max="11" width="5.7109375" style="2" customWidth="1"/>
    <col min="12" max="12" width="5.00390625" style="2" customWidth="1"/>
    <col min="13" max="13" width="5.28125" style="2" customWidth="1"/>
    <col min="14" max="14" width="5.7109375" style="2" customWidth="1"/>
    <col min="15" max="15" width="5.28125" style="2" customWidth="1"/>
    <col min="16" max="16" width="5.57421875" style="2" bestFit="1" customWidth="1"/>
    <col min="17" max="17" width="5.28125" style="2" customWidth="1"/>
    <col min="18" max="26" width="5.57421875" style="2" bestFit="1" customWidth="1"/>
    <col min="27" max="27" width="5.140625" style="2" bestFit="1" customWidth="1"/>
    <col min="28" max="28" width="5.7109375" style="2" customWidth="1"/>
    <col min="29" max="29" width="5.57421875" style="2" bestFit="1" customWidth="1"/>
    <col min="30" max="30" width="5.28125" style="2" customWidth="1"/>
    <col min="31" max="31" width="4.57421875" style="2" customWidth="1"/>
    <col min="32" max="32" width="5.57421875" style="2" customWidth="1"/>
    <col min="33" max="34" width="4.57421875" style="2" customWidth="1"/>
    <col min="35" max="35" width="4.8515625" style="2" customWidth="1"/>
    <col min="36" max="36" width="5.140625" style="2" bestFit="1" customWidth="1"/>
    <col min="37" max="37" width="3.28125" style="2" customWidth="1"/>
    <col min="38" max="38" width="4.7109375" style="2" customWidth="1"/>
    <col min="39" max="39" width="2.421875" style="2" customWidth="1"/>
    <col min="40" max="54" width="3.00390625" style="2" customWidth="1"/>
    <col min="55" max="16384" width="9.140625" style="2" customWidth="1"/>
  </cols>
  <sheetData>
    <row r="1" spans="1:39" ht="15.75">
      <c r="A1" s="277" t="s">
        <v>155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</row>
    <row r="2" spans="1:39" ht="15.75">
      <c r="A2" s="277" t="s">
        <v>29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</row>
    <row r="3" spans="1:3" ht="12.75">
      <c r="A3" s="1"/>
      <c r="B3" s="1"/>
      <c r="C3" s="1"/>
    </row>
    <row r="4" spans="1:21" ht="15">
      <c r="A4" s="3"/>
      <c r="B4" s="3"/>
      <c r="C4" s="3"/>
      <c r="D4" s="134" t="s">
        <v>106</v>
      </c>
      <c r="E4" s="98"/>
      <c r="F4" s="98"/>
      <c r="G4" s="98"/>
      <c r="H4" s="98"/>
      <c r="I4" s="98"/>
      <c r="J4" s="98"/>
      <c r="K4" s="98"/>
      <c r="L4" s="98" t="s">
        <v>75</v>
      </c>
      <c r="M4" s="98" t="str">
        <f>nov!G4</f>
        <v>KECAMATAN KEBAKKRAMAT</v>
      </c>
      <c r="N4" s="98"/>
      <c r="O4" s="98"/>
      <c r="P4" s="98"/>
      <c r="U4" s="2" t="s">
        <v>84</v>
      </c>
    </row>
    <row r="5" spans="1:16" ht="15">
      <c r="A5" s="3"/>
      <c r="B5" s="3"/>
      <c r="C5" s="3"/>
      <c r="D5" s="134" t="s">
        <v>48</v>
      </c>
      <c r="E5" s="98"/>
      <c r="F5" s="98"/>
      <c r="G5" s="98"/>
      <c r="H5" s="98"/>
      <c r="I5" s="98"/>
      <c r="J5" s="98"/>
      <c r="K5" s="98"/>
      <c r="L5" s="98" t="s">
        <v>75</v>
      </c>
      <c r="M5" s="98" t="str">
        <f>nov!G5</f>
        <v>APBD</v>
      </c>
      <c r="N5" s="98"/>
      <c r="O5" s="98"/>
      <c r="P5" s="98"/>
    </row>
    <row r="6" spans="1:16" ht="15">
      <c r="A6" s="3"/>
      <c r="B6" s="3"/>
      <c r="C6" s="3"/>
      <c r="D6" s="134" t="s">
        <v>49</v>
      </c>
      <c r="E6" s="98"/>
      <c r="F6" s="98"/>
      <c r="G6" s="98"/>
      <c r="H6" s="98"/>
      <c r="I6" s="98"/>
      <c r="J6" s="98"/>
      <c r="K6" s="98"/>
      <c r="L6" s="98" t="s">
        <v>75</v>
      </c>
      <c r="M6" s="274" t="str">
        <f>nov!G6</f>
        <v>2022</v>
      </c>
      <c r="N6" s="274"/>
      <c r="O6" s="274"/>
      <c r="P6" s="99"/>
    </row>
    <row r="7" spans="1:16" ht="15">
      <c r="A7" s="3"/>
      <c r="B7" s="3"/>
      <c r="C7" s="3"/>
      <c r="D7" s="134" t="s">
        <v>78</v>
      </c>
      <c r="E7" s="98"/>
      <c r="F7" s="98"/>
      <c r="G7" s="98"/>
      <c r="H7" s="98"/>
      <c r="I7" s="98"/>
      <c r="J7" s="98"/>
      <c r="K7" s="98"/>
      <c r="L7" s="98" t="s">
        <v>75</v>
      </c>
      <c r="M7" s="98" t="str">
        <f>nov!G7</f>
        <v>NOVEMBER</v>
      </c>
      <c r="N7" s="98"/>
      <c r="O7" s="98"/>
      <c r="P7" s="98"/>
    </row>
    <row r="9" spans="1:39" ht="12.75">
      <c r="A9" s="6"/>
      <c r="B9" s="6" t="s">
        <v>17</v>
      </c>
      <c r="C9" s="6" t="s">
        <v>18</v>
      </c>
      <c r="D9" s="262" t="s">
        <v>62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4"/>
    </row>
    <row r="10" spans="1:39" ht="12.75" customHeight="1">
      <c r="A10" s="8" t="s">
        <v>1</v>
      </c>
      <c r="B10" s="250" t="s">
        <v>3</v>
      </c>
      <c r="C10" s="100" t="s">
        <v>5</v>
      </c>
      <c r="D10" s="265" t="s">
        <v>63</v>
      </c>
      <c r="E10" s="266"/>
      <c r="F10" s="267"/>
      <c r="G10" s="265" t="s">
        <v>64</v>
      </c>
      <c r="H10" s="266"/>
      <c r="I10" s="267"/>
      <c r="J10" s="265" t="s">
        <v>65</v>
      </c>
      <c r="K10" s="266"/>
      <c r="L10" s="267"/>
      <c r="M10" s="265" t="s">
        <v>66</v>
      </c>
      <c r="N10" s="266"/>
      <c r="O10" s="267"/>
      <c r="P10" s="265" t="s">
        <v>67</v>
      </c>
      <c r="Q10" s="266"/>
      <c r="R10" s="267"/>
      <c r="S10" s="265" t="s">
        <v>68</v>
      </c>
      <c r="T10" s="266"/>
      <c r="U10" s="267"/>
      <c r="V10" s="265" t="s">
        <v>69</v>
      </c>
      <c r="W10" s="266"/>
      <c r="X10" s="267"/>
      <c r="Y10" s="265" t="s">
        <v>70</v>
      </c>
      <c r="Z10" s="266"/>
      <c r="AA10" s="267"/>
      <c r="AB10" s="265" t="s">
        <v>71</v>
      </c>
      <c r="AC10" s="266"/>
      <c r="AD10" s="267"/>
      <c r="AE10" s="265" t="s">
        <v>72</v>
      </c>
      <c r="AF10" s="266"/>
      <c r="AG10" s="267"/>
      <c r="AH10" s="265" t="s">
        <v>73</v>
      </c>
      <c r="AI10" s="266"/>
      <c r="AJ10" s="267"/>
      <c r="AK10" s="278" t="s">
        <v>74</v>
      </c>
      <c r="AL10" s="279"/>
      <c r="AM10" s="280"/>
    </row>
    <row r="11" spans="1:39" ht="12.75" customHeight="1">
      <c r="A11" s="8"/>
      <c r="B11" s="251"/>
      <c r="C11" s="100" t="s">
        <v>6</v>
      </c>
      <c r="D11" s="268"/>
      <c r="E11" s="269"/>
      <c r="F11" s="270"/>
      <c r="G11" s="268"/>
      <c r="H11" s="269"/>
      <c r="I11" s="270"/>
      <c r="J11" s="268"/>
      <c r="K11" s="269"/>
      <c r="L11" s="270"/>
      <c r="M11" s="268"/>
      <c r="N11" s="269"/>
      <c r="O11" s="270"/>
      <c r="P11" s="268"/>
      <c r="Q11" s="269"/>
      <c r="R11" s="270"/>
      <c r="S11" s="268"/>
      <c r="T11" s="269"/>
      <c r="U11" s="270"/>
      <c r="V11" s="268"/>
      <c r="W11" s="269"/>
      <c r="X11" s="270"/>
      <c r="Y11" s="268"/>
      <c r="Z11" s="269"/>
      <c r="AA11" s="270"/>
      <c r="AB11" s="268"/>
      <c r="AC11" s="269"/>
      <c r="AD11" s="270"/>
      <c r="AE11" s="268"/>
      <c r="AF11" s="269"/>
      <c r="AG11" s="270"/>
      <c r="AH11" s="268"/>
      <c r="AI11" s="269"/>
      <c r="AJ11" s="270"/>
      <c r="AK11" s="268"/>
      <c r="AL11" s="269"/>
      <c r="AM11" s="270"/>
    </row>
    <row r="12" spans="1:39" s="10" customFormat="1" ht="12.75">
      <c r="A12" s="7">
        <v>1</v>
      </c>
      <c r="B12" s="7">
        <v>2</v>
      </c>
      <c r="C12" s="7">
        <v>3</v>
      </c>
      <c r="D12" s="262">
        <v>4</v>
      </c>
      <c r="E12" s="263"/>
      <c r="F12" s="264"/>
      <c r="G12" s="262">
        <v>5</v>
      </c>
      <c r="H12" s="263"/>
      <c r="I12" s="264"/>
      <c r="J12" s="262">
        <v>6</v>
      </c>
      <c r="K12" s="263"/>
      <c r="L12" s="264"/>
      <c r="M12" s="262">
        <v>7</v>
      </c>
      <c r="N12" s="263"/>
      <c r="O12" s="264"/>
      <c r="P12" s="262">
        <v>8</v>
      </c>
      <c r="Q12" s="263"/>
      <c r="R12" s="264"/>
      <c r="S12" s="262">
        <v>9</v>
      </c>
      <c r="T12" s="263"/>
      <c r="U12" s="264"/>
      <c r="V12" s="262">
        <v>10</v>
      </c>
      <c r="W12" s="263"/>
      <c r="X12" s="264"/>
      <c r="Y12" s="262">
        <v>11</v>
      </c>
      <c r="Z12" s="263"/>
      <c r="AA12" s="264"/>
      <c r="AB12" s="262">
        <v>12</v>
      </c>
      <c r="AC12" s="263"/>
      <c r="AD12" s="264"/>
      <c r="AE12" s="262">
        <v>13</v>
      </c>
      <c r="AF12" s="263"/>
      <c r="AG12" s="264"/>
      <c r="AH12" s="262">
        <v>14</v>
      </c>
      <c r="AI12" s="263"/>
      <c r="AJ12" s="264"/>
      <c r="AK12" s="262">
        <v>15</v>
      </c>
      <c r="AL12" s="263"/>
      <c r="AM12" s="264"/>
    </row>
    <row r="13" spans="1:39" ht="3.75" customHeight="1">
      <c r="A13" s="11"/>
      <c r="B13" s="12"/>
      <c r="C13" s="12"/>
      <c r="AK13" s="196"/>
      <c r="AL13" s="197"/>
      <c r="AM13" s="197"/>
    </row>
    <row r="14" spans="1:39" s="120" customFormat="1" ht="14.25" customHeight="1">
      <c r="A14" s="118">
        <v>1</v>
      </c>
      <c r="B14" s="257" t="str">
        <f>nov!B14</f>
        <v>Penyediaan Gaji dan Tunjangan ASN</v>
      </c>
      <c r="C14" s="119">
        <f>nov!C14</f>
        <v>1757908000</v>
      </c>
      <c r="D14" s="201"/>
      <c r="E14" s="202">
        <f>151644083*1/$C$14*100</f>
        <v>8.626394726003864</v>
      </c>
      <c r="F14" s="203"/>
      <c r="G14" s="204"/>
      <c r="H14" s="202">
        <f>151644083*2/$C$14*100</f>
        <v>17.25278945200773</v>
      </c>
      <c r="I14" s="205"/>
      <c r="J14" s="204"/>
      <c r="K14" s="202">
        <f>151644083*3/$C$14*100</f>
        <v>25.879184178011588</v>
      </c>
      <c r="L14" s="205"/>
      <c r="M14" s="204"/>
      <c r="N14" s="202">
        <f>151644083*4/$C$14*100</f>
        <v>34.50557890401546</v>
      </c>
      <c r="O14" s="205"/>
      <c r="P14" s="204"/>
      <c r="Q14" s="202">
        <f>151644083*5/$C$14*100</f>
        <v>43.13197363001932</v>
      </c>
      <c r="R14" s="205"/>
      <c r="S14" s="204"/>
      <c r="T14" s="202">
        <f>151644083*6/$C$14*100</f>
        <v>51.758368356023176</v>
      </c>
      <c r="U14" s="205"/>
      <c r="V14" s="204"/>
      <c r="W14" s="202">
        <f>151644083*7/$C$14*100</f>
        <v>60.38476308202705</v>
      </c>
      <c r="X14" s="205"/>
      <c r="Y14" s="204"/>
      <c r="Z14" s="202">
        <f>151644083*8/$C$14*100</f>
        <v>69.01115780803092</v>
      </c>
      <c r="AA14" s="205"/>
      <c r="AB14" s="204"/>
      <c r="AC14" s="202">
        <f>151644083*9/$C$14*100</f>
        <v>77.63755253403477</v>
      </c>
      <c r="AD14" s="205"/>
      <c r="AE14" s="204"/>
      <c r="AF14" s="202">
        <f>151644083*10/$C$14*100</f>
        <v>86.26394726003863</v>
      </c>
      <c r="AG14" s="205"/>
      <c r="AH14" s="204"/>
      <c r="AI14" s="202">
        <f>151644083*11/$C$14*100</f>
        <v>94.8903419860425</v>
      </c>
      <c r="AJ14" s="205"/>
      <c r="AK14" s="204"/>
      <c r="AL14" s="202">
        <f>151644083*12/$C$14*100</f>
        <v>103.51673671204635</v>
      </c>
      <c r="AM14" s="206"/>
    </row>
    <row r="15" spans="1:39" s="120" customFormat="1" ht="14.25" customHeight="1">
      <c r="A15" s="121"/>
      <c r="B15" s="258"/>
      <c r="C15" s="122"/>
      <c r="D15" s="207">
        <v>4</v>
      </c>
      <c r="E15" s="208"/>
      <c r="F15" s="209">
        <f>D15</f>
        <v>4</v>
      </c>
      <c r="G15" s="207">
        <v>11</v>
      </c>
      <c r="H15" s="208"/>
      <c r="I15" s="209">
        <f>G15</f>
        <v>11</v>
      </c>
      <c r="J15" s="207">
        <v>15</v>
      </c>
      <c r="K15" s="208"/>
      <c r="L15" s="209">
        <f>J15</f>
        <v>15</v>
      </c>
      <c r="M15" s="207">
        <v>31</v>
      </c>
      <c r="N15" s="208"/>
      <c r="O15" s="209">
        <f>M15</f>
        <v>31</v>
      </c>
      <c r="P15" s="207">
        <v>38</v>
      </c>
      <c r="Q15" s="208"/>
      <c r="R15" s="209">
        <f>P15</f>
        <v>38</v>
      </c>
      <c r="S15" s="207">
        <v>46</v>
      </c>
      <c r="T15" s="208"/>
      <c r="U15" s="209">
        <f>S15</f>
        <v>46</v>
      </c>
      <c r="V15" s="207">
        <v>52</v>
      </c>
      <c r="W15" s="208"/>
      <c r="X15" s="209">
        <f>V15</f>
        <v>52</v>
      </c>
      <c r="Y15" s="207">
        <v>58</v>
      </c>
      <c r="Z15" s="208"/>
      <c r="AA15" s="209">
        <f>Y15</f>
        <v>58</v>
      </c>
      <c r="AB15" s="207">
        <v>61</v>
      </c>
      <c r="AC15" s="208"/>
      <c r="AD15" s="209">
        <f>AB15</f>
        <v>61</v>
      </c>
      <c r="AE15" s="207">
        <v>73</v>
      </c>
      <c r="AF15" s="208"/>
      <c r="AG15" s="209">
        <f>AE15</f>
        <v>73</v>
      </c>
      <c r="AH15" s="207">
        <v>79</v>
      </c>
      <c r="AI15" s="208"/>
      <c r="AJ15" s="209">
        <f>AH15</f>
        <v>79</v>
      </c>
      <c r="AK15" s="207">
        <v>0</v>
      </c>
      <c r="AL15" s="208"/>
      <c r="AM15" s="209">
        <f>AK15</f>
        <v>0</v>
      </c>
    </row>
    <row r="16" spans="1:39" s="120" customFormat="1" ht="14.25" customHeight="1">
      <c r="A16" s="123"/>
      <c r="B16" s="259"/>
      <c r="C16" s="124"/>
      <c r="D16" s="210"/>
      <c r="E16" s="211">
        <f>F15</f>
        <v>4</v>
      </c>
      <c r="F16" s="212"/>
      <c r="G16" s="210"/>
      <c r="H16" s="211">
        <f>I15</f>
        <v>11</v>
      </c>
      <c r="I16" s="212"/>
      <c r="J16" s="210"/>
      <c r="K16" s="211">
        <f>L15</f>
        <v>15</v>
      </c>
      <c r="L16" s="212"/>
      <c r="M16" s="210"/>
      <c r="N16" s="211">
        <f>O15</f>
        <v>31</v>
      </c>
      <c r="O16" s="212"/>
      <c r="P16" s="210"/>
      <c r="Q16" s="211">
        <f>R15</f>
        <v>38</v>
      </c>
      <c r="R16" s="212"/>
      <c r="S16" s="210"/>
      <c r="T16" s="211">
        <f>U15</f>
        <v>46</v>
      </c>
      <c r="U16" s="212"/>
      <c r="V16" s="210"/>
      <c r="W16" s="211">
        <f>X15</f>
        <v>52</v>
      </c>
      <c r="X16" s="212"/>
      <c r="Y16" s="210"/>
      <c r="Z16" s="211">
        <f>AA15</f>
        <v>58</v>
      </c>
      <c r="AA16" s="212"/>
      <c r="AB16" s="210"/>
      <c r="AC16" s="211">
        <f>AD15</f>
        <v>61</v>
      </c>
      <c r="AD16" s="212"/>
      <c r="AE16" s="210"/>
      <c r="AF16" s="211">
        <f>AG15</f>
        <v>73</v>
      </c>
      <c r="AG16" s="212"/>
      <c r="AH16" s="210"/>
      <c r="AI16" s="211">
        <f>AJ15</f>
        <v>79</v>
      </c>
      <c r="AJ16" s="212"/>
      <c r="AK16" s="210"/>
      <c r="AL16" s="211">
        <f>AM15</f>
        <v>0</v>
      </c>
      <c r="AM16" s="212"/>
    </row>
    <row r="17" spans="1:39" ht="14.25" customHeight="1">
      <c r="A17" s="33">
        <v>2</v>
      </c>
      <c r="B17" s="254" t="str">
        <f>nov!B16</f>
        <v>Penyusunan Pelaporan dan Analis Prognosis Realisasi Anggaran</v>
      </c>
      <c r="C17" s="101">
        <f>nov!C16</f>
        <v>4000000</v>
      </c>
      <c r="D17" s="213"/>
      <c r="E17" s="214">
        <f>2000000*1/$C$17*100</f>
        <v>50</v>
      </c>
      <c r="F17" s="215"/>
      <c r="G17" s="216"/>
      <c r="H17" s="214">
        <f>2000000/$C$17*100</f>
        <v>50</v>
      </c>
      <c r="I17" s="217"/>
      <c r="J17" s="216"/>
      <c r="K17" s="214">
        <f>2000000/$C$17*100</f>
        <v>50</v>
      </c>
      <c r="L17" s="217"/>
      <c r="M17" s="216"/>
      <c r="N17" s="214">
        <f>2000000/$C$17*100</f>
        <v>50</v>
      </c>
      <c r="O17" s="217"/>
      <c r="P17" s="216"/>
      <c r="Q17" s="214">
        <f>2448900/$C$17*100</f>
        <v>61.222500000000004</v>
      </c>
      <c r="R17" s="217"/>
      <c r="S17" s="216"/>
      <c r="T17" s="214">
        <f>2448900/$C$17*100</f>
        <v>61.222500000000004</v>
      </c>
      <c r="U17" s="217"/>
      <c r="V17" s="216"/>
      <c r="W17" s="214">
        <f>2448900/$C$17*100</f>
        <v>61.222500000000004</v>
      </c>
      <c r="X17" s="217"/>
      <c r="Y17" s="216"/>
      <c r="Z17" s="214">
        <f>2448900/$C$17*100</f>
        <v>61.222500000000004</v>
      </c>
      <c r="AA17" s="217"/>
      <c r="AB17" s="216"/>
      <c r="AC17" s="214">
        <f>4000000/$C$17*100</f>
        <v>100</v>
      </c>
      <c r="AD17" s="217"/>
      <c r="AE17" s="216"/>
      <c r="AF17" s="214">
        <f>4000000/$C$17*100</f>
        <v>100</v>
      </c>
      <c r="AG17" s="217"/>
      <c r="AH17" s="216"/>
      <c r="AI17" s="214">
        <f>4000000/$C$17*100</f>
        <v>100</v>
      </c>
      <c r="AJ17" s="218"/>
      <c r="AK17" s="219"/>
      <c r="AL17" s="214">
        <f>4000000/$C$17*100</f>
        <v>100</v>
      </c>
      <c r="AM17" s="220"/>
    </row>
    <row r="18" spans="1:39" ht="14.25" customHeight="1">
      <c r="A18" s="11"/>
      <c r="B18" s="260"/>
      <c r="C18" s="102"/>
      <c r="D18" s="221">
        <v>0</v>
      </c>
      <c r="E18" s="222"/>
      <c r="F18" s="223">
        <f>D18</f>
        <v>0</v>
      </c>
      <c r="G18" s="221">
        <v>25</v>
      </c>
      <c r="H18" s="222"/>
      <c r="I18" s="223">
        <f>G18</f>
        <v>25</v>
      </c>
      <c r="J18" s="221">
        <v>25</v>
      </c>
      <c r="K18" s="222"/>
      <c r="L18" s="223">
        <f>J18</f>
        <v>25</v>
      </c>
      <c r="M18" s="221">
        <v>25</v>
      </c>
      <c r="N18" s="222"/>
      <c r="O18" s="223">
        <f>M18</f>
        <v>25</v>
      </c>
      <c r="P18" s="221">
        <v>25</v>
      </c>
      <c r="Q18" s="222"/>
      <c r="R18" s="223">
        <f>P18</f>
        <v>25</v>
      </c>
      <c r="S18" s="221">
        <v>25</v>
      </c>
      <c r="T18" s="222"/>
      <c r="U18" s="223">
        <f>S18</f>
        <v>25</v>
      </c>
      <c r="V18" s="221">
        <v>68</v>
      </c>
      <c r="W18" s="222"/>
      <c r="X18" s="223">
        <f>V18</f>
        <v>68</v>
      </c>
      <c r="Y18" s="221">
        <v>68</v>
      </c>
      <c r="Z18" s="222"/>
      <c r="AA18" s="223">
        <f>Y18</f>
        <v>68</v>
      </c>
      <c r="AB18" s="221">
        <v>74</v>
      </c>
      <c r="AC18" s="222"/>
      <c r="AD18" s="223">
        <f>AB18</f>
        <v>74</v>
      </c>
      <c r="AE18" s="221">
        <v>74</v>
      </c>
      <c r="AF18" s="222"/>
      <c r="AG18" s="223">
        <f>AE18</f>
        <v>74</v>
      </c>
      <c r="AH18" s="221">
        <v>100</v>
      </c>
      <c r="AI18" s="222"/>
      <c r="AJ18" s="223">
        <f>AH18</f>
        <v>100</v>
      </c>
      <c r="AK18" s="221">
        <v>0</v>
      </c>
      <c r="AL18" s="222"/>
      <c r="AM18" s="224">
        <f>AK18</f>
        <v>0</v>
      </c>
    </row>
    <row r="19" spans="1:39" ht="14.25" customHeight="1">
      <c r="A19" s="36"/>
      <c r="B19" s="261"/>
      <c r="C19" s="103"/>
      <c r="D19" s="225"/>
      <c r="E19" s="226">
        <f>F18</f>
        <v>0</v>
      </c>
      <c r="F19" s="227"/>
      <c r="G19" s="225"/>
      <c r="H19" s="226">
        <f>I18</f>
        <v>25</v>
      </c>
      <c r="I19" s="227"/>
      <c r="J19" s="225"/>
      <c r="K19" s="226">
        <f>L18</f>
        <v>25</v>
      </c>
      <c r="L19" s="227"/>
      <c r="M19" s="225"/>
      <c r="N19" s="226">
        <f>O18</f>
        <v>25</v>
      </c>
      <c r="O19" s="227"/>
      <c r="P19" s="225"/>
      <c r="Q19" s="226">
        <f>R18</f>
        <v>25</v>
      </c>
      <c r="R19" s="227"/>
      <c r="S19" s="225"/>
      <c r="T19" s="226">
        <f>U18</f>
        <v>25</v>
      </c>
      <c r="U19" s="227"/>
      <c r="V19" s="225"/>
      <c r="W19" s="226">
        <f>X18</f>
        <v>68</v>
      </c>
      <c r="X19" s="227"/>
      <c r="Y19" s="225"/>
      <c r="Z19" s="226">
        <f>AA18</f>
        <v>68</v>
      </c>
      <c r="AA19" s="227"/>
      <c r="AB19" s="225"/>
      <c r="AC19" s="226">
        <f>AD18</f>
        <v>74</v>
      </c>
      <c r="AD19" s="227"/>
      <c r="AE19" s="225"/>
      <c r="AF19" s="226">
        <f>AG18</f>
        <v>74</v>
      </c>
      <c r="AG19" s="227"/>
      <c r="AH19" s="225"/>
      <c r="AI19" s="226">
        <f>AJ18</f>
        <v>100</v>
      </c>
      <c r="AJ19" s="227"/>
      <c r="AK19" s="225"/>
      <c r="AL19" s="226">
        <f>AM18</f>
        <v>0</v>
      </c>
      <c r="AM19" s="228"/>
    </row>
    <row r="20" spans="1:39" s="120" customFormat="1" ht="14.25" customHeight="1">
      <c r="A20" s="118">
        <v>3</v>
      </c>
      <c r="B20" s="257" t="str">
        <f>nov!B18</f>
        <v>Penyediaan Peralatan dan Perlengkapan Kantor</v>
      </c>
      <c r="C20" s="125">
        <f>nov!C18</f>
        <v>31131300</v>
      </c>
      <c r="D20" s="201"/>
      <c r="E20" s="202">
        <f>2594275*1/$C$20*100</f>
        <v>8.333333333333332</v>
      </c>
      <c r="F20" s="203"/>
      <c r="G20" s="204"/>
      <c r="H20" s="202">
        <f>2594275*2/$C$20*100</f>
        <v>16.666666666666664</v>
      </c>
      <c r="I20" s="205"/>
      <c r="J20" s="204"/>
      <c r="K20" s="202">
        <f>2594275*3/$C$20*100</f>
        <v>25</v>
      </c>
      <c r="L20" s="205"/>
      <c r="M20" s="204"/>
      <c r="N20" s="202">
        <f>2594275*4/$C$20*100</f>
        <v>33.33333333333333</v>
      </c>
      <c r="O20" s="205"/>
      <c r="P20" s="204"/>
      <c r="Q20" s="202">
        <f>2594275*5/$C$20*100</f>
        <v>41.66666666666667</v>
      </c>
      <c r="R20" s="205"/>
      <c r="S20" s="204"/>
      <c r="T20" s="202">
        <f>2594275*6/$C$20*100</f>
        <v>50</v>
      </c>
      <c r="U20" s="205"/>
      <c r="V20" s="204"/>
      <c r="W20" s="202">
        <f>2594275*7/$C$20*100</f>
        <v>58.333333333333336</v>
      </c>
      <c r="X20" s="205"/>
      <c r="Y20" s="204"/>
      <c r="Z20" s="202">
        <f>2594275*8/$C$20*100</f>
        <v>66.66666666666666</v>
      </c>
      <c r="AA20" s="205"/>
      <c r="AB20" s="204"/>
      <c r="AC20" s="229">
        <f>2594275*9/$C$20*100</f>
        <v>75</v>
      </c>
      <c r="AD20" s="205"/>
      <c r="AE20" s="204"/>
      <c r="AF20" s="229">
        <f>2594275*10/$C$20*100</f>
        <v>83.33333333333334</v>
      </c>
      <c r="AG20" s="205"/>
      <c r="AH20" s="204"/>
      <c r="AI20" s="229">
        <f>2594275*11/$C$20*100</f>
        <v>91.66666666666666</v>
      </c>
      <c r="AJ20" s="205"/>
      <c r="AK20" s="204"/>
      <c r="AL20" s="229">
        <f>2594275*12/$C$20*100</f>
        <v>100</v>
      </c>
      <c r="AM20" s="206"/>
    </row>
    <row r="21" spans="1:39" s="120" customFormat="1" ht="14.25" customHeight="1">
      <c r="A21" s="121"/>
      <c r="B21" s="258"/>
      <c r="C21" s="126"/>
      <c r="D21" s="207">
        <v>0</v>
      </c>
      <c r="E21" s="208"/>
      <c r="F21" s="209">
        <f>D21</f>
        <v>0</v>
      </c>
      <c r="G21" s="207">
        <v>10</v>
      </c>
      <c r="H21" s="208"/>
      <c r="I21" s="209">
        <f>G21</f>
        <v>10</v>
      </c>
      <c r="J21" s="207">
        <v>22</v>
      </c>
      <c r="K21" s="208"/>
      <c r="L21" s="209">
        <f>J21</f>
        <v>22</v>
      </c>
      <c r="M21" s="207">
        <v>27</v>
      </c>
      <c r="N21" s="208"/>
      <c r="O21" s="209">
        <f>M21</f>
        <v>27</v>
      </c>
      <c r="P21" s="207">
        <v>0</v>
      </c>
      <c r="Q21" s="208"/>
      <c r="R21" s="209">
        <f>P21</f>
        <v>0</v>
      </c>
      <c r="S21" s="207">
        <v>0</v>
      </c>
      <c r="T21" s="208"/>
      <c r="U21" s="209">
        <f>S21</f>
        <v>0</v>
      </c>
      <c r="V21" s="207">
        <v>0</v>
      </c>
      <c r="W21" s="208"/>
      <c r="X21" s="209">
        <f>V21</f>
        <v>0</v>
      </c>
      <c r="Y21" s="207">
        <v>67</v>
      </c>
      <c r="Z21" s="208"/>
      <c r="AA21" s="209">
        <f>Y21</f>
        <v>67</v>
      </c>
      <c r="AB21" s="207">
        <v>72</v>
      </c>
      <c r="AC21" s="208"/>
      <c r="AD21" s="209">
        <f>AB21</f>
        <v>72</v>
      </c>
      <c r="AE21" s="207">
        <v>72</v>
      </c>
      <c r="AF21" s="208"/>
      <c r="AG21" s="209">
        <f>AE21</f>
        <v>72</v>
      </c>
      <c r="AH21" s="207">
        <v>97</v>
      </c>
      <c r="AI21" s="208"/>
      <c r="AJ21" s="209">
        <f>AH21</f>
        <v>97</v>
      </c>
      <c r="AK21" s="207">
        <v>0</v>
      </c>
      <c r="AL21" s="208"/>
      <c r="AM21" s="230">
        <f>AK21</f>
        <v>0</v>
      </c>
    </row>
    <row r="22" spans="1:39" s="120" customFormat="1" ht="14.25" customHeight="1">
      <c r="A22" s="123"/>
      <c r="B22" s="259"/>
      <c r="C22" s="127"/>
      <c r="D22" s="210"/>
      <c r="E22" s="211">
        <f>F21</f>
        <v>0</v>
      </c>
      <c r="F22" s="212"/>
      <c r="G22" s="210"/>
      <c r="H22" s="211">
        <f>I21</f>
        <v>10</v>
      </c>
      <c r="I22" s="212"/>
      <c r="J22" s="210"/>
      <c r="K22" s="211">
        <f>L21</f>
        <v>22</v>
      </c>
      <c r="L22" s="212"/>
      <c r="M22" s="210"/>
      <c r="N22" s="211">
        <f>O21</f>
        <v>27</v>
      </c>
      <c r="O22" s="212"/>
      <c r="P22" s="210"/>
      <c r="Q22" s="211">
        <f>R21</f>
        <v>0</v>
      </c>
      <c r="R22" s="212"/>
      <c r="S22" s="210"/>
      <c r="T22" s="211">
        <f>U21</f>
        <v>0</v>
      </c>
      <c r="U22" s="212"/>
      <c r="V22" s="210"/>
      <c r="W22" s="211">
        <f>X21</f>
        <v>0</v>
      </c>
      <c r="X22" s="212"/>
      <c r="Y22" s="210"/>
      <c r="Z22" s="211">
        <f>AA21</f>
        <v>67</v>
      </c>
      <c r="AA22" s="212"/>
      <c r="AB22" s="210"/>
      <c r="AC22" s="211">
        <f>AD21</f>
        <v>72</v>
      </c>
      <c r="AD22" s="212"/>
      <c r="AE22" s="210"/>
      <c r="AF22" s="211">
        <f>AG21</f>
        <v>72</v>
      </c>
      <c r="AG22" s="212"/>
      <c r="AH22" s="210"/>
      <c r="AI22" s="211">
        <f>AJ21</f>
        <v>97</v>
      </c>
      <c r="AJ22" s="212"/>
      <c r="AK22" s="210"/>
      <c r="AL22" s="211">
        <f>AM21</f>
        <v>0</v>
      </c>
      <c r="AM22" s="231"/>
    </row>
    <row r="23" spans="1:39" ht="14.25" customHeight="1">
      <c r="A23" s="33">
        <v>4</v>
      </c>
      <c r="B23" s="254" t="str">
        <f>nov!B20</f>
        <v>Penyediaan Peralatan Rumah Tangga</v>
      </c>
      <c r="C23" s="34">
        <f>nov!C20</f>
        <v>1276000</v>
      </c>
      <c r="D23" s="213"/>
      <c r="E23" s="214">
        <v>0</v>
      </c>
      <c r="F23" s="215"/>
      <c r="G23" s="216"/>
      <c r="H23" s="214">
        <v>0</v>
      </c>
      <c r="I23" s="217"/>
      <c r="J23" s="216"/>
      <c r="K23" s="214">
        <v>50</v>
      </c>
      <c r="L23" s="217"/>
      <c r="M23" s="216"/>
      <c r="N23" s="214">
        <v>50</v>
      </c>
      <c r="O23" s="217"/>
      <c r="P23" s="216"/>
      <c r="Q23" s="214">
        <v>50</v>
      </c>
      <c r="R23" s="217"/>
      <c r="S23" s="216"/>
      <c r="T23" s="214">
        <v>50</v>
      </c>
      <c r="U23" s="217"/>
      <c r="V23" s="216"/>
      <c r="W23" s="214">
        <v>50</v>
      </c>
      <c r="X23" s="217"/>
      <c r="Y23" s="216"/>
      <c r="Z23" s="214">
        <v>50</v>
      </c>
      <c r="AA23" s="217"/>
      <c r="AB23" s="216"/>
      <c r="AC23" s="214">
        <v>100</v>
      </c>
      <c r="AD23" s="217"/>
      <c r="AE23" s="216"/>
      <c r="AF23" s="214">
        <v>100</v>
      </c>
      <c r="AG23" s="217"/>
      <c r="AH23" s="216"/>
      <c r="AI23" s="214">
        <v>100</v>
      </c>
      <c r="AJ23" s="217"/>
      <c r="AK23" s="216"/>
      <c r="AL23" s="214">
        <v>100</v>
      </c>
      <c r="AM23" s="232"/>
    </row>
    <row r="24" spans="1:39" ht="14.25" customHeight="1">
      <c r="A24" s="11"/>
      <c r="B24" s="260"/>
      <c r="C24" s="12"/>
      <c r="D24" s="221">
        <v>0</v>
      </c>
      <c r="E24" s="222"/>
      <c r="F24" s="223">
        <f>D24</f>
        <v>0</v>
      </c>
      <c r="G24" s="221">
        <v>0</v>
      </c>
      <c r="H24" s="222"/>
      <c r="I24" s="223">
        <f>G24</f>
        <v>0</v>
      </c>
      <c r="J24" s="221">
        <v>48</v>
      </c>
      <c r="K24" s="222"/>
      <c r="L24" s="223">
        <f>J24</f>
        <v>48</v>
      </c>
      <c r="M24" s="221">
        <v>48</v>
      </c>
      <c r="N24" s="222"/>
      <c r="O24" s="223">
        <f>M24</f>
        <v>48</v>
      </c>
      <c r="P24" s="221">
        <v>61</v>
      </c>
      <c r="Q24" s="222"/>
      <c r="R24" s="223">
        <f>P24</f>
        <v>61</v>
      </c>
      <c r="S24" s="221">
        <v>61</v>
      </c>
      <c r="T24" s="222"/>
      <c r="U24" s="223">
        <f>S24</f>
        <v>61</v>
      </c>
      <c r="V24" s="221">
        <v>61</v>
      </c>
      <c r="W24" s="222"/>
      <c r="X24" s="223">
        <f>V24</f>
        <v>61</v>
      </c>
      <c r="Y24" s="221">
        <v>61</v>
      </c>
      <c r="Z24" s="222"/>
      <c r="AA24" s="223">
        <f>Y24</f>
        <v>61</v>
      </c>
      <c r="AB24" s="221">
        <v>61</v>
      </c>
      <c r="AC24" s="222"/>
      <c r="AD24" s="223">
        <f>AB24</f>
        <v>61</v>
      </c>
      <c r="AE24" s="221">
        <v>100</v>
      </c>
      <c r="AF24" s="222"/>
      <c r="AG24" s="223">
        <f>AE24</f>
        <v>100</v>
      </c>
      <c r="AH24" s="221">
        <v>100</v>
      </c>
      <c r="AI24" s="222"/>
      <c r="AJ24" s="223">
        <f>AH24</f>
        <v>100</v>
      </c>
      <c r="AK24" s="221">
        <v>0</v>
      </c>
      <c r="AL24" s="222"/>
      <c r="AM24" s="224">
        <f>AK24</f>
        <v>0</v>
      </c>
    </row>
    <row r="25" spans="1:39" ht="14.25" customHeight="1">
      <c r="A25" s="36"/>
      <c r="B25" s="261"/>
      <c r="C25" s="37"/>
      <c r="D25" s="225"/>
      <c r="E25" s="226">
        <f>F24</f>
        <v>0</v>
      </c>
      <c r="F25" s="227"/>
      <c r="G25" s="225"/>
      <c r="H25" s="226">
        <f>I24</f>
        <v>0</v>
      </c>
      <c r="I25" s="227"/>
      <c r="J25" s="225"/>
      <c r="K25" s="226">
        <f>L24</f>
        <v>48</v>
      </c>
      <c r="L25" s="227"/>
      <c r="M25" s="225"/>
      <c r="N25" s="226">
        <f>O24</f>
        <v>48</v>
      </c>
      <c r="O25" s="227"/>
      <c r="P25" s="225"/>
      <c r="Q25" s="226">
        <f>R24</f>
        <v>61</v>
      </c>
      <c r="R25" s="227"/>
      <c r="S25" s="225"/>
      <c r="T25" s="226">
        <f>U24</f>
        <v>61</v>
      </c>
      <c r="U25" s="227"/>
      <c r="V25" s="225"/>
      <c r="W25" s="226">
        <f>X24</f>
        <v>61</v>
      </c>
      <c r="X25" s="227"/>
      <c r="Y25" s="225"/>
      <c r="Z25" s="226">
        <f>AA24</f>
        <v>61</v>
      </c>
      <c r="AA25" s="227"/>
      <c r="AB25" s="225"/>
      <c r="AC25" s="226">
        <f>AD24</f>
        <v>61</v>
      </c>
      <c r="AD25" s="227"/>
      <c r="AE25" s="225"/>
      <c r="AF25" s="226">
        <f>AG24</f>
        <v>100</v>
      </c>
      <c r="AG25" s="227"/>
      <c r="AH25" s="225"/>
      <c r="AI25" s="226">
        <f>AJ24</f>
        <v>100</v>
      </c>
      <c r="AJ25" s="227"/>
      <c r="AK25" s="225"/>
      <c r="AL25" s="226">
        <f>AM24</f>
        <v>0</v>
      </c>
      <c r="AM25" s="228"/>
    </row>
    <row r="26" spans="1:39" ht="14.25" customHeight="1" hidden="1">
      <c r="A26" s="33">
        <v>5</v>
      </c>
      <c r="B26" s="254" t="str">
        <f>nov!B22</f>
        <v>Penyediaan Komponen Instalasi Listrik &amp; Penerangan Bangunan Kantor</v>
      </c>
      <c r="C26" s="34">
        <f>nov!C22</f>
        <v>0</v>
      </c>
      <c r="D26" s="213"/>
      <c r="E26" s="214">
        <f>100*(0)</f>
        <v>0</v>
      </c>
      <c r="F26" s="215"/>
      <c r="G26" s="216"/>
      <c r="H26" s="214">
        <f>100*(0)</f>
        <v>0</v>
      </c>
      <c r="I26" s="217"/>
      <c r="J26" s="216"/>
      <c r="K26" s="214">
        <f>100*(0)</f>
        <v>0</v>
      </c>
      <c r="L26" s="217"/>
      <c r="M26" s="216"/>
      <c r="N26" s="214">
        <f>100*(0)</f>
        <v>0</v>
      </c>
      <c r="O26" s="217"/>
      <c r="P26" s="216"/>
      <c r="Q26" s="233">
        <f>N26</f>
        <v>0</v>
      </c>
      <c r="R26" s="217"/>
      <c r="S26" s="216"/>
      <c r="T26" s="233">
        <f>Q26</f>
        <v>0</v>
      </c>
      <c r="U26" s="217"/>
      <c r="V26" s="216"/>
      <c r="W26" s="233">
        <f>T26</f>
        <v>0</v>
      </c>
      <c r="X26" s="217"/>
      <c r="Y26" s="216"/>
      <c r="Z26" s="233">
        <f>W26</f>
        <v>0</v>
      </c>
      <c r="AA26" s="217"/>
      <c r="AB26" s="216"/>
      <c r="AC26" s="233">
        <f>Z26</f>
        <v>0</v>
      </c>
      <c r="AD26" s="217"/>
      <c r="AE26" s="216"/>
      <c r="AF26" s="233">
        <f>AC26</f>
        <v>0</v>
      </c>
      <c r="AG26" s="217"/>
      <c r="AH26" s="216"/>
      <c r="AI26" s="233">
        <f>AF26</f>
        <v>0</v>
      </c>
      <c r="AJ26" s="218"/>
      <c r="AK26" s="216"/>
      <c r="AL26" s="233">
        <f>AI26</f>
        <v>0</v>
      </c>
      <c r="AM26" s="232"/>
    </row>
    <row r="27" spans="1:39" ht="14.25" customHeight="1" hidden="1">
      <c r="A27" s="11"/>
      <c r="B27" s="260"/>
      <c r="C27" s="12"/>
      <c r="D27" s="221">
        <v>0</v>
      </c>
      <c r="E27" s="222"/>
      <c r="F27" s="223">
        <v>0</v>
      </c>
      <c r="G27" s="234">
        <v>0</v>
      </c>
      <c r="H27" s="235"/>
      <c r="I27" s="236">
        <v>0</v>
      </c>
      <c r="J27" s="234">
        <v>0</v>
      </c>
      <c r="K27" s="235"/>
      <c r="L27" s="236">
        <v>0</v>
      </c>
      <c r="M27" s="234">
        <v>0</v>
      </c>
      <c r="N27" s="235"/>
      <c r="O27" s="236">
        <v>0</v>
      </c>
      <c r="P27" s="234">
        <v>0</v>
      </c>
      <c r="Q27" s="235"/>
      <c r="R27" s="236">
        <v>0</v>
      </c>
      <c r="S27" s="234">
        <v>0</v>
      </c>
      <c r="T27" s="235"/>
      <c r="U27" s="236">
        <v>0</v>
      </c>
      <c r="V27" s="234">
        <v>0</v>
      </c>
      <c r="W27" s="235"/>
      <c r="X27" s="236">
        <v>0</v>
      </c>
      <c r="Y27" s="234">
        <v>0</v>
      </c>
      <c r="Z27" s="235"/>
      <c r="AA27" s="236">
        <v>0</v>
      </c>
      <c r="AB27" s="234">
        <v>0</v>
      </c>
      <c r="AC27" s="235"/>
      <c r="AD27" s="236">
        <v>0</v>
      </c>
      <c r="AE27" s="234">
        <v>0</v>
      </c>
      <c r="AF27" s="235"/>
      <c r="AG27" s="236">
        <v>0</v>
      </c>
      <c r="AH27" s="234">
        <v>0</v>
      </c>
      <c r="AI27" s="235"/>
      <c r="AJ27" s="236">
        <v>0</v>
      </c>
      <c r="AK27" s="234">
        <v>0</v>
      </c>
      <c r="AL27" s="235"/>
      <c r="AM27" s="237">
        <v>0</v>
      </c>
    </row>
    <row r="28" spans="1:39" ht="14.25" customHeight="1" hidden="1">
      <c r="A28" s="36"/>
      <c r="B28" s="261"/>
      <c r="C28" s="37"/>
      <c r="D28" s="225"/>
      <c r="E28" s="226">
        <v>0</v>
      </c>
      <c r="F28" s="227"/>
      <c r="G28" s="238"/>
      <c r="H28" s="239">
        <v>0</v>
      </c>
      <c r="I28" s="240"/>
      <c r="J28" s="238"/>
      <c r="K28" s="239">
        <v>0</v>
      </c>
      <c r="L28" s="240"/>
      <c r="M28" s="238"/>
      <c r="N28" s="239">
        <v>0</v>
      </c>
      <c r="O28" s="240"/>
      <c r="P28" s="238"/>
      <c r="Q28" s="239">
        <v>0</v>
      </c>
      <c r="R28" s="240"/>
      <c r="S28" s="238"/>
      <c r="T28" s="239">
        <v>0</v>
      </c>
      <c r="U28" s="240"/>
      <c r="V28" s="238"/>
      <c r="W28" s="239">
        <v>0</v>
      </c>
      <c r="X28" s="240"/>
      <c r="Y28" s="238"/>
      <c r="Z28" s="239">
        <v>0</v>
      </c>
      <c r="AA28" s="240"/>
      <c r="AB28" s="238"/>
      <c r="AC28" s="239">
        <v>0</v>
      </c>
      <c r="AD28" s="240"/>
      <c r="AE28" s="238"/>
      <c r="AF28" s="239">
        <v>0</v>
      </c>
      <c r="AG28" s="240"/>
      <c r="AH28" s="238"/>
      <c r="AI28" s="239">
        <v>0</v>
      </c>
      <c r="AJ28" s="240"/>
      <c r="AK28" s="238"/>
      <c r="AL28" s="239">
        <v>0</v>
      </c>
      <c r="AM28" s="241"/>
    </row>
    <row r="29" spans="1:39" s="120" customFormat="1" ht="14.25" customHeight="1">
      <c r="A29" s="118">
        <v>5</v>
      </c>
      <c r="B29" s="257" t="str">
        <f>nov!B24</f>
        <v>Penyediaan Bahan Logistik Kantor</v>
      </c>
      <c r="C29" s="125">
        <f>nov!C24</f>
        <v>17083800</v>
      </c>
      <c r="D29" s="201"/>
      <c r="E29" s="202">
        <f>1423650*1/$C$29*100</f>
        <v>8.333333333333332</v>
      </c>
      <c r="F29" s="203"/>
      <c r="G29" s="204"/>
      <c r="H29" s="202">
        <f>1423650*2/$C$29*100</f>
        <v>16.666666666666664</v>
      </c>
      <c r="I29" s="205"/>
      <c r="J29" s="204"/>
      <c r="K29" s="202">
        <f>1423650*3/$C$29*100</f>
        <v>25</v>
      </c>
      <c r="L29" s="205"/>
      <c r="M29" s="204"/>
      <c r="N29" s="202">
        <f>1423650*4/$C$29*100</f>
        <v>33.33333333333333</v>
      </c>
      <c r="O29" s="205"/>
      <c r="P29" s="204"/>
      <c r="Q29" s="202">
        <f>1423650*5/$C$29*100</f>
        <v>41.66666666666667</v>
      </c>
      <c r="R29" s="205"/>
      <c r="S29" s="204"/>
      <c r="T29" s="202">
        <f>1423650*6/$C$29*100</f>
        <v>50</v>
      </c>
      <c r="U29" s="205"/>
      <c r="V29" s="204"/>
      <c r="W29" s="202">
        <f>1423650*7/$C$29*100</f>
        <v>58.333333333333336</v>
      </c>
      <c r="X29" s="205"/>
      <c r="Y29" s="204"/>
      <c r="Z29" s="202">
        <f>1423650*8/$C$29*100</f>
        <v>66.66666666666666</v>
      </c>
      <c r="AA29" s="205"/>
      <c r="AB29" s="204"/>
      <c r="AC29" s="229">
        <f>1423650*9/$C$29*100</f>
        <v>75</v>
      </c>
      <c r="AD29" s="205"/>
      <c r="AE29" s="204"/>
      <c r="AF29" s="229">
        <f>1423650*10/$C$29*100</f>
        <v>83.33333333333334</v>
      </c>
      <c r="AG29" s="205"/>
      <c r="AH29" s="204"/>
      <c r="AI29" s="229">
        <f>1423650*11/$C$29*100</f>
        <v>91.66666666666666</v>
      </c>
      <c r="AJ29" s="205"/>
      <c r="AK29" s="204"/>
      <c r="AL29" s="229">
        <f>1423650*12/$C$29*100</f>
        <v>100</v>
      </c>
      <c r="AM29" s="206"/>
    </row>
    <row r="30" spans="1:39" s="120" customFormat="1" ht="14.25" customHeight="1">
      <c r="A30" s="121"/>
      <c r="B30" s="258"/>
      <c r="C30" s="126"/>
      <c r="D30" s="207">
        <v>0</v>
      </c>
      <c r="E30" s="208"/>
      <c r="F30" s="209">
        <f>D30</f>
        <v>0</v>
      </c>
      <c r="G30" s="207">
        <v>2</v>
      </c>
      <c r="H30" s="208"/>
      <c r="I30" s="209">
        <f>G30</f>
        <v>2</v>
      </c>
      <c r="J30" s="207">
        <v>10</v>
      </c>
      <c r="K30" s="208"/>
      <c r="L30" s="209">
        <f>J30</f>
        <v>10</v>
      </c>
      <c r="M30" s="207">
        <v>31</v>
      </c>
      <c r="N30" s="208"/>
      <c r="O30" s="209">
        <f>M30</f>
        <v>31</v>
      </c>
      <c r="P30" s="207">
        <v>37</v>
      </c>
      <c r="Q30" s="208"/>
      <c r="R30" s="209">
        <f>P30</f>
        <v>37</v>
      </c>
      <c r="S30" s="207">
        <v>37</v>
      </c>
      <c r="T30" s="208"/>
      <c r="U30" s="209">
        <f>S30</f>
        <v>37</v>
      </c>
      <c r="V30" s="207">
        <v>43</v>
      </c>
      <c r="W30" s="208"/>
      <c r="X30" s="209">
        <f>V30</f>
        <v>43</v>
      </c>
      <c r="Y30" s="207">
        <v>54</v>
      </c>
      <c r="Z30" s="208"/>
      <c r="AA30" s="209">
        <f>Y30</f>
        <v>54</v>
      </c>
      <c r="AB30" s="207">
        <v>63</v>
      </c>
      <c r="AC30" s="208"/>
      <c r="AD30" s="209">
        <f>AB30</f>
        <v>63</v>
      </c>
      <c r="AE30" s="207">
        <v>63</v>
      </c>
      <c r="AF30" s="208"/>
      <c r="AG30" s="209">
        <f>AE30</f>
        <v>63</v>
      </c>
      <c r="AH30" s="207">
        <v>83</v>
      </c>
      <c r="AI30" s="208"/>
      <c r="AJ30" s="209">
        <f>AH30</f>
        <v>83</v>
      </c>
      <c r="AK30" s="207">
        <v>0</v>
      </c>
      <c r="AL30" s="208"/>
      <c r="AM30" s="230">
        <f>AK30</f>
        <v>0</v>
      </c>
    </row>
    <row r="31" spans="1:39" s="120" customFormat="1" ht="14.25" customHeight="1">
      <c r="A31" s="123"/>
      <c r="B31" s="259"/>
      <c r="C31" s="127"/>
      <c r="D31" s="210"/>
      <c r="E31" s="211">
        <f>F30</f>
        <v>0</v>
      </c>
      <c r="F31" s="212"/>
      <c r="G31" s="210"/>
      <c r="H31" s="211">
        <f>I30</f>
        <v>2</v>
      </c>
      <c r="I31" s="212"/>
      <c r="J31" s="210"/>
      <c r="K31" s="211">
        <f>L30</f>
        <v>10</v>
      </c>
      <c r="L31" s="212"/>
      <c r="M31" s="210"/>
      <c r="N31" s="211">
        <f>O30</f>
        <v>31</v>
      </c>
      <c r="O31" s="212"/>
      <c r="P31" s="210"/>
      <c r="Q31" s="211">
        <f>R30</f>
        <v>37</v>
      </c>
      <c r="R31" s="212"/>
      <c r="S31" s="210"/>
      <c r="T31" s="211">
        <f>U30</f>
        <v>37</v>
      </c>
      <c r="U31" s="212"/>
      <c r="V31" s="210"/>
      <c r="W31" s="211">
        <f>X30</f>
        <v>43</v>
      </c>
      <c r="X31" s="212"/>
      <c r="Y31" s="210"/>
      <c r="Z31" s="211">
        <f>AA30</f>
        <v>54</v>
      </c>
      <c r="AA31" s="212"/>
      <c r="AB31" s="210"/>
      <c r="AC31" s="211">
        <f>AD30</f>
        <v>63</v>
      </c>
      <c r="AD31" s="212"/>
      <c r="AE31" s="210"/>
      <c r="AF31" s="211">
        <f>AG30</f>
        <v>63</v>
      </c>
      <c r="AG31" s="212"/>
      <c r="AH31" s="210"/>
      <c r="AI31" s="211">
        <f>AJ30</f>
        <v>83</v>
      </c>
      <c r="AJ31" s="212"/>
      <c r="AK31" s="210"/>
      <c r="AL31" s="211">
        <f>AM30</f>
        <v>0</v>
      </c>
      <c r="AM31" s="231"/>
    </row>
    <row r="32" spans="1:39" ht="14.25" customHeight="1">
      <c r="A32" s="33">
        <v>6</v>
      </c>
      <c r="B32" s="254" t="str">
        <f>nov!B26</f>
        <v>Penyediaan Barang Cetakan dan Penggandaan </v>
      </c>
      <c r="C32" s="34">
        <f>nov!C26</f>
        <v>14649400</v>
      </c>
      <c r="D32" s="213"/>
      <c r="E32" s="214">
        <f>1218533*1/$C$32*100</f>
        <v>8.317972067115377</v>
      </c>
      <c r="F32" s="215"/>
      <c r="G32" s="216"/>
      <c r="H32" s="214">
        <f>1218533*2/$C$32*100</f>
        <v>16.635944134230755</v>
      </c>
      <c r="I32" s="217"/>
      <c r="J32" s="216"/>
      <c r="K32" s="214">
        <f>1218533*3/$C$32*100</f>
        <v>24.95391620134613</v>
      </c>
      <c r="L32" s="217"/>
      <c r="M32" s="216"/>
      <c r="N32" s="214">
        <f>1218533*4/$C$32*100</f>
        <v>33.27188826846151</v>
      </c>
      <c r="O32" s="217"/>
      <c r="P32" s="216"/>
      <c r="Q32" s="214">
        <f>1218533*5/$C$32*100</f>
        <v>41.58986033557689</v>
      </c>
      <c r="R32" s="217"/>
      <c r="S32" s="216"/>
      <c r="T32" s="214">
        <f>1218533*6/$C$32*100</f>
        <v>49.90783240269226</v>
      </c>
      <c r="U32" s="217"/>
      <c r="V32" s="216"/>
      <c r="W32" s="214">
        <f>1218533*7/$C$32*100</f>
        <v>58.22580446980764</v>
      </c>
      <c r="X32" s="217"/>
      <c r="Y32" s="216"/>
      <c r="Z32" s="214">
        <f>1218533*8/$C$32*100</f>
        <v>66.54377653692302</v>
      </c>
      <c r="AA32" s="217"/>
      <c r="AB32" s="216"/>
      <c r="AC32" s="214">
        <f>1218533*9/$C$32*100</f>
        <v>74.8617486040384</v>
      </c>
      <c r="AD32" s="217"/>
      <c r="AE32" s="216"/>
      <c r="AF32" s="214">
        <f>1218533*10/$C$32*100</f>
        <v>83.17972067115377</v>
      </c>
      <c r="AG32" s="217"/>
      <c r="AH32" s="216"/>
      <c r="AI32" s="214">
        <f>1218533*11/$C$32*100</f>
        <v>91.49769273826914</v>
      </c>
      <c r="AJ32" s="217"/>
      <c r="AK32" s="216"/>
      <c r="AL32" s="214">
        <f>1218533*12/$C$32*100</f>
        <v>99.81566480538451</v>
      </c>
      <c r="AM32" s="232"/>
    </row>
    <row r="33" spans="1:39" ht="14.25" customHeight="1">
      <c r="A33" s="11"/>
      <c r="B33" s="260"/>
      <c r="C33" s="12"/>
      <c r="D33" s="221">
        <v>0</v>
      </c>
      <c r="E33" s="222"/>
      <c r="F33" s="223">
        <f>D33</f>
        <v>0</v>
      </c>
      <c r="G33" s="221">
        <v>0</v>
      </c>
      <c r="H33" s="222"/>
      <c r="I33" s="223">
        <f>G33</f>
        <v>0</v>
      </c>
      <c r="J33" s="221">
        <v>13</v>
      </c>
      <c r="K33" s="222"/>
      <c r="L33" s="223">
        <f>J33</f>
        <v>13</v>
      </c>
      <c r="M33" s="221">
        <v>26</v>
      </c>
      <c r="N33" s="222"/>
      <c r="O33" s="223">
        <f>M33</f>
        <v>26</v>
      </c>
      <c r="P33" s="221">
        <v>33</v>
      </c>
      <c r="Q33" s="222"/>
      <c r="R33" s="223">
        <f>P33</f>
        <v>33</v>
      </c>
      <c r="S33" s="221">
        <v>39</v>
      </c>
      <c r="T33" s="222"/>
      <c r="U33" s="223">
        <f>S33</f>
        <v>39</v>
      </c>
      <c r="V33" s="221">
        <v>45</v>
      </c>
      <c r="W33" s="222"/>
      <c r="X33" s="223">
        <f>V33</f>
        <v>45</v>
      </c>
      <c r="Y33" s="221">
        <v>52</v>
      </c>
      <c r="Z33" s="222"/>
      <c r="AA33" s="223">
        <f>Y33</f>
        <v>52</v>
      </c>
      <c r="AB33" s="221">
        <v>60</v>
      </c>
      <c r="AC33" s="222"/>
      <c r="AD33" s="223">
        <f>AB33</f>
        <v>60</v>
      </c>
      <c r="AE33" s="221">
        <v>60</v>
      </c>
      <c r="AF33" s="222"/>
      <c r="AG33" s="223">
        <f>AE33</f>
        <v>60</v>
      </c>
      <c r="AH33" s="221">
        <v>90</v>
      </c>
      <c r="AI33" s="222"/>
      <c r="AJ33" s="223">
        <f>AH33</f>
        <v>90</v>
      </c>
      <c r="AK33" s="221">
        <v>0</v>
      </c>
      <c r="AL33" s="222"/>
      <c r="AM33" s="224">
        <f>AK33</f>
        <v>0</v>
      </c>
    </row>
    <row r="34" spans="1:39" ht="14.25" customHeight="1">
      <c r="A34" s="36"/>
      <c r="B34" s="261"/>
      <c r="C34" s="37"/>
      <c r="D34" s="225"/>
      <c r="E34" s="226">
        <f>F33</f>
        <v>0</v>
      </c>
      <c r="F34" s="227"/>
      <c r="G34" s="225"/>
      <c r="H34" s="226">
        <f>I33</f>
        <v>0</v>
      </c>
      <c r="I34" s="227"/>
      <c r="J34" s="225"/>
      <c r="K34" s="226">
        <f>L33</f>
        <v>13</v>
      </c>
      <c r="L34" s="227"/>
      <c r="M34" s="225"/>
      <c r="N34" s="226">
        <f>O33</f>
        <v>26</v>
      </c>
      <c r="O34" s="227"/>
      <c r="P34" s="225"/>
      <c r="Q34" s="226">
        <f>R33</f>
        <v>33</v>
      </c>
      <c r="R34" s="227"/>
      <c r="S34" s="225"/>
      <c r="T34" s="226">
        <f>U33</f>
        <v>39</v>
      </c>
      <c r="U34" s="227"/>
      <c r="V34" s="225"/>
      <c r="W34" s="226">
        <f>X33</f>
        <v>45</v>
      </c>
      <c r="X34" s="227"/>
      <c r="Y34" s="225"/>
      <c r="Z34" s="226">
        <f>AA33</f>
        <v>52</v>
      </c>
      <c r="AA34" s="227"/>
      <c r="AB34" s="225"/>
      <c r="AC34" s="226">
        <f>AD33</f>
        <v>60</v>
      </c>
      <c r="AD34" s="227"/>
      <c r="AE34" s="225"/>
      <c r="AF34" s="226">
        <f>AG33</f>
        <v>60</v>
      </c>
      <c r="AG34" s="227"/>
      <c r="AH34" s="225"/>
      <c r="AI34" s="226">
        <f>AJ33</f>
        <v>90</v>
      </c>
      <c r="AJ34" s="227"/>
      <c r="AK34" s="225"/>
      <c r="AL34" s="226">
        <f>AM33</f>
        <v>0</v>
      </c>
      <c r="AM34" s="228"/>
    </row>
    <row r="35" spans="1:39" s="120" customFormat="1" ht="14.25" customHeight="1">
      <c r="A35" s="118">
        <v>7</v>
      </c>
      <c r="B35" s="257" t="str">
        <f>nov!B28</f>
        <v>Penyediaan Bahan Bacaan dan Peraturan Perundang-undangan</v>
      </c>
      <c r="C35" s="125">
        <f>nov!C28</f>
        <v>1920000</v>
      </c>
      <c r="D35" s="201"/>
      <c r="E35" s="202">
        <f>160000*1/$C$35*100</f>
        <v>8.333333333333332</v>
      </c>
      <c r="F35" s="203"/>
      <c r="G35" s="204"/>
      <c r="H35" s="202">
        <f>160000*2/$C$35*100</f>
        <v>16.666666666666664</v>
      </c>
      <c r="I35" s="205"/>
      <c r="J35" s="204"/>
      <c r="K35" s="202">
        <f>160000*3/$C$35*100</f>
        <v>25</v>
      </c>
      <c r="L35" s="205"/>
      <c r="M35" s="204"/>
      <c r="N35" s="202">
        <f>160000*4/$C$35*100</f>
        <v>33.33333333333333</v>
      </c>
      <c r="O35" s="205"/>
      <c r="P35" s="204"/>
      <c r="Q35" s="202">
        <f>160000*5/$C$35*100</f>
        <v>41.66666666666667</v>
      </c>
      <c r="R35" s="205"/>
      <c r="S35" s="204"/>
      <c r="T35" s="202">
        <f>160000*6/$C$35*100</f>
        <v>50</v>
      </c>
      <c r="U35" s="205"/>
      <c r="V35" s="204"/>
      <c r="W35" s="202">
        <f>160000*7/$C$35*100</f>
        <v>58.333333333333336</v>
      </c>
      <c r="X35" s="205"/>
      <c r="Y35" s="204"/>
      <c r="Z35" s="202">
        <f>160000*8/$C$35*100</f>
        <v>66.66666666666666</v>
      </c>
      <c r="AA35" s="205"/>
      <c r="AB35" s="204"/>
      <c r="AC35" s="229">
        <f>160000*9/$C$35*100</f>
        <v>75</v>
      </c>
      <c r="AD35" s="205"/>
      <c r="AE35" s="204"/>
      <c r="AF35" s="229">
        <f>160000*10/$C$35*100</f>
        <v>83.33333333333334</v>
      </c>
      <c r="AG35" s="205"/>
      <c r="AH35" s="204"/>
      <c r="AI35" s="229">
        <f>160000*11/$C$35*100</f>
        <v>91.66666666666666</v>
      </c>
      <c r="AJ35" s="205"/>
      <c r="AK35" s="204"/>
      <c r="AL35" s="229">
        <f>160000*12/$C$35*100</f>
        <v>100</v>
      </c>
      <c r="AM35" s="206"/>
    </row>
    <row r="36" spans="1:39" s="120" customFormat="1" ht="14.25" customHeight="1">
      <c r="A36" s="121"/>
      <c r="B36" s="258"/>
      <c r="C36" s="126"/>
      <c r="D36" s="207">
        <v>0</v>
      </c>
      <c r="E36" s="208"/>
      <c r="F36" s="209">
        <f>D36</f>
        <v>0</v>
      </c>
      <c r="G36" s="207">
        <v>8</v>
      </c>
      <c r="H36" s="208"/>
      <c r="I36" s="209">
        <f>G36</f>
        <v>8</v>
      </c>
      <c r="J36" s="207">
        <v>17</v>
      </c>
      <c r="K36" s="208"/>
      <c r="L36" s="209">
        <f>J36</f>
        <v>17</v>
      </c>
      <c r="M36" s="207">
        <v>33</v>
      </c>
      <c r="N36" s="208"/>
      <c r="O36" s="209">
        <f>M36</f>
        <v>33</v>
      </c>
      <c r="P36" s="207">
        <v>42</v>
      </c>
      <c r="Q36" s="208"/>
      <c r="R36" s="209">
        <f>P36</f>
        <v>42</v>
      </c>
      <c r="S36" s="207">
        <v>42</v>
      </c>
      <c r="T36" s="208"/>
      <c r="U36" s="209">
        <f>S36</f>
        <v>42</v>
      </c>
      <c r="V36" s="207">
        <v>58</v>
      </c>
      <c r="W36" s="208"/>
      <c r="X36" s="209">
        <f>V36</f>
        <v>58</v>
      </c>
      <c r="Y36" s="207">
        <v>67</v>
      </c>
      <c r="Z36" s="208"/>
      <c r="AA36" s="209">
        <f>Y36</f>
        <v>67</v>
      </c>
      <c r="AB36" s="207">
        <v>75</v>
      </c>
      <c r="AC36" s="208"/>
      <c r="AD36" s="209">
        <f>AB36</f>
        <v>75</v>
      </c>
      <c r="AE36" s="207">
        <v>75</v>
      </c>
      <c r="AF36" s="208"/>
      <c r="AG36" s="209">
        <f>AE36</f>
        <v>75</v>
      </c>
      <c r="AH36" s="207">
        <v>92</v>
      </c>
      <c r="AI36" s="208"/>
      <c r="AJ36" s="209">
        <f>AH36</f>
        <v>92</v>
      </c>
      <c r="AK36" s="207">
        <v>0</v>
      </c>
      <c r="AL36" s="208"/>
      <c r="AM36" s="230">
        <f>AK36</f>
        <v>0</v>
      </c>
    </row>
    <row r="37" spans="1:39" s="120" customFormat="1" ht="14.25" customHeight="1">
      <c r="A37" s="123"/>
      <c r="B37" s="259"/>
      <c r="C37" s="127"/>
      <c r="D37" s="210"/>
      <c r="E37" s="211">
        <f>F36</f>
        <v>0</v>
      </c>
      <c r="F37" s="212"/>
      <c r="G37" s="210"/>
      <c r="H37" s="211">
        <f>I36</f>
        <v>8</v>
      </c>
      <c r="I37" s="212"/>
      <c r="J37" s="210"/>
      <c r="K37" s="211">
        <f>L36</f>
        <v>17</v>
      </c>
      <c r="L37" s="212"/>
      <c r="M37" s="210"/>
      <c r="N37" s="211">
        <f>O36</f>
        <v>33</v>
      </c>
      <c r="O37" s="212"/>
      <c r="P37" s="210"/>
      <c r="Q37" s="211">
        <f>R36</f>
        <v>42</v>
      </c>
      <c r="R37" s="212"/>
      <c r="S37" s="210"/>
      <c r="T37" s="211">
        <f>U36</f>
        <v>42</v>
      </c>
      <c r="U37" s="212"/>
      <c r="V37" s="210"/>
      <c r="W37" s="211">
        <f>X36</f>
        <v>58</v>
      </c>
      <c r="X37" s="212"/>
      <c r="Y37" s="210"/>
      <c r="Z37" s="211">
        <f>AA36</f>
        <v>67</v>
      </c>
      <c r="AA37" s="212"/>
      <c r="AB37" s="210"/>
      <c r="AC37" s="211">
        <f>AD36</f>
        <v>75</v>
      </c>
      <c r="AD37" s="212"/>
      <c r="AE37" s="210"/>
      <c r="AF37" s="211">
        <f>AG36</f>
        <v>75</v>
      </c>
      <c r="AG37" s="212"/>
      <c r="AH37" s="210"/>
      <c r="AI37" s="211">
        <f>AJ36</f>
        <v>92</v>
      </c>
      <c r="AJ37" s="212"/>
      <c r="AK37" s="210"/>
      <c r="AL37" s="211">
        <f>AM36</f>
        <v>0</v>
      </c>
      <c r="AM37" s="231"/>
    </row>
    <row r="38" spans="1:39" ht="14.25" customHeight="1">
      <c r="A38" s="33">
        <v>8</v>
      </c>
      <c r="B38" s="254" t="str">
        <f>nov!B30</f>
        <v>Penyelenggaraan Rapat Koordinasi dan Konsultasi SKPD</v>
      </c>
      <c r="C38" s="34">
        <f>nov!C30</f>
        <v>89745000</v>
      </c>
      <c r="D38" s="213"/>
      <c r="E38" s="214">
        <f>3416666*1/$C$38*100</f>
        <v>3.8070822887068916</v>
      </c>
      <c r="F38" s="215"/>
      <c r="G38" s="216"/>
      <c r="H38" s="214">
        <f>3416666*2/$C$38*100</f>
        <v>7.614164577413783</v>
      </c>
      <c r="I38" s="217"/>
      <c r="J38" s="216"/>
      <c r="K38" s="214">
        <f>3416666*3/$C$38*100</f>
        <v>11.421246866120676</v>
      </c>
      <c r="L38" s="217"/>
      <c r="M38" s="216"/>
      <c r="N38" s="214">
        <f>3416666*4/$C$38*100</f>
        <v>15.228329154827566</v>
      </c>
      <c r="O38" s="217"/>
      <c r="P38" s="216"/>
      <c r="Q38" s="214">
        <f>3416666*5/$C$38*100</f>
        <v>19.035411443534457</v>
      </c>
      <c r="R38" s="217"/>
      <c r="S38" s="216"/>
      <c r="T38" s="214">
        <f>3416666*6/$C$38*100</f>
        <v>22.84249373224135</v>
      </c>
      <c r="U38" s="217"/>
      <c r="V38" s="216"/>
      <c r="W38" s="214">
        <f>3416666*7/$C$38*100</f>
        <v>26.64957602094824</v>
      </c>
      <c r="X38" s="217"/>
      <c r="Y38" s="216"/>
      <c r="Z38" s="214">
        <f>3416666*8/$C$38*100</f>
        <v>30.456658309655133</v>
      </c>
      <c r="AA38" s="217"/>
      <c r="AB38" s="216"/>
      <c r="AC38" s="214">
        <f>3416666*9/$C$38*100</f>
        <v>34.26374059836203</v>
      </c>
      <c r="AD38" s="217"/>
      <c r="AE38" s="216"/>
      <c r="AF38" s="214">
        <f>3416666*10/$C$38*100</f>
        <v>38.070822887068914</v>
      </c>
      <c r="AG38" s="217"/>
      <c r="AH38" s="216"/>
      <c r="AI38" s="214">
        <f>3416666*11/$C$38*100</f>
        <v>41.87790517577581</v>
      </c>
      <c r="AJ38" s="217"/>
      <c r="AK38" s="216"/>
      <c r="AL38" s="214">
        <f>3416666*12/$C$38*100</f>
        <v>45.6849874644827</v>
      </c>
      <c r="AM38" s="232"/>
    </row>
    <row r="39" spans="1:39" ht="14.25" customHeight="1">
      <c r="A39" s="11"/>
      <c r="B39" s="260"/>
      <c r="C39" s="12"/>
      <c r="D39" s="221">
        <v>0</v>
      </c>
      <c r="E39" s="222"/>
      <c r="F39" s="223">
        <f>D39</f>
        <v>0</v>
      </c>
      <c r="G39" s="221">
        <v>6</v>
      </c>
      <c r="H39" s="222"/>
      <c r="I39" s="223">
        <f>G39</f>
        <v>6</v>
      </c>
      <c r="J39" s="221">
        <v>12</v>
      </c>
      <c r="K39" s="222"/>
      <c r="L39" s="223">
        <f>J39</f>
        <v>12</v>
      </c>
      <c r="M39" s="221">
        <v>32</v>
      </c>
      <c r="N39" s="222"/>
      <c r="O39" s="223">
        <f>M39</f>
        <v>32</v>
      </c>
      <c r="P39" s="221">
        <v>38</v>
      </c>
      <c r="Q39" s="222"/>
      <c r="R39" s="223">
        <f>P39</f>
        <v>38</v>
      </c>
      <c r="S39" s="221">
        <v>52</v>
      </c>
      <c r="T39" s="222"/>
      <c r="U39" s="223">
        <f>S39</f>
        <v>52</v>
      </c>
      <c r="V39" s="221">
        <v>58</v>
      </c>
      <c r="W39" s="222"/>
      <c r="X39" s="223">
        <f>V39</f>
        <v>58</v>
      </c>
      <c r="Y39" s="221">
        <v>60</v>
      </c>
      <c r="Z39" s="222"/>
      <c r="AA39" s="223">
        <f>Y39</f>
        <v>60</v>
      </c>
      <c r="AB39" s="221">
        <v>60</v>
      </c>
      <c r="AC39" s="222"/>
      <c r="AD39" s="223">
        <f>AB39</f>
        <v>60</v>
      </c>
      <c r="AE39" s="221">
        <v>27</v>
      </c>
      <c r="AF39" s="222"/>
      <c r="AG39" s="223">
        <f>AE39</f>
        <v>27</v>
      </c>
      <c r="AH39" s="221">
        <v>34</v>
      </c>
      <c r="AI39" s="222"/>
      <c r="AJ39" s="223">
        <f>AH39</f>
        <v>34</v>
      </c>
      <c r="AK39" s="221">
        <v>0</v>
      </c>
      <c r="AL39" s="222"/>
      <c r="AM39" s="224">
        <f>AK39</f>
        <v>0</v>
      </c>
    </row>
    <row r="40" spans="1:39" ht="14.25" customHeight="1">
      <c r="A40" s="36"/>
      <c r="B40" s="261"/>
      <c r="C40" s="37"/>
      <c r="D40" s="225"/>
      <c r="E40" s="226">
        <f>F39</f>
        <v>0</v>
      </c>
      <c r="F40" s="227"/>
      <c r="G40" s="225"/>
      <c r="H40" s="226">
        <f>I39</f>
        <v>6</v>
      </c>
      <c r="I40" s="227"/>
      <c r="J40" s="225"/>
      <c r="K40" s="226">
        <f>L39</f>
        <v>12</v>
      </c>
      <c r="L40" s="227"/>
      <c r="M40" s="225"/>
      <c r="N40" s="226">
        <f>O39</f>
        <v>32</v>
      </c>
      <c r="O40" s="227"/>
      <c r="P40" s="225"/>
      <c r="Q40" s="226">
        <f>R39</f>
        <v>38</v>
      </c>
      <c r="R40" s="227"/>
      <c r="S40" s="225"/>
      <c r="T40" s="226">
        <f>U39</f>
        <v>52</v>
      </c>
      <c r="U40" s="227"/>
      <c r="V40" s="225"/>
      <c r="W40" s="226">
        <f>X39</f>
        <v>58</v>
      </c>
      <c r="X40" s="227"/>
      <c r="Y40" s="225"/>
      <c r="Z40" s="226">
        <f>AA39</f>
        <v>60</v>
      </c>
      <c r="AA40" s="227"/>
      <c r="AB40" s="225"/>
      <c r="AC40" s="226">
        <f>AD39</f>
        <v>60</v>
      </c>
      <c r="AD40" s="227"/>
      <c r="AE40" s="225"/>
      <c r="AF40" s="226">
        <f>AG39</f>
        <v>27</v>
      </c>
      <c r="AG40" s="227"/>
      <c r="AH40" s="225"/>
      <c r="AI40" s="226">
        <f>AJ39</f>
        <v>34</v>
      </c>
      <c r="AJ40" s="227"/>
      <c r="AK40" s="225"/>
      <c r="AL40" s="226">
        <f>AM39</f>
        <v>0</v>
      </c>
      <c r="AM40" s="228"/>
    </row>
    <row r="41" spans="1:39" s="120" customFormat="1" ht="14.25" customHeight="1">
      <c r="A41" s="118">
        <v>9</v>
      </c>
      <c r="B41" s="257" t="str">
        <f>nov!B32</f>
        <v>Pengadaan Peralatan dan Mesin Lainnya</v>
      </c>
      <c r="C41" s="125">
        <f>nov!C32</f>
        <v>20802500</v>
      </c>
      <c r="D41" s="201"/>
      <c r="E41" s="202">
        <v>0</v>
      </c>
      <c r="F41" s="203"/>
      <c r="G41" s="204"/>
      <c r="H41" s="202">
        <v>60</v>
      </c>
      <c r="I41" s="205"/>
      <c r="J41" s="204"/>
      <c r="K41" s="202">
        <v>60</v>
      </c>
      <c r="L41" s="205"/>
      <c r="M41" s="204"/>
      <c r="N41" s="202">
        <v>60</v>
      </c>
      <c r="O41" s="205"/>
      <c r="P41" s="204"/>
      <c r="Q41" s="202">
        <v>60</v>
      </c>
      <c r="R41" s="205"/>
      <c r="S41" s="204"/>
      <c r="T41" s="202">
        <v>60</v>
      </c>
      <c r="U41" s="205"/>
      <c r="V41" s="204"/>
      <c r="W41" s="202">
        <v>60</v>
      </c>
      <c r="X41" s="205"/>
      <c r="Y41" s="204"/>
      <c r="Z41" s="202">
        <v>60</v>
      </c>
      <c r="AA41" s="205"/>
      <c r="AB41" s="204"/>
      <c r="AC41" s="229">
        <v>60</v>
      </c>
      <c r="AD41" s="205"/>
      <c r="AE41" s="204"/>
      <c r="AF41" s="229">
        <v>60</v>
      </c>
      <c r="AG41" s="205"/>
      <c r="AH41" s="204"/>
      <c r="AI41" s="229">
        <v>60</v>
      </c>
      <c r="AJ41" s="205"/>
      <c r="AK41" s="204"/>
      <c r="AL41" s="229">
        <v>100</v>
      </c>
      <c r="AM41" s="206"/>
    </row>
    <row r="42" spans="1:39" s="120" customFormat="1" ht="14.25" customHeight="1">
      <c r="A42" s="121"/>
      <c r="B42" s="258"/>
      <c r="C42" s="126"/>
      <c r="D42" s="207">
        <v>0</v>
      </c>
      <c r="E42" s="208"/>
      <c r="F42" s="209">
        <f>D42</f>
        <v>0</v>
      </c>
      <c r="G42" s="207">
        <v>0</v>
      </c>
      <c r="H42" s="208"/>
      <c r="I42" s="209">
        <f>G42</f>
        <v>0</v>
      </c>
      <c r="J42" s="207">
        <v>100</v>
      </c>
      <c r="K42" s="208"/>
      <c r="L42" s="209">
        <f>J42</f>
        <v>100</v>
      </c>
      <c r="M42" s="207">
        <v>100</v>
      </c>
      <c r="N42" s="208"/>
      <c r="O42" s="209">
        <f>M42</f>
        <v>100</v>
      </c>
      <c r="P42" s="207">
        <v>100</v>
      </c>
      <c r="Q42" s="208"/>
      <c r="R42" s="209">
        <f>P42</f>
        <v>100</v>
      </c>
      <c r="S42" s="207">
        <v>100</v>
      </c>
      <c r="T42" s="208"/>
      <c r="U42" s="209">
        <f>S42</f>
        <v>100</v>
      </c>
      <c r="V42" s="207">
        <v>100</v>
      </c>
      <c r="W42" s="208"/>
      <c r="X42" s="209">
        <f>V42</f>
        <v>100</v>
      </c>
      <c r="Y42" s="207">
        <v>100</v>
      </c>
      <c r="Z42" s="208"/>
      <c r="AA42" s="209">
        <f>Y42</f>
        <v>100</v>
      </c>
      <c r="AB42" s="207">
        <v>100</v>
      </c>
      <c r="AC42" s="208"/>
      <c r="AD42" s="209">
        <f>AB42</f>
        <v>100</v>
      </c>
      <c r="AE42" s="207">
        <v>100</v>
      </c>
      <c r="AF42" s="208"/>
      <c r="AG42" s="209">
        <f>AE42</f>
        <v>100</v>
      </c>
      <c r="AH42" s="207">
        <v>100</v>
      </c>
      <c r="AI42" s="208"/>
      <c r="AJ42" s="209">
        <f>AH42</f>
        <v>100</v>
      </c>
      <c r="AK42" s="207">
        <v>0</v>
      </c>
      <c r="AL42" s="208"/>
      <c r="AM42" s="230">
        <f>AK42</f>
        <v>0</v>
      </c>
    </row>
    <row r="43" spans="1:39" s="120" customFormat="1" ht="14.25" customHeight="1">
      <c r="A43" s="123"/>
      <c r="B43" s="259"/>
      <c r="C43" s="127"/>
      <c r="D43" s="210"/>
      <c r="E43" s="211">
        <f>F42</f>
        <v>0</v>
      </c>
      <c r="F43" s="212"/>
      <c r="G43" s="210"/>
      <c r="H43" s="211">
        <f>I42</f>
        <v>0</v>
      </c>
      <c r="I43" s="212"/>
      <c r="J43" s="210"/>
      <c r="K43" s="211">
        <f>L42</f>
        <v>100</v>
      </c>
      <c r="L43" s="212"/>
      <c r="M43" s="210"/>
      <c r="N43" s="211">
        <f>O42</f>
        <v>100</v>
      </c>
      <c r="O43" s="212"/>
      <c r="P43" s="210"/>
      <c r="Q43" s="211">
        <f>R42</f>
        <v>100</v>
      </c>
      <c r="R43" s="212"/>
      <c r="S43" s="210"/>
      <c r="T43" s="211">
        <f>U42</f>
        <v>100</v>
      </c>
      <c r="U43" s="212"/>
      <c r="V43" s="210"/>
      <c r="W43" s="211">
        <f>X42</f>
        <v>100</v>
      </c>
      <c r="X43" s="212"/>
      <c r="Y43" s="210"/>
      <c r="Z43" s="211">
        <f>AA42</f>
        <v>100</v>
      </c>
      <c r="AA43" s="212"/>
      <c r="AB43" s="210"/>
      <c r="AC43" s="211">
        <f>AD42</f>
        <v>100</v>
      </c>
      <c r="AD43" s="212"/>
      <c r="AE43" s="210"/>
      <c r="AF43" s="211">
        <f>AG42</f>
        <v>100</v>
      </c>
      <c r="AG43" s="212"/>
      <c r="AH43" s="210"/>
      <c r="AI43" s="211">
        <f>AJ42</f>
        <v>100</v>
      </c>
      <c r="AJ43" s="212"/>
      <c r="AK43" s="210"/>
      <c r="AL43" s="211">
        <f>AM42</f>
        <v>0</v>
      </c>
      <c r="AM43" s="231"/>
    </row>
    <row r="44" spans="1:39" ht="14.25" customHeight="1">
      <c r="A44" s="33">
        <v>10</v>
      </c>
      <c r="B44" s="254" t="str">
        <f>nov!B34</f>
        <v>Penyerdiaan Jasa Komunikasi, Sumber Daya Air dan Listrik </v>
      </c>
      <c r="C44" s="34">
        <f>nov!C34</f>
        <v>37600000</v>
      </c>
      <c r="D44" s="213"/>
      <c r="E44" s="214">
        <f>2300000*1/C44*100</f>
        <v>6.117021276595745</v>
      </c>
      <c r="F44" s="215"/>
      <c r="G44" s="216"/>
      <c r="H44" s="214">
        <f>2300000*2/C44*100</f>
        <v>12.23404255319149</v>
      </c>
      <c r="I44" s="217"/>
      <c r="J44" s="216"/>
      <c r="K44" s="214">
        <f>2300000*3/C44*100</f>
        <v>18.351063829787233</v>
      </c>
      <c r="L44" s="217"/>
      <c r="M44" s="216"/>
      <c r="N44" s="214">
        <f>2300000*4/C44*100</f>
        <v>24.46808510638298</v>
      </c>
      <c r="O44" s="217"/>
      <c r="P44" s="216"/>
      <c r="Q44" s="214">
        <f>2300000*5/C44*100</f>
        <v>30.585106382978722</v>
      </c>
      <c r="R44" s="217"/>
      <c r="S44" s="216"/>
      <c r="T44" s="214">
        <f>2300000*6/C44*100</f>
        <v>36.702127659574465</v>
      </c>
      <c r="U44" s="217"/>
      <c r="V44" s="216"/>
      <c r="W44" s="214">
        <f>2300000*7/C44*100</f>
        <v>42.819148936170215</v>
      </c>
      <c r="X44" s="217"/>
      <c r="Y44" s="216"/>
      <c r="Z44" s="214">
        <f>2300000*8/C44*100</f>
        <v>48.93617021276596</v>
      </c>
      <c r="AA44" s="217"/>
      <c r="AB44" s="216"/>
      <c r="AC44" s="214">
        <f>2300000*9/C44*100</f>
        <v>55.053191489361694</v>
      </c>
      <c r="AD44" s="217"/>
      <c r="AE44" s="216"/>
      <c r="AF44" s="214">
        <f>2300000*10/C44*100</f>
        <v>61.170212765957444</v>
      </c>
      <c r="AG44" s="217"/>
      <c r="AH44" s="216"/>
      <c r="AI44" s="214">
        <f>2300000*11/C44*100</f>
        <v>67.2872340425532</v>
      </c>
      <c r="AJ44" s="217"/>
      <c r="AK44" s="216"/>
      <c r="AL44" s="214">
        <f>2300000*12/C44*100</f>
        <v>73.40425531914893</v>
      </c>
      <c r="AM44" s="232"/>
    </row>
    <row r="45" spans="1:39" ht="14.25" customHeight="1">
      <c r="A45" s="11"/>
      <c r="B45" s="260"/>
      <c r="C45" s="12"/>
      <c r="D45" s="221">
        <v>0</v>
      </c>
      <c r="E45" s="222"/>
      <c r="F45" s="223">
        <f>D45</f>
        <v>0</v>
      </c>
      <c r="G45" s="221">
        <v>20</v>
      </c>
      <c r="H45" s="222"/>
      <c r="I45" s="223">
        <f>G45</f>
        <v>20</v>
      </c>
      <c r="J45" s="221">
        <v>28</v>
      </c>
      <c r="K45" s="222"/>
      <c r="L45" s="223">
        <f>J45</f>
        <v>28</v>
      </c>
      <c r="M45" s="221">
        <v>37</v>
      </c>
      <c r="N45" s="222"/>
      <c r="O45" s="223">
        <f>M45</f>
        <v>37</v>
      </c>
      <c r="P45" s="221">
        <v>46</v>
      </c>
      <c r="Q45" s="222"/>
      <c r="R45" s="223">
        <f>P45</f>
        <v>46</v>
      </c>
      <c r="S45" s="221">
        <v>54</v>
      </c>
      <c r="T45" s="222"/>
      <c r="U45" s="223">
        <f>S45</f>
        <v>54</v>
      </c>
      <c r="V45" s="221">
        <v>63</v>
      </c>
      <c r="W45" s="222"/>
      <c r="X45" s="223">
        <f>V45</f>
        <v>63</v>
      </c>
      <c r="Y45" s="221">
        <v>74</v>
      </c>
      <c r="Z45" s="222"/>
      <c r="AA45" s="223">
        <f>Y45</f>
        <v>74</v>
      </c>
      <c r="AB45" s="221">
        <v>85</v>
      </c>
      <c r="AC45" s="222"/>
      <c r="AD45" s="223">
        <f>AB45</f>
        <v>85</v>
      </c>
      <c r="AE45" s="221">
        <v>70</v>
      </c>
      <c r="AF45" s="222"/>
      <c r="AG45" s="223">
        <f>AE45</f>
        <v>70</v>
      </c>
      <c r="AH45" s="221">
        <v>78</v>
      </c>
      <c r="AI45" s="222"/>
      <c r="AJ45" s="223">
        <f>AH45</f>
        <v>78</v>
      </c>
      <c r="AK45" s="221">
        <v>0</v>
      </c>
      <c r="AL45" s="222"/>
      <c r="AM45" s="224">
        <f>AK45</f>
        <v>0</v>
      </c>
    </row>
    <row r="46" spans="1:39" ht="14.25" customHeight="1">
      <c r="A46" s="36"/>
      <c r="B46" s="261"/>
      <c r="C46" s="37"/>
      <c r="D46" s="225"/>
      <c r="E46" s="226">
        <f>F45</f>
        <v>0</v>
      </c>
      <c r="F46" s="227"/>
      <c r="G46" s="225"/>
      <c r="H46" s="226">
        <f>I45</f>
        <v>20</v>
      </c>
      <c r="I46" s="227"/>
      <c r="J46" s="225"/>
      <c r="K46" s="226">
        <f>L45</f>
        <v>28</v>
      </c>
      <c r="L46" s="227"/>
      <c r="M46" s="225"/>
      <c r="N46" s="226">
        <f>O45</f>
        <v>37</v>
      </c>
      <c r="O46" s="227"/>
      <c r="P46" s="225"/>
      <c r="Q46" s="226">
        <f>R45</f>
        <v>46</v>
      </c>
      <c r="R46" s="227"/>
      <c r="S46" s="225"/>
      <c r="T46" s="226">
        <f>U45</f>
        <v>54</v>
      </c>
      <c r="U46" s="227"/>
      <c r="V46" s="225"/>
      <c r="W46" s="226">
        <f>X45</f>
        <v>63</v>
      </c>
      <c r="X46" s="227"/>
      <c r="Y46" s="225"/>
      <c r="Z46" s="226">
        <f>AA45</f>
        <v>74</v>
      </c>
      <c r="AA46" s="227"/>
      <c r="AB46" s="225"/>
      <c r="AC46" s="226">
        <f>AD45</f>
        <v>85</v>
      </c>
      <c r="AD46" s="227"/>
      <c r="AE46" s="225"/>
      <c r="AF46" s="226">
        <f>AG45</f>
        <v>70</v>
      </c>
      <c r="AG46" s="227"/>
      <c r="AH46" s="225"/>
      <c r="AI46" s="226">
        <f>AJ45</f>
        <v>78</v>
      </c>
      <c r="AJ46" s="227"/>
      <c r="AK46" s="225"/>
      <c r="AL46" s="226">
        <f>AM45</f>
        <v>0</v>
      </c>
      <c r="AM46" s="228"/>
    </row>
    <row r="47" spans="1:39" s="120" customFormat="1" ht="14.25" customHeight="1">
      <c r="A47" s="118">
        <v>11</v>
      </c>
      <c r="B47" s="257" t="str">
        <f>nov!B36</f>
        <v>Penyediaan Jasa Pelayanan Umum Kantor</v>
      </c>
      <c r="C47" s="125">
        <f>nov!C36</f>
        <v>170820000</v>
      </c>
      <c r="D47" s="201"/>
      <c r="E47" s="202">
        <f>13560000*1/$C$47*100</f>
        <v>7.938180540920267</v>
      </c>
      <c r="F47" s="203"/>
      <c r="G47" s="204"/>
      <c r="H47" s="202">
        <f>13560000*2/$C$47*100</f>
        <v>15.876361081840534</v>
      </c>
      <c r="I47" s="205"/>
      <c r="J47" s="204"/>
      <c r="K47" s="202">
        <f>13560000*3/$C$47*100</f>
        <v>23.814541622760803</v>
      </c>
      <c r="L47" s="205"/>
      <c r="M47" s="204"/>
      <c r="N47" s="202">
        <f>13560000*4/$C$47*100</f>
        <v>31.752722163681067</v>
      </c>
      <c r="O47" s="205"/>
      <c r="P47" s="204"/>
      <c r="Q47" s="202">
        <f>13560000*5/$C$47*100</f>
        <v>39.690902704601335</v>
      </c>
      <c r="R47" s="205"/>
      <c r="S47" s="204"/>
      <c r="T47" s="202">
        <f>13560000*6/$C$47*100</f>
        <v>47.629083245521606</v>
      </c>
      <c r="U47" s="205"/>
      <c r="V47" s="204"/>
      <c r="W47" s="202">
        <f>13560000*7/$C$47*100</f>
        <v>55.56726378644187</v>
      </c>
      <c r="X47" s="205"/>
      <c r="Y47" s="204"/>
      <c r="Z47" s="202">
        <f>13560000*8/$C$47*100</f>
        <v>63.505444327362135</v>
      </c>
      <c r="AA47" s="205"/>
      <c r="AB47" s="204"/>
      <c r="AC47" s="229">
        <f>13560000*9/$C$47*100</f>
        <v>71.44362486828241</v>
      </c>
      <c r="AD47" s="205"/>
      <c r="AE47" s="204"/>
      <c r="AF47" s="229">
        <f>13560000*10/$C$47*100</f>
        <v>79.38180540920267</v>
      </c>
      <c r="AG47" s="205"/>
      <c r="AH47" s="204"/>
      <c r="AI47" s="229">
        <f>13560000*11/$C$47*100</f>
        <v>87.31998595012294</v>
      </c>
      <c r="AJ47" s="205"/>
      <c r="AK47" s="204"/>
      <c r="AL47" s="229">
        <f>13560000*12/$C$47*100</f>
        <v>95.25816649104321</v>
      </c>
      <c r="AM47" s="206"/>
    </row>
    <row r="48" spans="1:39" s="120" customFormat="1" ht="14.25" customHeight="1">
      <c r="A48" s="121"/>
      <c r="B48" s="258"/>
      <c r="C48" s="126"/>
      <c r="D48" s="207">
        <v>0</v>
      </c>
      <c r="E48" s="208"/>
      <c r="F48" s="209">
        <f>D48</f>
        <v>0</v>
      </c>
      <c r="G48" s="207">
        <v>8</v>
      </c>
      <c r="H48" s="208"/>
      <c r="I48" s="209">
        <f>G48</f>
        <v>8</v>
      </c>
      <c r="J48" s="207">
        <v>17</v>
      </c>
      <c r="K48" s="208"/>
      <c r="L48" s="209">
        <f>J48</f>
        <v>17</v>
      </c>
      <c r="M48" s="207">
        <v>33</v>
      </c>
      <c r="N48" s="208"/>
      <c r="O48" s="209">
        <f>M48</f>
        <v>33</v>
      </c>
      <c r="P48" s="207">
        <v>42</v>
      </c>
      <c r="Q48" s="208"/>
      <c r="R48" s="209">
        <f>P48</f>
        <v>42</v>
      </c>
      <c r="S48" s="207">
        <v>50</v>
      </c>
      <c r="T48" s="208"/>
      <c r="U48" s="209">
        <f>S48</f>
        <v>50</v>
      </c>
      <c r="V48" s="207">
        <v>58</v>
      </c>
      <c r="W48" s="208"/>
      <c r="X48" s="209">
        <f>V48</f>
        <v>58</v>
      </c>
      <c r="Y48" s="207">
        <v>67</v>
      </c>
      <c r="Z48" s="208"/>
      <c r="AA48" s="209">
        <f>Y48</f>
        <v>67</v>
      </c>
      <c r="AB48" s="207">
        <v>75</v>
      </c>
      <c r="AC48" s="208"/>
      <c r="AD48" s="209">
        <f>AB48</f>
        <v>75</v>
      </c>
      <c r="AE48" s="207">
        <v>80</v>
      </c>
      <c r="AF48" s="208"/>
      <c r="AG48" s="209">
        <f>AE48</f>
        <v>80</v>
      </c>
      <c r="AH48" s="207">
        <v>80</v>
      </c>
      <c r="AI48" s="208"/>
      <c r="AJ48" s="209">
        <f>AH48</f>
        <v>80</v>
      </c>
      <c r="AK48" s="207">
        <v>0</v>
      </c>
      <c r="AL48" s="208"/>
      <c r="AM48" s="230">
        <f>AK48</f>
        <v>0</v>
      </c>
    </row>
    <row r="49" spans="1:39" s="120" customFormat="1" ht="14.25" customHeight="1">
      <c r="A49" s="123"/>
      <c r="B49" s="259"/>
      <c r="C49" s="127"/>
      <c r="D49" s="210"/>
      <c r="E49" s="211">
        <f>F48</f>
        <v>0</v>
      </c>
      <c r="F49" s="212"/>
      <c r="G49" s="210"/>
      <c r="H49" s="211">
        <f>I48</f>
        <v>8</v>
      </c>
      <c r="I49" s="212"/>
      <c r="J49" s="210"/>
      <c r="K49" s="211">
        <f>L48</f>
        <v>17</v>
      </c>
      <c r="L49" s="212"/>
      <c r="M49" s="210"/>
      <c r="N49" s="211">
        <f>O48</f>
        <v>33</v>
      </c>
      <c r="O49" s="212"/>
      <c r="P49" s="210"/>
      <c r="Q49" s="211">
        <f>R48</f>
        <v>42</v>
      </c>
      <c r="R49" s="212"/>
      <c r="S49" s="210"/>
      <c r="T49" s="211">
        <f>U48</f>
        <v>50</v>
      </c>
      <c r="U49" s="212"/>
      <c r="V49" s="210"/>
      <c r="W49" s="211">
        <f>X48</f>
        <v>58</v>
      </c>
      <c r="X49" s="212"/>
      <c r="Y49" s="210"/>
      <c r="Z49" s="211">
        <f>AA48</f>
        <v>67</v>
      </c>
      <c r="AA49" s="212"/>
      <c r="AB49" s="210"/>
      <c r="AC49" s="211">
        <f>AD48</f>
        <v>75</v>
      </c>
      <c r="AD49" s="212"/>
      <c r="AE49" s="210"/>
      <c r="AF49" s="211">
        <f>AG48</f>
        <v>80</v>
      </c>
      <c r="AG49" s="212"/>
      <c r="AH49" s="210"/>
      <c r="AI49" s="211">
        <f>AJ48</f>
        <v>80</v>
      </c>
      <c r="AJ49" s="212"/>
      <c r="AK49" s="210"/>
      <c r="AL49" s="211">
        <f>AM48</f>
        <v>0</v>
      </c>
      <c r="AM49" s="231"/>
    </row>
    <row r="50" spans="1:39" ht="14.25" customHeight="1" hidden="1">
      <c r="A50" s="33">
        <v>9</v>
      </c>
      <c r="B50" s="254" t="str">
        <f>nov!B38</f>
        <v>Pengadaan Perlengkapan Gedung Kantor</v>
      </c>
      <c r="C50" s="34">
        <f>nov!C38</f>
        <v>0</v>
      </c>
      <c r="D50" s="213"/>
      <c r="E50" s="214">
        <v>0</v>
      </c>
      <c r="F50" s="215"/>
      <c r="G50" s="216"/>
      <c r="H50" s="233">
        <v>0</v>
      </c>
      <c r="I50" s="217"/>
      <c r="J50" s="216"/>
      <c r="K50" s="233">
        <v>0</v>
      </c>
      <c r="L50" s="217"/>
      <c r="M50" s="216"/>
      <c r="N50" s="233">
        <v>0</v>
      </c>
      <c r="O50" s="217"/>
      <c r="P50" s="216"/>
      <c r="Q50" s="233">
        <v>0</v>
      </c>
      <c r="R50" s="217"/>
      <c r="S50" s="216"/>
      <c r="T50" s="233">
        <v>0</v>
      </c>
      <c r="U50" s="217"/>
      <c r="V50" s="216"/>
      <c r="W50" s="233">
        <f>T50</f>
        <v>0</v>
      </c>
      <c r="X50" s="217"/>
      <c r="Y50" s="216"/>
      <c r="Z50" s="233">
        <f>W50</f>
        <v>0</v>
      </c>
      <c r="AA50" s="217"/>
      <c r="AB50" s="216"/>
      <c r="AC50" s="233">
        <f>Z50</f>
        <v>0</v>
      </c>
      <c r="AD50" s="217"/>
      <c r="AE50" s="216"/>
      <c r="AF50" s="233">
        <f>AC50</f>
        <v>0</v>
      </c>
      <c r="AG50" s="217"/>
      <c r="AH50" s="216"/>
      <c r="AI50" s="233">
        <v>0</v>
      </c>
      <c r="AJ50" s="217"/>
      <c r="AK50" s="216"/>
      <c r="AL50" s="233">
        <v>0</v>
      </c>
      <c r="AM50" s="232"/>
    </row>
    <row r="51" spans="1:39" ht="14.25" customHeight="1" hidden="1">
      <c r="A51" s="11"/>
      <c r="B51" s="260"/>
      <c r="C51" s="12"/>
      <c r="D51" s="221">
        <v>0</v>
      </c>
      <c r="E51" s="222"/>
      <c r="F51" s="223">
        <f>D51</f>
        <v>0</v>
      </c>
      <c r="G51" s="221">
        <v>0</v>
      </c>
      <c r="H51" s="222"/>
      <c r="I51" s="223">
        <f>G51</f>
        <v>0</v>
      </c>
      <c r="J51" s="221">
        <v>0</v>
      </c>
      <c r="K51" s="222"/>
      <c r="L51" s="223">
        <f>J51</f>
        <v>0</v>
      </c>
      <c r="M51" s="221">
        <v>0</v>
      </c>
      <c r="N51" s="222"/>
      <c r="O51" s="223">
        <f>M51</f>
        <v>0</v>
      </c>
      <c r="P51" s="221">
        <v>0</v>
      </c>
      <c r="Q51" s="222"/>
      <c r="R51" s="223">
        <f>P51</f>
        <v>0</v>
      </c>
      <c r="S51" s="221">
        <v>0</v>
      </c>
      <c r="T51" s="222"/>
      <c r="U51" s="223">
        <f>S51</f>
        <v>0</v>
      </c>
      <c r="V51" s="221">
        <v>0</v>
      </c>
      <c r="W51" s="222"/>
      <c r="X51" s="223">
        <f>V51</f>
        <v>0</v>
      </c>
      <c r="Y51" s="221">
        <v>0</v>
      </c>
      <c r="Z51" s="222"/>
      <c r="AA51" s="223">
        <f>Y51</f>
        <v>0</v>
      </c>
      <c r="AB51" s="221">
        <v>0</v>
      </c>
      <c r="AC51" s="222"/>
      <c r="AD51" s="223">
        <f>AB51</f>
        <v>0</v>
      </c>
      <c r="AE51" s="221">
        <v>0</v>
      </c>
      <c r="AF51" s="222"/>
      <c r="AG51" s="223">
        <f>AE51</f>
        <v>0</v>
      </c>
      <c r="AH51" s="221">
        <v>0</v>
      </c>
      <c r="AI51" s="222"/>
      <c r="AJ51" s="223">
        <f>AH51</f>
        <v>0</v>
      </c>
      <c r="AK51" s="221">
        <v>0</v>
      </c>
      <c r="AL51" s="222"/>
      <c r="AM51" s="224">
        <f>AK51</f>
        <v>0</v>
      </c>
    </row>
    <row r="52" spans="1:39" ht="14.25" customHeight="1" hidden="1">
      <c r="A52" s="36"/>
      <c r="B52" s="261"/>
      <c r="C52" s="37"/>
      <c r="D52" s="225"/>
      <c r="E52" s="226">
        <f>F51</f>
        <v>0</v>
      </c>
      <c r="F52" s="227"/>
      <c r="G52" s="225"/>
      <c r="H52" s="226">
        <f>I51</f>
        <v>0</v>
      </c>
      <c r="I52" s="227"/>
      <c r="J52" s="225"/>
      <c r="K52" s="226">
        <f>L51</f>
        <v>0</v>
      </c>
      <c r="L52" s="227"/>
      <c r="M52" s="225"/>
      <c r="N52" s="226">
        <f>O51</f>
        <v>0</v>
      </c>
      <c r="O52" s="227"/>
      <c r="P52" s="225"/>
      <c r="Q52" s="226">
        <f>R51</f>
        <v>0</v>
      </c>
      <c r="R52" s="227"/>
      <c r="S52" s="225"/>
      <c r="T52" s="226">
        <f>U51</f>
        <v>0</v>
      </c>
      <c r="U52" s="227"/>
      <c r="V52" s="225"/>
      <c r="W52" s="226">
        <f>X51</f>
        <v>0</v>
      </c>
      <c r="X52" s="227"/>
      <c r="Y52" s="225"/>
      <c r="Z52" s="226">
        <f>AA51</f>
        <v>0</v>
      </c>
      <c r="AA52" s="227"/>
      <c r="AB52" s="225"/>
      <c r="AC52" s="226">
        <f>AD51</f>
        <v>0</v>
      </c>
      <c r="AD52" s="227"/>
      <c r="AE52" s="225"/>
      <c r="AF52" s="226">
        <f>AG51</f>
        <v>0</v>
      </c>
      <c r="AG52" s="227"/>
      <c r="AH52" s="225"/>
      <c r="AI52" s="226">
        <f>AJ51</f>
        <v>0</v>
      </c>
      <c r="AJ52" s="227"/>
      <c r="AK52" s="225"/>
      <c r="AL52" s="226">
        <f>AM51</f>
        <v>0</v>
      </c>
      <c r="AM52" s="228"/>
    </row>
    <row r="53" spans="1:39" ht="14.25" customHeight="1">
      <c r="A53" s="33">
        <v>12</v>
      </c>
      <c r="B53" s="254" t="str">
        <f>nov!B40</f>
        <v>Penyediaan Jasa Pemeliharaan, Biaya Pemeliharaan dan Pajak Kendaraan Perorangan Dinas atau Kendaraan  Dinas Jabatan</v>
      </c>
      <c r="C53" s="34">
        <f>nov!C40</f>
        <v>26776000</v>
      </c>
      <c r="D53" s="213"/>
      <c r="E53" s="214">
        <f>2020083*1/$C$53*100</f>
        <v>7.544379294890947</v>
      </c>
      <c r="F53" s="215"/>
      <c r="G53" s="216"/>
      <c r="H53" s="214">
        <f>2020083*2/$C$53*100</f>
        <v>15.088758589781895</v>
      </c>
      <c r="I53" s="217"/>
      <c r="J53" s="216"/>
      <c r="K53" s="214">
        <f>2020083*3/$C$53*100</f>
        <v>22.63313788467284</v>
      </c>
      <c r="L53" s="217"/>
      <c r="M53" s="216"/>
      <c r="N53" s="214">
        <f>2020083*4/$C$53*100</f>
        <v>30.17751717956379</v>
      </c>
      <c r="O53" s="217"/>
      <c r="P53" s="216"/>
      <c r="Q53" s="214">
        <f>2020083*5/$C$53*100</f>
        <v>37.72189647445474</v>
      </c>
      <c r="R53" s="217"/>
      <c r="S53" s="216"/>
      <c r="T53" s="214">
        <f>2020083*6/$C$53*100</f>
        <v>45.26627576934568</v>
      </c>
      <c r="U53" s="217"/>
      <c r="V53" s="216"/>
      <c r="W53" s="214">
        <f>2020083*7/$C$53*100</f>
        <v>52.810655064236634</v>
      </c>
      <c r="X53" s="217"/>
      <c r="Y53" s="216"/>
      <c r="Z53" s="214">
        <f>2020083*8/$C$53*100</f>
        <v>60.35503435912758</v>
      </c>
      <c r="AA53" s="217"/>
      <c r="AB53" s="216"/>
      <c r="AC53" s="214">
        <f>2020083*9/$C$53*100</f>
        <v>67.89941365401853</v>
      </c>
      <c r="AD53" s="217"/>
      <c r="AE53" s="216"/>
      <c r="AF53" s="214">
        <f>2020083*10/$C$53*100</f>
        <v>75.44379294890948</v>
      </c>
      <c r="AG53" s="217"/>
      <c r="AH53" s="216"/>
      <c r="AI53" s="214">
        <f>2020083*11/$C$53*100</f>
        <v>82.98817224380042</v>
      </c>
      <c r="AJ53" s="217"/>
      <c r="AK53" s="216"/>
      <c r="AL53" s="214">
        <f>2020083*12/$C$53*100</f>
        <v>90.53255153869137</v>
      </c>
      <c r="AM53" s="232"/>
    </row>
    <row r="54" spans="1:39" ht="14.25" customHeight="1">
      <c r="A54" s="11"/>
      <c r="B54" s="260"/>
      <c r="C54" s="12"/>
      <c r="D54" s="221">
        <v>0</v>
      </c>
      <c r="E54" s="222"/>
      <c r="F54" s="223">
        <f>D54</f>
        <v>0</v>
      </c>
      <c r="G54" s="221">
        <v>6</v>
      </c>
      <c r="H54" s="222"/>
      <c r="I54" s="223">
        <f>G54</f>
        <v>6</v>
      </c>
      <c r="J54" s="221">
        <v>12</v>
      </c>
      <c r="K54" s="222"/>
      <c r="L54" s="223">
        <f>J54</f>
        <v>12</v>
      </c>
      <c r="M54" s="221">
        <v>19</v>
      </c>
      <c r="N54" s="222"/>
      <c r="O54" s="223">
        <f>M54</f>
        <v>19</v>
      </c>
      <c r="P54" s="221">
        <v>31</v>
      </c>
      <c r="Q54" s="222"/>
      <c r="R54" s="223">
        <f>P54</f>
        <v>31</v>
      </c>
      <c r="S54" s="221">
        <v>42</v>
      </c>
      <c r="T54" s="222"/>
      <c r="U54" s="223">
        <f>S54</f>
        <v>42</v>
      </c>
      <c r="V54" s="221">
        <v>48</v>
      </c>
      <c r="W54" s="222"/>
      <c r="X54" s="223">
        <f>V54</f>
        <v>48</v>
      </c>
      <c r="Y54" s="221">
        <v>54</v>
      </c>
      <c r="Z54" s="222"/>
      <c r="AA54" s="223">
        <f>Y54</f>
        <v>54</v>
      </c>
      <c r="AB54" s="221">
        <v>66</v>
      </c>
      <c r="AC54" s="222"/>
      <c r="AD54" s="223">
        <f>AB54</f>
        <v>66</v>
      </c>
      <c r="AE54" s="221">
        <v>67</v>
      </c>
      <c r="AF54" s="222"/>
      <c r="AG54" s="223">
        <f>AE54</f>
        <v>67</v>
      </c>
      <c r="AH54" s="221">
        <v>79</v>
      </c>
      <c r="AI54" s="222"/>
      <c r="AJ54" s="223">
        <f>AH54</f>
        <v>79</v>
      </c>
      <c r="AK54" s="221">
        <v>0</v>
      </c>
      <c r="AL54" s="222"/>
      <c r="AM54" s="224">
        <f>AK54</f>
        <v>0</v>
      </c>
    </row>
    <row r="55" spans="1:39" ht="14.25" customHeight="1">
      <c r="A55" s="36"/>
      <c r="B55" s="261"/>
      <c r="C55" s="37"/>
      <c r="D55" s="225"/>
      <c r="E55" s="226">
        <f>F54</f>
        <v>0</v>
      </c>
      <c r="F55" s="227"/>
      <c r="G55" s="225"/>
      <c r="H55" s="226">
        <f>I54</f>
        <v>6</v>
      </c>
      <c r="I55" s="227"/>
      <c r="J55" s="225"/>
      <c r="K55" s="226">
        <f>L54</f>
        <v>12</v>
      </c>
      <c r="L55" s="227"/>
      <c r="M55" s="225"/>
      <c r="N55" s="226">
        <f>O54</f>
        <v>19</v>
      </c>
      <c r="O55" s="227"/>
      <c r="P55" s="225"/>
      <c r="Q55" s="226">
        <f>R54</f>
        <v>31</v>
      </c>
      <c r="R55" s="227"/>
      <c r="S55" s="225"/>
      <c r="T55" s="226">
        <f>U54</f>
        <v>42</v>
      </c>
      <c r="U55" s="227"/>
      <c r="V55" s="225"/>
      <c r="W55" s="226">
        <f>X54</f>
        <v>48</v>
      </c>
      <c r="X55" s="227"/>
      <c r="Y55" s="225"/>
      <c r="Z55" s="226">
        <f>AA54</f>
        <v>54</v>
      </c>
      <c r="AA55" s="227"/>
      <c r="AB55" s="225"/>
      <c r="AC55" s="226">
        <f>AD54</f>
        <v>66</v>
      </c>
      <c r="AD55" s="227"/>
      <c r="AE55" s="225"/>
      <c r="AF55" s="226">
        <f>AG54</f>
        <v>67</v>
      </c>
      <c r="AG55" s="227"/>
      <c r="AH55" s="225"/>
      <c r="AI55" s="226">
        <f>AJ54</f>
        <v>79</v>
      </c>
      <c r="AJ55" s="227"/>
      <c r="AK55" s="225"/>
      <c r="AL55" s="226">
        <f>AM54</f>
        <v>0</v>
      </c>
      <c r="AM55" s="228"/>
    </row>
    <row r="56" spans="1:39" s="120" customFormat="1" ht="14.25" customHeight="1">
      <c r="A56" s="118">
        <v>13</v>
      </c>
      <c r="B56" s="257" t="str">
        <f>nov!B42</f>
        <v>Pemeliharaan Peralatan dan Mesin Lainnya</v>
      </c>
      <c r="C56" s="125">
        <f>nov!C42</f>
        <v>6410000</v>
      </c>
      <c r="D56" s="201"/>
      <c r="E56" s="202">
        <v>0</v>
      </c>
      <c r="F56" s="203"/>
      <c r="G56" s="204"/>
      <c r="H56" s="202">
        <v>0</v>
      </c>
      <c r="I56" s="205"/>
      <c r="J56" s="204"/>
      <c r="K56" s="202">
        <f>3460000/7880000*100</f>
        <v>43.90862944162436</v>
      </c>
      <c r="L56" s="205"/>
      <c r="M56" s="204"/>
      <c r="N56" s="202">
        <f>3460000/7880000*100</f>
        <v>43.90862944162436</v>
      </c>
      <c r="O56" s="205"/>
      <c r="P56" s="204"/>
      <c r="Q56" s="202">
        <f>3460000/7880000*100</f>
        <v>43.90862944162436</v>
      </c>
      <c r="R56" s="205"/>
      <c r="S56" s="204"/>
      <c r="T56" s="202">
        <f>3460000/7880000*100</f>
        <v>43.90862944162436</v>
      </c>
      <c r="U56" s="205"/>
      <c r="V56" s="204"/>
      <c r="W56" s="202">
        <f>3460000/7880000*100</f>
        <v>43.90862944162436</v>
      </c>
      <c r="X56" s="205"/>
      <c r="Y56" s="204"/>
      <c r="Z56" s="202">
        <f>3460000/7880000*100</f>
        <v>43.90862944162436</v>
      </c>
      <c r="AA56" s="205"/>
      <c r="AB56" s="204"/>
      <c r="AC56" s="202">
        <f>3460000/7880000*100</f>
        <v>43.90862944162436</v>
      </c>
      <c r="AD56" s="205"/>
      <c r="AE56" s="204"/>
      <c r="AF56" s="202">
        <f>3460000/7880000*100</f>
        <v>43.90862944162436</v>
      </c>
      <c r="AG56" s="205"/>
      <c r="AH56" s="204"/>
      <c r="AI56" s="202">
        <f>3460000/7880000*100</f>
        <v>43.90862944162436</v>
      </c>
      <c r="AJ56" s="205"/>
      <c r="AK56" s="204"/>
      <c r="AL56" s="202">
        <f>7880000/7880000*100</f>
        <v>100</v>
      </c>
      <c r="AM56" s="206"/>
    </row>
    <row r="57" spans="1:39" s="120" customFormat="1" ht="14.25" customHeight="1">
      <c r="A57" s="121"/>
      <c r="B57" s="258"/>
      <c r="C57" s="126"/>
      <c r="D57" s="207">
        <v>0</v>
      </c>
      <c r="E57" s="208"/>
      <c r="F57" s="209">
        <f>D57</f>
        <v>0</v>
      </c>
      <c r="G57" s="207">
        <v>0</v>
      </c>
      <c r="H57" s="208"/>
      <c r="I57" s="209">
        <f>G57</f>
        <v>0</v>
      </c>
      <c r="J57" s="207">
        <v>18</v>
      </c>
      <c r="K57" s="208"/>
      <c r="L57" s="209">
        <f>J57</f>
        <v>18</v>
      </c>
      <c r="M57" s="207">
        <v>27</v>
      </c>
      <c r="N57" s="208"/>
      <c r="O57" s="209">
        <f>M57</f>
        <v>27</v>
      </c>
      <c r="P57" s="207">
        <v>27</v>
      </c>
      <c r="Q57" s="208"/>
      <c r="R57" s="209">
        <f>P57</f>
        <v>27</v>
      </c>
      <c r="S57" s="207">
        <v>27</v>
      </c>
      <c r="T57" s="208"/>
      <c r="U57" s="209">
        <f>S57</f>
        <v>27</v>
      </c>
      <c r="V57" s="207">
        <v>36</v>
      </c>
      <c r="W57" s="208"/>
      <c r="X57" s="209">
        <f>V57</f>
        <v>36</v>
      </c>
      <c r="Y57" s="207">
        <v>45</v>
      </c>
      <c r="Z57" s="208"/>
      <c r="AA57" s="209">
        <f>Y57</f>
        <v>45</v>
      </c>
      <c r="AB57" s="207">
        <v>45</v>
      </c>
      <c r="AC57" s="208"/>
      <c r="AD57" s="209">
        <f>AB57</f>
        <v>45</v>
      </c>
      <c r="AE57" s="207">
        <v>55</v>
      </c>
      <c r="AF57" s="208"/>
      <c r="AG57" s="209">
        <f>AE57</f>
        <v>55</v>
      </c>
      <c r="AH57" s="207">
        <v>78</v>
      </c>
      <c r="AI57" s="208"/>
      <c r="AJ57" s="209">
        <f>AH57</f>
        <v>78</v>
      </c>
      <c r="AK57" s="207">
        <v>0</v>
      </c>
      <c r="AL57" s="208"/>
      <c r="AM57" s="230">
        <f>AK57</f>
        <v>0</v>
      </c>
    </row>
    <row r="58" spans="1:39" s="120" customFormat="1" ht="13.5" customHeight="1">
      <c r="A58" s="123"/>
      <c r="B58" s="259"/>
      <c r="C58" s="127"/>
      <c r="D58" s="210"/>
      <c r="E58" s="211">
        <f>F57</f>
        <v>0</v>
      </c>
      <c r="F58" s="212"/>
      <c r="G58" s="210"/>
      <c r="H58" s="211">
        <f>I57</f>
        <v>0</v>
      </c>
      <c r="I58" s="212"/>
      <c r="J58" s="210"/>
      <c r="K58" s="211">
        <f>L57</f>
        <v>18</v>
      </c>
      <c r="L58" s="212"/>
      <c r="M58" s="210"/>
      <c r="N58" s="211">
        <f>O57</f>
        <v>27</v>
      </c>
      <c r="O58" s="212"/>
      <c r="P58" s="210"/>
      <c r="Q58" s="211">
        <f>R57</f>
        <v>27</v>
      </c>
      <c r="R58" s="212"/>
      <c r="S58" s="210"/>
      <c r="T58" s="211">
        <f>U57</f>
        <v>27</v>
      </c>
      <c r="U58" s="212"/>
      <c r="V58" s="210"/>
      <c r="W58" s="211">
        <f>X57</f>
        <v>36</v>
      </c>
      <c r="X58" s="212"/>
      <c r="Y58" s="210"/>
      <c r="Z58" s="211">
        <f>AA57</f>
        <v>45</v>
      </c>
      <c r="AA58" s="212"/>
      <c r="AB58" s="210"/>
      <c r="AC58" s="211">
        <f>AD57</f>
        <v>45</v>
      </c>
      <c r="AD58" s="212"/>
      <c r="AE58" s="210"/>
      <c r="AF58" s="211">
        <f>AG57</f>
        <v>55</v>
      </c>
      <c r="AG58" s="212"/>
      <c r="AH58" s="210"/>
      <c r="AI58" s="211">
        <f>AJ57</f>
        <v>78</v>
      </c>
      <c r="AJ58" s="212"/>
      <c r="AK58" s="210"/>
      <c r="AL58" s="211">
        <f>AM57</f>
        <v>0</v>
      </c>
      <c r="AM58" s="231"/>
    </row>
    <row r="59" spans="1:39" ht="13.5" customHeight="1" hidden="1">
      <c r="A59" s="33">
        <v>12</v>
      </c>
      <c r="B59" s="254" t="str">
        <f>nov!B44</f>
        <v>Penyusunan Laporan Capaian Kinerja dan Ikhtisar Realisasi Kinerja SKPD</v>
      </c>
      <c r="C59" s="34">
        <f>nov!C44</f>
        <v>0</v>
      </c>
      <c r="D59" s="213"/>
      <c r="E59" s="214">
        <v>0</v>
      </c>
      <c r="F59" s="215"/>
      <c r="G59" s="216"/>
      <c r="H59" s="214">
        <v>0</v>
      </c>
      <c r="I59" s="217"/>
      <c r="J59" s="216"/>
      <c r="K59" s="214">
        <v>0</v>
      </c>
      <c r="L59" s="217"/>
      <c r="M59" s="216"/>
      <c r="N59" s="214">
        <v>0</v>
      </c>
      <c r="O59" s="217"/>
      <c r="P59" s="216"/>
      <c r="Q59" s="214">
        <v>0</v>
      </c>
      <c r="R59" s="217"/>
      <c r="S59" s="216"/>
      <c r="T59" s="214">
        <v>0</v>
      </c>
      <c r="U59" s="217"/>
      <c r="V59" s="216"/>
      <c r="W59" s="214">
        <v>0</v>
      </c>
      <c r="X59" s="217"/>
      <c r="Y59" s="216"/>
      <c r="Z59" s="214">
        <v>0</v>
      </c>
      <c r="AA59" s="217"/>
      <c r="AB59" s="216"/>
      <c r="AC59" s="214">
        <v>0</v>
      </c>
      <c r="AD59" s="217"/>
      <c r="AE59" s="216"/>
      <c r="AF59" s="214">
        <v>0</v>
      </c>
      <c r="AG59" s="217"/>
      <c r="AH59" s="216"/>
      <c r="AI59" s="214">
        <v>0</v>
      </c>
      <c r="AJ59" s="217"/>
      <c r="AK59" s="216"/>
      <c r="AL59" s="214">
        <v>0</v>
      </c>
      <c r="AM59" s="232"/>
    </row>
    <row r="60" spans="1:39" ht="13.5" customHeight="1" hidden="1">
      <c r="A60" s="11"/>
      <c r="B60" s="260"/>
      <c r="C60" s="12"/>
      <c r="D60" s="221">
        <v>0</v>
      </c>
      <c r="E60" s="222"/>
      <c r="F60" s="223">
        <f>D60</f>
        <v>0</v>
      </c>
      <c r="G60" s="221">
        <v>0</v>
      </c>
      <c r="H60" s="222"/>
      <c r="I60" s="223">
        <f>G60</f>
        <v>0</v>
      </c>
      <c r="J60" s="221">
        <v>0</v>
      </c>
      <c r="K60" s="222"/>
      <c r="L60" s="223">
        <f>J60</f>
        <v>0</v>
      </c>
      <c r="M60" s="221">
        <v>0</v>
      </c>
      <c r="N60" s="222"/>
      <c r="O60" s="223">
        <f>M60</f>
        <v>0</v>
      </c>
      <c r="P60" s="221">
        <v>0</v>
      </c>
      <c r="Q60" s="222"/>
      <c r="R60" s="223">
        <f>P60</f>
        <v>0</v>
      </c>
      <c r="S60" s="221">
        <v>0</v>
      </c>
      <c r="T60" s="222"/>
      <c r="U60" s="223">
        <f>S60</f>
        <v>0</v>
      </c>
      <c r="V60" s="221">
        <v>0</v>
      </c>
      <c r="W60" s="222"/>
      <c r="X60" s="223">
        <f>V60</f>
        <v>0</v>
      </c>
      <c r="Y60" s="221">
        <v>0</v>
      </c>
      <c r="Z60" s="222"/>
      <c r="AA60" s="223">
        <f>Y60</f>
        <v>0</v>
      </c>
      <c r="AB60" s="221">
        <v>0</v>
      </c>
      <c r="AC60" s="222"/>
      <c r="AD60" s="223">
        <f>AB60</f>
        <v>0</v>
      </c>
      <c r="AE60" s="221">
        <v>0</v>
      </c>
      <c r="AF60" s="222"/>
      <c r="AG60" s="223">
        <f>AE60</f>
        <v>0</v>
      </c>
      <c r="AH60" s="221">
        <v>0</v>
      </c>
      <c r="AI60" s="222"/>
      <c r="AJ60" s="223">
        <f>AH60</f>
        <v>0</v>
      </c>
      <c r="AK60" s="221">
        <v>0</v>
      </c>
      <c r="AL60" s="222"/>
      <c r="AM60" s="224">
        <f>AK60</f>
        <v>0</v>
      </c>
    </row>
    <row r="61" spans="1:39" s="10" customFormat="1" ht="13.5" customHeight="1" hidden="1">
      <c r="A61" s="36"/>
      <c r="B61" s="261"/>
      <c r="C61" s="37"/>
      <c r="D61" s="225"/>
      <c r="E61" s="226">
        <f>F60</f>
        <v>0</v>
      </c>
      <c r="F61" s="227"/>
      <c r="G61" s="225"/>
      <c r="H61" s="226">
        <f>I60</f>
        <v>0</v>
      </c>
      <c r="I61" s="227"/>
      <c r="J61" s="225"/>
      <c r="K61" s="226">
        <f>L60</f>
        <v>0</v>
      </c>
      <c r="L61" s="227"/>
      <c r="M61" s="225"/>
      <c r="N61" s="226">
        <f>O60</f>
        <v>0</v>
      </c>
      <c r="O61" s="227"/>
      <c r="P61" s="225"/>
      <c r="Q61" s="226">
        <f>R60</f>
        <v>0</v>
      </c>
      <c r="R61" s="227"/>
      <c r="S61" s="225"/>
      <c r="T61" s="226">
        <f>U60</f>
        <v>0</v>
      </c>
      <c r="U61" s="227"/>
      <c r="V61" s="225"/>
      <c r="W61" s="226">
        <f>X60</f>
        <v>0</v>
      </c>
      <c r="X61" s="227"/>
      <c r="Y61" s="225"/>
      <c r="Z61" s="226">
        <f>AA60</f>
        <v>0</v>
      </c>
      <c r="AA61" s="227"/>
      <c r="AB61" s="225"/>
      <c r="AC61" s="226">
        <f>AD60</f>
        <v>0</v>
      </c>
      <c r="AD61" s="227"/>
      <c r="AE61" s="225"/>
      <c r="AF61" s="226">
        <f>AG60</f>
        <v>0</v>
      </c>
      <c r="AG61" s="227"/>
      <c r="AH61" s="225"/>
      <c r="AI61" s="226">
        <f>AJ60</f>
        <v>0</v>
      </c>
      <c r="AJ61" s="227"/>
      <c r="AK61" s="225"/>
      <c r="AL61" s="226">
        <f>AM60</f>
        <v>0</v>
      </c>
      <c r="AM61" s="228"/>
    </row>
    <row r="62" spans="1:39" s="10" customFormat="1" ht="13.5" customHeight="1" hidden="1">
      <c r="A62" s="33">
        <v>13</v>
      </c>
      <c r="B62" s="254" t="str">
        <f>nov!B46</f>
        <v>Penyusunan Renstra OPD</v>
      </c>
      <c r="C62" s="34">
        <v>0</v>
      </c>
      <c r="D62" s="213"/>
      <c r="E62" s="214"/>
      <c r="F62" s="215"/>
      <c r="G62" s="216"/>
      <c r="H62" s="214"/>
      <c r="I62" s="217"/>
      <c r="J62" s="216"/>
      <c r="K62" s="214"/>
      <c r="L62" s="217"/>
      <c r="M62" s="216"/>
      <c r="N62" s="214"/>
      <c r="O62" s="217"/>
      <c r="P62" s="216"/>
      <c r="Q62" s="214"/>
      <c r="R62" s="217"/>
      <c r="S62" s="216"/>
      <c r="T62" s="214"/>
      <c r="U62" s="217"/>
      <c r="V62" s="216"/>
      <c r="W62" s="214"/>
      <c r="X62" s="217"/>
      <c r="Y62" s="216"/>
      <c r="Z62" s="214"/>
      <c r="AA62" s="217"/>
      <c r="AB62" s="216"/>
      <c r="AC62" s="214"/>
      <c r="AD62" s="217"/>
      <c r="AE62" s="216"/>
      <c r="AF62" s="214"/>
      <c r="AG62" s="217"/>
      <c r="AH62" s="216"/>
      <c r="AI62" s="214"/>
      <c r="AJ62" s="217"/>
      <c r="AK62" s="216"/>
      <c r="AL62" s="214"/>
      <c r="AM62" s="232"/>
    </row>
    <row r="63" spans="1:39" s="10" customFormat="1" ht="14.25" customHeight="1" hidden="1">
      <c r="A63" s="11"/>
      <c r="B63" s="260"/>
      <c r="C63" s="12"/>
      <c r="D63" s="221">
        <v>0</v>
      </c>
      <c r="E63" s="222"/>
      <c r="F63" s="223">
        <f>D63</f>
        <v>0</v>
      </c>
      <c r="G63" s="221">
        <v>0</v>
      </c>
      <c r="H63" s="222"/>
      <c r="I63" s="223">
        <f>G63</f>
        <v>0</v>
      </c>
      <c r="J63" s="221">
        <v>0</v>
      </c>
      <c r="K63" s="222"/>
      <c r="L63" s="223">
        <f>J63</f>
        <v>0</v>
      </c>
      <c r="M63" s="221">
        <v>0</v>
      </c>
      <c r="N63" s="222"/>
      <c r="O63" s="223">
        <f>M63</f>
        <v>0</v>
      </c>
      <c r="P63" s="221">
        <v>0</v>
      </c>
      <c r="Q63" s="222"/>
      <c r="R63" s="223">
        <f>P63</f>
        <v>0</v>
      </c>
      <c r="S63" s="221">
        <v>0</v>
      </c>
      <c r="T63" s="222"/>
      <c r="U63" s="223">
        <f>S63</f>
        <v>0</v>
      </c>
      <c r="V63" s="221">
        <v>0</v>
      </c>
      <c r="W63" s="222"/>
      <c r="X63" s="223">
        <f>V63</f>
        <v>0</v>
      </c>
      <c r="Y63" s="221">
        <v>0</v>
      </c>
      <c r="Z63" s="222"/>
      <c r="AA63" s="223">
        <f>Y63</f>
        <v>0</v>
      </c>
      <c r="AB63" s="221">
        <v>0</v>
      </c>
      <c r="AC63" s="222"/>
      <c r="AD63" s="223">
        <f>AB63</f>
        <v>0</v>
      </c>
      <c r="AE63" s="221">
        <v>0</v>
      </c>
      <c r="AF63" s="222"/>
      <c r="AG63" s="223">
        <f>AE63</f>
        <v>0</v>
      </c>
      <c r="AH63" s="221">
        <v>0</v>
      </c>
      <c r="AI63" s="222"/>
      <c r="AJ63" s="223">
        <f>AH63</f>
        <v>0</v>
      </c>
      <c r="AK63" s="221">
        <v>0</v>
      </c>
      <c r="AL63" s="222"/>
      <c r="AM63" s="224">
        <f>AK63</f>
        <v>0</v>
      </c>
    </row>
    <row r="64" spans="1:39" ht="35.25" customHeight="1" hidden="1">
      <c r="A64" s="36"/>
      <c r="B64" s="261"/>
      <c r="C64" s="37"/>
      <c r="D64" s="225"/>
      <c r="E64" s="226">
        <f>F63</f>
        <v>0</v>
      </c>
      <c r="F64" s="227"/>
      <c r="G64" s="225"/>
      <c r="H64" s="226">
        <f>I63</f>
        <v>0</v>
      </c>
      <c r="I64" s="227"/>
      <c r="J64" s="225"/>
      <c r="K64" s="226">
        <f>L63</f>
        <v>0</v>
      </c>
      <c r="L64" s="227"/>
      <c r="M64" s="225"/>
      <c r="N64" s="226">
        <f>O63</f>
        <v>0</v>
      </c>
      <c r="O64" s="227"/>
      <c r="P64" s="225"/>
      <c r="Q64" s="226">
        <f>R63</f>
        <v>0</v>
      </c>
      <c r="R64" s="227"/>
      <c r="S64" s="225"/>
      <c r="T64" s="226">
        <f>U63</f>
        <v>0</v>
      </c>
      <c r="U64" s="227"/>
      <c r="V64" s="225"/>
      <c r="W64" s="226">
        <f>X63</f>
        <v>0</v>
      </c>
      <c r="X64" s="227"/>
      <c r="Y64" s="225"/>
      <c r="Z64" s="226">
        <f>AA63</f>
        <v>0</v>
      </c>
      <c r="AA64" s="227"/>
      <c r="AB64" s="225"/>
      <c r="AC64" s="226">
        <f>AD63</f>
        <v>0</v>
      </c>
      <c r="AD64" s="227"/>
      <c r="AE64" s="225"/>
      <c r="AF64" s="226">
        <f>AG63</f>
        <v>0</v>
      </c>
      <c r="AG64" s="227"/>
      <c r="AH64" s="225"/>
      <c r="AI64" s="226">
        <f>AJ63</f>
        <v>0</v>
      </c>
      <c r="AJ64" s="227"/>
      <c r="AK64" s="225"/>
      <c r="AL64" s="226">
        <f>AM63</f>
        <v>0</v>
      </c>
      <c r="AM64" s="228"/>
    </row>
    <row r="65" spans="1:39" s="10" customFormat="1" ht="14.25" customHeight="1">
      <c r="A65" s="33">
        <v>14</v>
      </c>
      <c r="B65" s="254" t="str">
        <f>nov!B48</f>
        <v>Pemeliharaan/Rehabilitasi Sarana dan Prasarana Gedung Kantor atau Bangunan Lainnya</v>
      </c>
      <c r="C65" s="34">
        <f>nov!C48</f>
        <v>100000000</v>
      </c>
      <c r="D65" s="213"/>
      <c r="E65" s="214">
        <v>0</v>
      </c>
      <c r="F65" s="215"/>
      <c r="G65" s="216"/>
      <c r="H65" s="214">
        <v>0</v>
      </c>
      <c r="I65" s="217"/>
      <c r="J65" s="216"/>
      <c r="K65" s="214">
        <v>0</v>
      </c>
      <c r="L65" s="217"/>
      <c r="M65" s="216"/>
      <c r="N65" s="214">
        <v>0</v>
      </c>
      <c r="O65" s="217"/>
      <c r="P65" s="216"/>
      <c r="Q65" s="214">
        <v>0</v>
      </c>
      <c r="R65" s="217"/>
      <c r="S65" s="216"/>
      <c r="T65" s="214">
        <v>0</v>
      </c>
      <c r="U65" s="217"/>
      <c r="V65" s="216"/>
      <c r="W65" s="214">
        <v>0</v>
      </c>
      <c r="X65" s="217"/>
      <c r="Y65" s="216"/>
      <c r="Z65" s="214">
        <v>0</v>
      </c>
      <c r="AA65" s="217"/>
      <c r="AB65" s="216"/>
      <c r="AC65" s="214">
        <v>0</v>
      </c>
      <c r="AD65" s="217"/>
      <c r="AE65" s="216"/>
      <c r="AF65" s="214">
        <v>50</v>
      </c>
      <c r="AG65" s="217"/>
      <c r="AH65" s="216"/>
      <c r="AI65" s="214">
        <v>50</v>
      </c>
      <c r="AJ65" s="217"/>
      <c r="AK65" s="216"/>
      <c r="AL65" s="214">
        <v>100</v>
      </c>
      <c r="AM65" s="232"/>
    </row>
    <row r="66" spans="1:39" s="10" customFormat="1" ht="14.25" customHeight="1">
      <c r="A66" s="11"/>
      <c r="B66" s="260"/>
      <c r="C66" s="12"/>
      <c r="D66" s="221">
        <v>0</v>
      </c>
      <c r="E66" s="222"/>
      <c r="F66" s="223">
        <f>D66</f>
        <v>0</v>
      </c>
      <c r="G66" s="221">
        <v>0</v>
      </c>
      <c r="H66" s="222"/>
      <c r="I66" s="223">
        <f>G66</f>
        <v>0</v>
      </c>
      <c r="J66" s="221">
        <v>0</v>
      </c>
      <c r="K66" s="222"/>
      <c r="L66" s="223">
        <f>J66</f>
        <v>0</v>
      </c>
      <c r="M66" s="221">
        <v>0</v>
      </c>
      <c r="N66" s="222"/>
      <c r="O66" s="223">
        <f>M66</f>
        <v>0</v>
      </c>
      <c r="P66" s="221">
        <v>0</v>
      </c>
      <c r="Q66" s="222"/>
      <c r="R66" s="223">
        <f>P66</f>
        <v>0</v>
      </c>
      <c r="S66" s="221">
        <v>0</v>
      </c>
      <c r="T66" s="222"/>
      <c r="U66" s="223">
        <f>S66</f>
        <v>0</v>
      </c>
      <c r="V66" s="221">
        <v>0</v>
      </c>
      <c r="W66" s="222"/>
      <c r="X66" s="223">
        <f>V66</f>
        <v>0</v>
      </c>
      <c r="Y66" s="221">
        <v>0</v>
      </c>
      <c r="Z66" s="222"/>
      <c r="AA66" s="223">
        <f>Y66</f>
        <v>0</v>
      </c>
      <c r="AB66" s="221">
        <v>0</v>
      </c>
      <c r="AC66" s="222"/>
      <c r="AD66" s="223">
        <f>AB66</f>
        <v>0</v>
      </c>
      <c r="AE66" s="221">
        <v>0</v>
      </c>
      <c r="AF66" s="222"/>
      <c r="AG66" s="223">
        <f>AE66</f>
        <v>0</v>
      </c>
      <c r="AH66" s="221">
        <v>0</v>
      </c>
      <c r="AI66" s="222"/>
      <c r="AJ66" s="223">
        <f>AH66</f>
        <v>0</v>
      </c>
      <c r="AK66" s="221">
        <v>0</v>
      </c>
      <c r="AL66" s="222"/>
      <c r="AM66" s="224">
        <f>AK66</f>
        <v>0</v>
      </c>
    </row>
    <row r="67" spans="1:39" ht="14.25" customHeight="1">
      <c r="A67" s="36"/>
      <c r="B67" s="261"/>
      <c r="C67" s="37"/>
      <c r="D67" s="225"/>
      <c r="E67" s="226">
        <f>F66</f>
        <v>0</v>
      </c>
      <c r="F67" s="227"/>
      <c r="G67" s="225"/>
      <c r="H67" s="226">
        <f>I66</f>
        <v>0</v>
      </c>
      <c r="I67" s="227"/>
      <c r="J67" s="225"/>
      <c r="K67" s="226">
        <f>L66</f>
        <v>0</v>
      </c>
      <c r="L67" s="227"/>
      <c r="M67" s="225"/>
      <c r="N67" s="226">
        <f>O66</f>
        <v>0</v>
      </c>
      <c r="O67" s="227"/>
      <c r="P67" s="225"/>
      <c r="Q67" s="226">
        <f>R66</f>
        <v>0</v>
      </c>
      <c r="R67" s="227"/>
      <c r="S67" s="225"/>
      <c r="T67" s="226">
        <f>U66</f>
        <v>0</v>
      </c>
      <c r="U67" s="227"/>
      <c r="V67" s="225"/>
      <c r="W67" s="226">
        <f>X66</f>
        <v>0</v>
      </c>
      <c r="X67" s="227"/>
      <c r="Y67" s="225"/>
      <c r="Z67" s="226">
        <f>AA66</f>
        <v>0</v>
      </c>
      <c r="AA67" s="227"/>
      <c r="AB67" s="225"/>
      <c r="AC67" s="226">
        <f>AD66</f>
        <v>0</v>
      </c>
      <c r="AD67" s="227"/>
      <c r="AE67" s="225"/>
      <c r="AF67" s="226">
        <f>AG66</f>
        <v>0</v>
      </c>
      <c r="AG67" s="227"/>
      <c r="AH67" s="225"/>
      <c r="AI67" s="226">
        <f>AJ66</f>
        <v>0</v>
      </c>
      <c r="AJ67" s="227"/>
      <c r="AK67" s="225"/>
      <c r="AL67" s="226">
        <f>AM66</f>
        <v>0</v>
      </c>
      <c r="AM67" s="228"/>
    </row>
    <row r="68" spans="1:39" s="120" customFormat="1" ht="14.25" customHeight="1">
      <c r="A68" s="118">
        <v>15</v>
      </c>
      <c r="B68" s="257" t="str">
        <f>nov!B50</f>
        <v>Fasilitasi Percepatan Pencapaian Standar Pelayanan Minimal di Wilayah Kecamatan</v>
      </c>
      <c r="C68" s="125">
        <f>nov!C50</f>
        <v>3000000</v>
      </c>
      <c r="D68" s="201"/>
      <c r="E68" s="202">
        <f>250000*1/$C$68*100</f>
        <v>8.333333333333332</v>
      </c>
      <c r="F68" s="203"/>
      <c r="G68" s="204"/>
      <c r="H68" s="202">
        <f>250000*2/$C$68*100</f>
        <v>16.666666666666664</v>
      </c>
      <c r="I68" s="205"/>
      <c r="J68" s="204"/>
      <c r="K68" s="202">
        <f>250000*3/$C$68*100</f>
        <v>25</v>
      </c>
      <c r="L68" s="205"/>
      <c r="M68" s="204"/>
      <c r="N68" s="202">
        <f>250000*4/$C$68*100</f>
        <v>33.33333333333333</v>
      </c>
      <c r="O68" s="205"/>
      <c r="P68" s="204"/>
      <c r="Q68" s="202">
        <f>250000*5/$C$68*100</f>
        <v>41.66666666666667</v>
      </c>
      <c r="R68" s="205"/>
      <c r="S68" s="204"/>
      <c r="T68" s="202">
        <f>250000*6/$C$68*100</f>
        <v>50</v>
      </c>
      <c r="U68" s="205"/>
      <c r="V68" s="204"/>
      <c r="W68" s="202">
        <f>250000*7/$C$68*100</f>
        <v>58.333333333333336</v>
      </c>
      <c r="X68" s="205"/>
      <c r="Y68" s="204"/>
      <c r="Z68" s="202">
        <f>250000*8/$C$68*100</f>
        <v>66.66666666666666</v>
      </c>
      <c r="AA68" s="205"/>
      <c r="AB68" s="204"/>
      <c r="AC68" s="202">
        <f>250000*9/$C$68*100</f>
        <v>75</v>
      </c>
      <c r="AD68" s="205"/>
      <c r="AE68" s="204"/>
      <c r="AF68" s="202">
        <f>250000*10/$C$68*100</f>
        <v>83.33333333333334</v>
      </c>
      <c r="AG68" s="205"/>
      <c r="AH68" s="204"/>
      <c r="AI68" s="202">
        <f>250000*11/$C$68*100</f>
        <v>91.66666666666666</v>
      </c>
      <c r="AJ68" s="205"/>
      <c r="AK68" s="204"/>
      <c r="AL68" s="202">
        <f>250000*12/$C$68*100</f>
        <v>100</v>
      </c>
      <c r="AM68" s="206"/>
    </row>
    <row r="69" spans="1:39" s="120" customFormat="1" ht="14.25" customHeight="1">
      <c r="A69" s="121"/>
      <c r="B69" s="258"/>
      <c r="C69" s="126"/>
      <c r="D69" s="207">
        <v>0</v>
      </c>
      <c r="E69" s="208"/>
      <c r="F69" s="209">
        <f>D69</f>
        <v>0</v>
      </c>
      <c r="G69" s="207">
        <v>0</v>
      </c>
      <c r="H69" s="208"/>
      <c r="I69" s="209">
        <f>G69</f>
        <v>0</v>
      </c>
      <c r="J69" s="207">
        <v>21</v>
      </c>
      <c r="K69" s="208"/>
      <c r="L69" s="209">
        <f>J69</f>
        <v>21</v>
      </c>
      <c r="M69" s="207">
        <v>21</v>
      </c>
      <c r="N69" s="208"/>
      <c r="O69" s="209">
        <f>M69</f>
        <v>21</v>
      </c>
      <c r="P69" s="207">
        <v>40</v>
      </c>
      <c r="Q69" s="208"/>
      <c r="R69" s="209">
        <f>P69</f>
        <v>40</v>
      </c>
      <c r="S69" s="207">
        <v>40</v>
      </c>
      <c r="T69" s="208"/>
      <c r="U69" s="209">
        <f>S69</f>
        <v>40</v>
      </c>
      <c r="V69" s="207">
        <v>63</v>
      </c>
      <c r="W69" s="208"/>
      <c r="X69" s="209">
        <f>V69</f>
        <v>63</v>
      </c>
      <c r="Y69" s="207">
        <v>81</v>
      </c>
      <c r="Z69" s="208"/>
      <c r="AA69" s="209">
        <f>Y69</f>
        <v>81</v>
      </c>
      <c r="AB69" s="207">
        <v>81</v>
      </c>
      <c r="AC69" s="208"/>
      <c r="AD69" s="209">
        <f>AB69</f>
        <v>81</v>
      </c>
      <c r="AE69" s="207">
        <v>81</v>
      </c>
      <c r="AF69" s="208"/>
      <c r="AG69" s="209">
        <f>AE69</f>
        <v>81</v>
      </c>
      <c r="AH69" s="207">
        <v>81</v>
      </c>
      <c r="AI69" s="208"/>
      <c r="AJ69" s="209">
        <f>AH69</f>
        <v>81</v>
      </c>
      <c r="AK69" s="207">
        <v>0</v>
      </c>
      <c r="AL69" s="208"/>
      <c r="AM69" s="230">
        <f>AK69</f>
        <v>0</v>
      </c>
    </row>
    <row r="70" spans="1:39" s="120" customFormat="1" ht="14.25" customHeight="1">
      <c r="A70" s="123"/>
      <c r="B70" s="259"/>
      <c r="C70" s="127"/>
      <c r="D70" s="210"/>
      <c r="E70" s="211">
        <f>F69</f>
        <v>0</v>
      </c>
      <c r="F70" s="212"/>
      <c r="G70" s="210"/>
      <c r="H70" s="211">
        <f>I69</f>
        <v>0</v>
      </c>
      <c r="I70" s="212"/>
      <c r="J70" s="210"/>
      <c r="K70" s="211">
        <f>L69</f>
        <v>21</v>
      </c>
      <c r="L70" s="212"/>
      <c r="M70" s="210"/>
      <c r="N70" s="211">
        <f>O69</f>
        <v>21</v>
      </c>
      <c r="O70" s="212"/>
      <c r="P70" s="210"/>
      <c r="Q70" s="211">
        <f>R69</f>
        <v>40</v>
      </c>
      <c r="R70" s="212"/>
      <c r="S70" s="210"/>
      <c r="T70" s="211">
        <f>U69</f>
        <v>40</v>
      </c>
      <c r="U70" s="212"/>
      <c r="V70" s="210"/>
      <c r="W70" s="211">
        <f>X69</f>
        <v>63</v>
      </c>
      <c r="X70" s="212"/>
      <c r="Y70" s="210"/>
      <c r="Z70" s="211">
        <f>AA69</f>
        <v>81</v>
      </c>
      <c r="AA70" s="212"/>
      <c r="AB70" s="210"/>
      <c r="AC70" s="211">
        <f>AD69</f>
        <v>81</v>
      </c>
      <c r="AD70" s="212"/>
      <c r="AE70" s="210"/>
      <c r="AF70" s="211">
        <f>AG69</f>
        <v>81</v>
      </c>
      <c r="AG70" s="212"/>
      <c r="AH70" s="210"/>
      <c r="AI70" s="211">
        <f>AJ69</f>
        <v>81</v>
      </c>
      <c r="AJ70" s="212"/>
      <c r="AK70" s="210"/>
      <c r="AL70" s="211">
        <f>AM69</f>
        <v>0</v>
      </c>
      <c r="AM70" s="231"/>
    </row>
    <row r="71" spans="1:39" ht="14.25" customHeight="1">
      <c r="A71" s="33">
        <v>16</v>
      </c>
      <c r="B71" s="254" t="str">
        <f>nov!B52</f>
        <v>Peningkatan Partisipasi Masyarakat dalam Forum Musyawarah Perencanaan Pembangunan di Desa</v>
      </c>
      <c r="C71" s="34">
        <f>nov!C52</f>
        <v>5100000</v>
      </c>
      <c r="D71" s="213"/>
      <c r="E71" s="214">
        <v>0</v>
      </c>
      <c r="F71" s="215"/>
      <c r="G71" s="216"/>
      <c r="H71" s="214">
        <v>0</v>
      </c>
      <c r="I71" s="217"/>
      <c r="J71" s="216"/>
      <c r="K71" s="214">
        <v>100</v>
      </c>
      <c r="L71" s="217"/>
      <c r="M71" s="216"/>
      <c r="N71" s="214">
        <v>100</v>
      </c>
      <c r="O71" s="217"/>
      <c r="P71" s="216"/>
      <c r="Q71" s="214">
        <v>100</v>
      </c>
      <c r="R71" s="217"/>
      <c r="S71" s="216"/>
      <c r="T71" s="214">
        <v>100</v>
      </c>
      <c r="U71" s="217"/>
      <c r="V71" s="216"/>
      <c r="W71" s="214">
        <v>100</v>
      </c>
      <c r="X71" s="217"/>
      <c r="Y71" s="216"/>
      <c r="Z71" s="214">
        <v>100</v>
      </c>
      <c r="AA71" s="217"/>
      <c r="AB71" s="216"/>
      <c r="AC71" s="214">
        <v>100</v>
      </c>
      <c r="AD71" s="217"/>
      <c r="AE71" s="216"/>
      <c r="AF71" s="214">
        <v>100</v>
      </c>
      <c r="AG71" s="217"/>
      <c r="AH71" s="216"/>
      <c r="AI71" s="214">
        <v>100</v>
      </c>
      <c r="AJ71" s="217"/>
      <c r="AK71" s="216"/>
      <c r="AL71" s="214">
        <v>100</v>
      </c>
      <c r="AM71" s="232"/>
    </row>
    <row r="72" spans="1:39" ht="14.25" customHeight="1">
      <c r="A72" s="11"/>
      <c r="B72" s="260"/>
      <c r="C72" s="12"/>
      <c r="D72" s="221">
        <v>0</v>
      </c>
      <c r="E72" s="222"/>
      <c r="F72" s="223">
        <f>D72</f>
        <v>0</v>
      </c>
      <c r="G72" s="221">
        <v>0</v>
      </c>
      <c r="H72" s="222"/>
      <c r="I72" s="223">
        <f>G72</f>
        <v>0</v>
      </c>
      <c r="J72" s="221">
        <v>100</v>
      </c>
      <c r="K72" s="222"/>
      <c r="L72" s="223">
        <f>J72</f>
        <v>100</v>
      </c>
      <c r="M72" s="221">
        <v>100</v>
      </c>
      <c r="N72" s="222"/>
      <c r="O72" s="223">
        <f>M72</f>
        <v>100</v>
      </c>
      <c r="P72" s="221">
        <v>100</v>
      </c>
      <c r="Q72" s="222"/>
      <c r="R72" s="223">
        <f>P72</f>
        <v>100</v>
      </c>
      <c r="S72" s="221">
        <v>100</v>
      </c>
      <c r="T72" s="222"/>
      <c r="U72" s="223">
        <f>S72</f>
        <v>100</v>
      </c>
      <c r="V72" s="221">
        <v>100</v>
      </c>
      <c r="W72" s="222"/>
      <c r="X72" s="223">
        <f>V72</f>
        <v>100</v>
      </c>
      <c r="Y72" s="221">
        <v>100</v>
      </c>
      <c r="Z72" s="222"/>
      <c r="AA72" s="223">
        <f>Y72</f>
        <v>100</v>
      </c>
      <c r="AB72" s="221">
        <v>100</v>
      </c>
      <c r="AC72" s="222"/>
      <c r="AD72" s="223">
        <f>AB72</f>
        <v>100</v>
      </c>
      <c r="AE72" s="221">
        <v>100</v>
      </c>
      <c r="AF72" s="222"/>
      <c r="AG72" s="223">
        <f>AE72</f>
        <v>100</v>
      </c>
      <c r="AH72" s="221">
        <v>100</v>
      </c>
      <c r="AI72" s="222"/>
      <c r="AJ72" s="223">
        <f>AH72</f>
        <v>100</v>
      </c>
      <c r="AK72" s="221">
        <v>0</v>
      </c>
      <c r="AL72" s="222"/>
      <c r="AM72" s="224">
        <f>AK72</f>
        <v>0</v>
      </c>
    </row>
    <row r="73" spans="1:39" ht="15.75" customHeight="1">
      <c r="A73" s="36"/>
      <c r="B73" s="261"/>
      <c r="C73" s="37"/>
      <c r="D73" s="225"/>
      <c r="E73" s="226">
        <f>F72</f>
        <v>0</v>
      </c>
      <c r="F73" s="227"/>
      <c r="G73" s="225"/>
      <c r="H73" s="226">
        <f>I72</f>
        <v>0</v>
      </c>
      <c r="I73" s="227"/>
      <c r="J73" s="225"/>
      <c r="K73" s="226">
        <f>L72</f>
        <v>100</v>
      </c>
      <c r="L73" s="227"/>
      <c r="M73" s="225"/>
      <c r="N73" s="226">
        <f>O72</f>
        <v>100</v>
      </c>
      <c r="O73" s="227"/>
      <c r="P73" s="225"/>
      <c r="Q73" s="226">
        <f>R72</f>
        <v>100</v>
      </c>
      <c r="R73" s="227"/>
      <c r="S73" s="225"/>
      <c r="T73" s="226">
        <f>U72</f>
        <v>100</v>
      </c>
      <c r="U73" s="227"/>
      <c r="V73" s="225"/>
      <c r="W73" s="226">
        <f>X72</f>
        <v>100</v>
      </c>
      <c r="X73" s="227"/>
      <c r="Y73" s="225"/>
      <c r="Z73" s="226">
        <f>AA72</f>
        <v>100</v>
      </c>
      <c r="AA73" s="227"/>
      <c r="AB73" s="225"/>
      <c r="AC73" s="226">
        <f>AD72</f>
        <v>100</v>
      </c>
      <c r="AD73" s="227"/>
      <c r="AE73" s="225"/>
      <c r="AF73" s="226">
        <f>AG72</f>
        <v>100</v>
      </c>
      <c r="AG73" s="227"/>
      <c r="AH73" s="225"/>
      <c r="AI73" s="226">
        <f>AJ72</f>
        <v>100</v>
      </c>
      <c r="AJ73" s="227"/>
      <c r="AK73" s="225"/>
      <c r="AL73" s="226">
        <f>AM72</f>
        <v>0</v>
      </c>
      <c r="AM73" s="228"/>
    </row>
    <row r="74" spans="1:39" s="120" customFormat="1" ht="14.25" customHeight="1">
      <c r="A74" s="118">
        <v>17</v>
      </c>
      <c r="B74" s="257" t="str">
        <f>nov!B56</f>
        <v>Peningkatan Kapasitas Lembaga Kemasyarakatan</v>
      </c>
      <c r="C74" s="125">
        <f>nov!C56</f>
        <v>7650000</v>
      </c>
      <c r="D74" s="201"/>
      <c r="E74" s="202">
        <v>0</v>
      </c>
      <c r="F74" s="203"/>
      <c r="G74" s="204"/>
      <c r="H74" s="202">
        <v>0</v>
      </c>
      <c r="I74" s="205"/>
      <c r="J74" s="204"/>
      <c r="K74" s="202">
        <v>0</v>
      </c>
      <c r="L74" s="205"/>
      <c r="M74" s="204"/>
      <c r="N74" s="202">
        <f>100</f>
        <v>100</v>
      </c>
      <c r="O74" s="205"/>
      <c r="P74" s="204"/>
      <c r="Q74" s="202">
        <f>100</f>
        <v>100</v>
      </c>
      <c r="R74" s="205"/>
      <c r="S74" s="204"/>
      <c r="T74" s="202">
        <f>100</f>
        <v>100</v>
      </c>
      <c r="U74" s="205"/>
      <c r="V74" s="204"/>
      <c r="W74" s="202">
        <f>100</f>
        <v>100</v>
      </c>
      <c r="X74" s="205"/>
      <c r="Y74" s="204"/>
      <c r="Z74" s="202">
        <f>100</f>
        <v>100</v>
      </c>
      <c r="AA74" s="205"/>
      <c r="AB74" s="204"/>
      <c r="AC74" s="202">
        <f>100</f>
        <v>100</v>
      </c>
      <c r="AD74" s="205"/>
      <c r="AE74" s="204"/>
      <c r="AF74" s="202">
        <f>100</f>
        <v>100</v>
      </c>
      <c r="AG74" s="205"/>
      <c r="AH74" s="204"/>
      <c r="AI74" s="202">
        <f>100</f>
        <v>100</v>
      </c>
      <c r="AJ74" s="205"/>
      <c r="AK74" s="204"/>
      <c r="AL74" s="202">
        <f>100</f>
        <v>100</v>
      </c>
      <c r="AM74" s="206"/>
    </row>
    <row r="75" spans="1:39" s="120" customFormat="1" ht="14.25" customHeight="1">
      <c r="A75" s="121"/>
      <c r="B75" s="275"/>
      <c r="C75" s="126"/>
      <c r="D75" s="207">
        <v>0</v>
      </c>
      <c r="E75" s="208"/>
      <c r="F75" s="209">
        <f>D75</f>
        <v>0</v>
      </c>
      <c r="G75" s="207">
        <v>0</v>
      </c>
      <c r="H75" s="208"/>
      <c r="I75" s="209">
        <f>G75</f>
        <v>0</v>
      </c>
      <c r="J75" s="207">
        <v>100</v>
      </c>
      <c r="K75" s="208"/>
      <c r="L75" s="209">
        <f>J75</f>
        <v>100</v>
      </c>
      <c r="M75" s="207">
        <v>100</v>
      </c>
      <c r="N75" s="208"/>
      <c r="O75" s="209">
        <f>M75</f>
        <v>100</v>
      </c>
      <c r="P75" s="207">
        <v>100</v>
      </c>
      <c r="Q75" s="208"/>
      <c r="R75" s="209">
        <f>P75</f>
        <v>100</v>
      </c>
      <c r="S75" s="207">
        <v>100</v>
      </c>
      <c r="T75" s="208"/>
      <c r="U75" s="209">
        <f>S75</f>
        <v>100</v>
      </c>
      <c r="V75" s="207">
        <v>100</v>
      </c>
      <c r="W75" s="208"/>
      <c r="X75" s="209">
        <f>V75</f>
        <v>100</v>
      </c>
      <c r="Y75" s="207">
        <v>100</v>
      </c>
      <c r="Z75" s="208"/>
      <c r="AA75" s="209">
        <f>Y75</f>
        <v>100</v>
      </c>
      <c r="AB75" s="207">
        <v>100</v>
      </c>
      <c r="AC75" s="208"/>
      <c r="AD75" s="209">
        <f>AB75</f>
        <v>100</v>
      </c>
      <c r="AE75" s="207">
        <v>100</v>
      </c>
      <c r="AF75" s="208"/>
      <c r="AG75" s="209">
        <f>AE75</f>
        <v>100</v>
      </c>
      <c r="AH75" s="207">
        <v>100</v>
      </c>
      <c r="AI75" s="208"/>
      <c r="AJ75" s="209">
        <f>AH75</f>
        <v>100</v>
      </c>
      <c r="AK75" s="207">
        <v>0</v>
      </c>
      <c r="AL75" s="208"/>
      <c r="AM75" s="230">
        <f>AK75</f>
        <v>0</v>
      </c>
    </row>
    <row r="76" spans="1:39" s="120" customFormat="1" ht="13.5" customHeight="1">
      <c r="A76" s="123"/>
      <c r="B76" s="276"/>
      <c r="C76" s="127"/>
      <c r="D76" s="210"/>
      <c r="E76" s="211">
        <f>F75</f>
        <v>0</v>
      </c>
      <c r="F76" s="212"/>
      <c r="G76" s="210"/>
      <c r="H76" s="211">
        <f>I75</f>
        <v>0</v>
      </c>
      <c r="I76" s="212"/>
      <c r="J76" s="210"/>
      <c r="K76" s="211">
        <f>L75</f>
        <v>100</v>
      </c>
      <c r="L76" s="212"/>
      <c r="M76" s="210"/>
      <c r="N76" s="211">
        <f>O75</f>
        <v>100</v>
      </c>
      <c r="O76" s="212"/>
      <c r="P76" s="210"/>
      <c r="Q76" s="211">
        <f>R75</f>
        <v>100</v>
      </c>
      <c r="R76" s="212"/>
      <c r="S76" s="210"/>
      <c r="T76" s="211">
        <f>U75</f>
        <v>100</v>
      </c>
      <c r="U76" s="212"/>
      <c r="V76" s="210"/>
      <c r="W76" s="211">
        <f>X75</f>
        <v>100</v>
      </c>
      <c r="X76" s="212"/>
      <c r="Y76" s="210"/>
      <c r="Z76" s="211">
        <f>AA75</f>
        <v>100</v>
      </c>
      <c r="AA76" s="212"/>
      <c r="AB76" s="210"/>
      <c r="AC76" s="211">
        <f>AD75</f>
        <v>100</v>
      </c>
      <c r="AD76" s="212"/>
      <c r="AE76" s="210"/>
      <c r="AF76" s="211">
        <f>AG75</f>
        <v>100</v>
      </c>
      <c r="AG76" s="212"/>
      <c r="AH76" s="210"/>
      <c r="AI76" s="211">
        <f>AJ75</f>
        <v>100</v>
      </c>
      <c r="AJ76" s="212"/>
      <c r="AK76" s="210"/>
      <c r="AL76" s="211">
        <f>AM75</f>
        <v>0</v>
      </c>
      <c r="AM76" s="231"/>
    </row>
    <row r="77" spans="1:39" ht="14.25" customHeight="1" hidden="1">
      <c r="A77" s="33">
        <v>17</v>
      </c>
      <c r="B77" s="254" t="str">
        <f>nov!B58</f>
        <v>Pelaksanaan Musyawarah Pembangunan Desa</v>
      </c>
      <c r="C77" s="34">
        <f>nov!C58</f>
        <v>0</v>
      </c>
      <c r="D77" s="213"/>
      <c r="E77" s="214"/>
      <c r="F77" s="215"/>
      <c r="G77" s="216"/>
      <c r="H77" s="233"/>
      <c r="I77" s="217"/>
      <c r="J77" s="216"/>
      <c r="K77" s="233"/>
      <c r="L77" s="217"/>
      <c r="M77" s="216"/>
      <c r="N77" s="233"/>
      <c r="O77" s="217"/>
      <c r="P77" s="216"/>
      <c r="Q77" s="233"/>
      <c r="R77" s="217"/>
      <c r="S77" s="216"/>
      <c r="T77" s="233"/>
      <c r="U77" s="217"/>
      <c r="V77" s="216"/>
      <c r="W77" s="233"/>
      <c r="X77" s="217"/>
      <c r="Y77" s="216"/>
      <c r="Z77" s="233"/>
      <c r="AA77" s="217"/>
      <c r="AB77" s="216"/>
      <c r="AC77" s="233"/>
      <c r="AD77" s="217"/>
      <c r="AE77" s="216"/>
      <c r="AF77" s="233"/>
      <c r="AG77" s="217"/>
      <c r="AH77" s="216"/>
      <c r="AI77" s="233"/>
      <c r="AJ77" s="217"/>
      <c r="AK77" s="216"/>
      <c r="AL77" s="233"/>
      <c r="AM77" s="232"/>
    </row>
    <row r="78" spans="1:39" ht="14.25" customHeight="1" hidden="1">
      <c r="A78" s="11"/>
      <c r="B78" s="260"/>
      <c r="C78" s="12"/>
      <c r="D78" s="221">
        <v>0</v>
      </c>
      <c r="E78" s="222"/>
      <c r="F78" s="223">
        <f>D78</f>
        <v>0</v>
      </c>
      <c r="G78" s="221">
        <v>0</v>
      </c>
      <c r="H78" s="222"/>
      <c r="I78" s="223">
        <f>G78</f>
        <v>0</v>
      </c>
      <c r="J78" s="221">
        <v>0</v>
      </c>
      <c r="K78" s="222"/>
      <c r="L78" s="223">
        <f>J78</f>
        <v>0</v>
      </c>
      <c r="M78" s="221">
        <v>0</v>
      </c>
      <c r="N78" s="222"/>
      <c r="O78" s="223">
        <f>M78</f>
        <v>0</v>
      </c>
      <c r="P78" s="221">
        <v>0</v>
      </c>
      <c r="Q78" s="222"/>
      <c r="R78" s="223">
        <f>P78</f>
        <v>0</v>
      </c>
      <c r="S78" s="221">
        <v>0</v>
      </c>
      <c r="T78" s="222"/>
      <c r="U78" s="223">
        <f>S78</f>
        <v>0</v>
      </c>
      <c r="V78" s="221">
        <v>0</v>
      </c>
      <c r="W78" s="222"/>
      <c r="X78" s="223">
        <f>V78</f>
        <v>0</v>
      </c>
      <c r="Y78" s="221">
        <v>0</v>
      </c>
      <c r="Z78" s="222"/>
      <c r="AA78" s="223">
        <f>Y78</f>
        <v>0</v>
      </c>
      <c r="AB78" s="221">
        <v>0</v>
      </c>
      <c r="AC78" s="222"/>
      <c r="AD78" s="223">
        <f>AB78</f>
        <v>0</v>
      </c>
      <c r="AE78" s="221">
        <v>0</v>
      </c>
      <c r="AF78" s="222"/>
      <c r="AG78" s="223">
        <f>AE78</f>
        <v>0</v>
      </c>
      <c r="AH78" s="221">
        <v>0</v>
      </c>
      <c r="AI78" s="222"/>
      <c r="AJ78" s="223">
        <f>AH78</f>
        <v>0</v>
      </c>
      <c r="AK78" s="221">
        <v>0</v>
      </c>
      <c r="AL78" s="222"/>
      <c r="AM78" s="224">
        <f>AK78</f>
        <v>0</v>
      </c>
    </row>
    <row r="79" spans="1:39" ht="14.25" customHeight="1" hidden="1">
      <c r="A79" s="36"/>
      <c r="B79" s="261"/>
      <c r="C79" s="37"/>
      <c r="D79" s="225"/>
      <c r="E79" s="226">
        <f>F78</f>
        <v>0</v>
      </c>
      <c r="F79" s="227"/>
      <c r="G79" s="225"/>
      <c r="H79" s="226">
        <f>I78</f>
        <v>0</v>
      </c>
      <c r="I79" s="227"/>
      <c r="J79" s="225"/>
      <c r="K79" s="226">
        <f>L78</f>
        <v>0</v>
      </c>
      <c r="L79" s="227"/>
      <c r="M79" s="225"/>
      <c r="N79" s="226">
        <f>O78</f>
        <v>0</v>
      </c>
      <c r="O79" s="227"/>
      <c r="P79" s="225"/>
      <c r="Q79" s="226">
        <f>R78</f>
        <v>0</v>
      </c>
      <c r="R79" s="227"/>
      <c r="S79" s="225"/>
      <c r="T79" s="226">
        <f>U78</f>
        <v>0</v>
      </c>
      <c r="U79" s="227"/>
      <c r="V79" s="225"/>
      <c r="W79" s="226">
        <f>X78</f>
        <v>0</v>
      </c>
      <c r="X79" s="227"/>
      <c r="Y79" s="225"/>
      <c r="Z79" s="226">
        <f>AA78</f>
        <v>0</v>
      </c>
      <c r="AA79" s="227"/>
      <c r="AB79" s="225"/>
      <c r="AC79" s="226">
        <f>AD78</f>
        <v>0</v>
      </c>
      <c r="AD79" s="227"/>
      <c r="AE79" s="225"/>
      <c r="AF79" s="226">
        <f>AG78</f>
        <v>0</v>
      </c>
      <c r="AG79" s="227"/>
      <c r="AH79" s="225"/>
      <c r="AI79" s="226">
        <f>AJ78</f>
        <v>0</v>
      </c>
      <c r="AJ79" s="227"/>
      <c r="AK79" s="225"/>
      <c r="AL79" s="226">
        <f>AM78</f>
        <v>0</v>
      </c>
      <c r="AM79" s="228"/>
    </row>
    <row r="80" spans="1:39" ht="14.25" customHeight="1" hidden="1">
      <c r="A80" s="33">
        <v>18</v>
      </c>
      <c r="B80" s="254" t="s">
        <v>107</v>
      </c>
      <c r="C80" s="34">
        <f>nov!C60</f>
        <v>0</v>
      </c>
      <c r="D80" s="213"/>
      <c r="E80" s="214">
        <v>0</v>
      </c>
      <c r="F80" s="215"/>
      <c r="G80" s="216"/>
      <c r="H80" s="233">
        <v>0</v>
      </c>
      <c r="I80" s="217"/>
      <c r="J80" s="216"/>
      <c r="K80" s="233">
        <v>0</v>
      </c>
      <c r="L80" s="217"/>
      <c r="M80" s="216"/>
      <c r="N80" s="233">
        <v>0</v>
      </c>
      <c r="O80" s="217"/>
      <c r="P80" s="216"/>
      <c r="Q80" s="233">
        <v>0</v>
      </c>
      <c r="R80" s="217"/>
      <c r="S80" s="216"/>
      <c r="T80" s="233">
        <v>0</v>
      </c>
      <c r="U80" s="217"/>
      <c r="V80" s="216"/>
      <c r="W80" s="233">
        <v>0</v>
      </c>
      <c r="X80" s="217"/>
      <c r="Y80" s="216"/>
      <c r="Z80" s="233">
        <v>0</v>
      </c>
      <c r="AA80" s="217"/>
      <c r="AB80" s="216"/>
      <c r="AC80" s="233">
        <v>0</v>
      </c>
      <c r="AD80" s="217"/>
      <c r="AE80" s="216"/>
      <c r="AF80" s="233">
        <v>0</v>
      </c>
      <c r="AG80" s="217"/>
      <c r="AH80" s="216"/>
      <c r="AI80" s="233">
        <v>0</v>
      </c>
      <c r="AJ80" s="217"/>
      <c r="AK80" s="216"/>
      <c r="AL80" s="233">
        <v>0</v>
      </c>
      <c r="AM80" s="232"/>
    </row>
    <row r="81" spans="1:39" ht="14.25" customHeight="1" hidden="1">
      <c r="A81" s="11"/>
      <c r="B81" s="260"/>
      <c r="C81" s="12"/>
      <c r="D81" s="221">
        <v>0</v>
      </c>
      <c r="E81" s="222"/>
      <c r="F81" s="223">
        <f>D81</f>
        <v>0</v>
      </c>
      <c r="G81" s="221">
        <v>0</v>
      </c>
      <c r="H81" s="222"/>
      <c r="I81" s="223">
        <f>G81</f>
        <v>0</v>
      </c>
      <c r="J81" s="221">
        <v>0</v>
      </c>
      <c r="K81" s="222"/>
      <c r="L81" s="223">
        <f>J81</f>
        <v>0</v>
      </c>
      <c r="M81" s="221">
        <v>0</v>
      </c>
      <c r="N81" s="222"/>
      <c r="O81" s="223">
        <f>M81</f>
        <v>0</v>
      </c>
      <c r="P81" s="221">
        <v>0</v>
      </c>
      <c r="Q81" s="222"/>
      <c r="R81" s="223">
        <f>P81</f>
        <v>0</v>
      </c>
      <c r="S81" s="221">
        <v>0</v>
      </c>
      <c r="T81" s="222"/>
      <c r="U81" s="223">
        <f>S81</f>
        <v>0</v>
      </c>
      <c r="V81" s="221">
        <v>0</v>
      </c>
      <c r="W81" s="222"/>
      <c r="X81" s="223">
        <f>V81</f>
        <v>0</v>
      </c>
      <c r="Y81" s="221">
        <v>0</v>
      </c>
      <c r="Z81" s="222"/>
      <c r="AA81" s="223">
        <f>Y81</f>
        <v>0</v>
      </c>
      <c r="AB81" s="221">
        <v>0</v>
      </c>
      <c r="AC81" s="222"/>
      <c r="AD81" s="223">
        <f>AB81</f>
        <v>0</v>
      </c>
      <c r="AE81" s="221">
        <v>0</v>
      </c>
      <c r="AF81" s="222"/>
      <c r="AG81" s="223">
        <f>AE81</f>
        <v>0</v>
      </c>
      <c r="AH81" s="221">
        <v>0</v>
      </c>
      <c r="AI81" s="222"/>
      <c r="AJ81" s="223">
        <f>AH81</f>
        <v>0</v>
      </c>
      <c r="AK81" s="221">
        <v>0</v>
      </c>
      <c r="AL81" s="222"/>
      <c r="AM81" s="224">
        <f>AK81</f>
        <v>0</v>
      </c>
    </row>
    <row r="82" spans="1:39" ht="14.25" customHeight="1" hidden="1">
      <c r="A82" s="36"/>
      <c r="B82" s="261"/>
      <c r="C82" s="37"/>
      <c r="D82" s="225"/>
      <c r="E82" s="226">
        <f>F81</f>
        <v>0</v>
      </c>
      <c r="F82" s="227"/>
      <c r="G82" s="225"/>
      <c r="H82" s="226">
        <f>I81</f>
        <v>0</v>
      </c>
      <c r="I82" s="227"/>
      <c r="J82" s="225"/>
      <c r="K82" s="226">
        <f>L81</f>
        <v>0</v>
      </c>
      <c r="L82" s="227"/>
      <c r="M82" s="225"/>
      <c r="N82" s="226">
        <f>O81</f>
        <v>0</v>
      </c>
      <c r="O82" s="227"/>
      <c r="P82" s="225"/>
      <c r="Q82" s="226">
        <f>R81</f>
        <v>0</v>
      </c>
      <c r="R82" s="227"/>
      <c r="S82" s="225"/>
      <c r="T82" s="226">
        <f>U81</f>
        <v>0</v>
      </c>
      <c r="U82" s="227"/>
      <c r="V82" s="225"/>
      <c r="W82" s="226">
        <f>X81</f>
        <v>0</v>
      </c>
      <c r="X82" s="227"/>
      <c r="Y82" s="225"/>
      <c r="Z82" s="226">
        <f>AA81</f>
        <v>0</v>
      </c>
      <c r="AA82" s="227"/>
      <c r="AB82" s="225"/>
      <c r="AC82" s="226">
        <f>AD81</f>
        <v>0</v>
      </c>
      <c r="AD82" s="227"/>
      <c r="AE82" s="225"/>
      <c r="AF82" s="226">
        <f>AG81</f>
        <v>0</v>
      </c>
      <c r="AG82" s="227"/>
      <c r="AH82" s="225"/>
      <c r="AI82" s="226">
        <f>AJ81</f>
        <v>0</v>
      </c>
      <c r="AJ82" s="227"/>
      <c r="AK82" s="225"/>
      <c r="AL82" s="226">
        <f>AM81</f>
        <v>0</v>
      </c>
      <c r="AM82" s="228"/>
    </row>
    <row r="83" spans="1:39" ht="14.25" customHeight="1" hidden="1">
      <c r="A83" s="33">
        <v>19</v>
      </c>
      <c r="B83" s="254" t="str">
        <f>nov!B62</f>
        <v>Evaluasi Pemberdayaan Masyarakat, Perlombaan Desa / Kelurahan</v>
      </c>
      <c r="C83" s="34">
        <f>nov!C62</f>
        <v>0</v>
      </c>
      <c r="D83" s="213"/>
      <c r="E83" s="214">
        <v>0</v>
      </c>
      <c r="F83" s="215"/>
      <c r="G83" s="216"/>
      <c r="H83" s="233">
        <v>0</v>
      </c>
      <c r="I83" s="217"/>
      <c r="J83" s="216"/>
      <c r="K83" s="233">
        <v>0</v>
      </c>
      <c r="L83" s="217"/>
      <c r="M83" s="216"/>
      <c r="N83" s="233">
        <v>0</v>
      </c>
      <c r="O83" s="217"/>
      <c r="P83" s="216"/>
      <c r="Q83" s="233">
        <v>0</v>
      </c>
      <c r="R83" s="217"/>
      <c r="S83" s="216"/>
      <c r="T83" s="233">
        <v>0</v>
      </c>
      <c r="U83" s="217"/>
      <c r="V83" s="216"/>
      <c r="W83" s="233">
        <v>0</v>
      </c>
      <c r="X83" s="217"/>
      <c r="Y83" s="216"/>
      <c r="Z83" s="233">
        <v>0</v>
      </c>
      <c r="AA83" s="217"/>
      <c r="AB83" s="216"/>
      <c r="AC83" s="233">
        <v>0</v>
      </c>
      <c r="AD83" s="217"/>
      <c r="AE83" s="216"/>
      <c r="AF83" s="233">
        <v>0</v>
      </c>
      <c r="AG83" s="217"/>
      <c r="AH83" s="216"/>
      <c r="AI83" s="233">
        <v>0</v>
      </c>
      <c r="AJ83" s="217"/>
      <c r="AK83" s="216"/>
      <c r="AL83" s="233">
        <v>0</v>
      </c>
      <c r="AM83" s="232"/>
    </row>
    <row r="84" spans="1:39" ht="14.25" customHeight="1" hidden="1">
      <c r="A84" s="11"/>
      <c r="B84" s="260"/>
      <c r="C84" s="12"/>
      <c r="D84" s="221">
        <v>0</v>
      </c>
      <c r="E84" s="222"/>
      <c r="F84" s="223">
        <f>D84</f>
        <v>0</v>
      </c>
      <c r="G84" s="221">
        <v>0</v>
      </c>
      <c r="H84" s="222"/>
      <c r="I84" s="223">
        <f>G84</f>
        <v>0</v>
      </c>
      <c r="J84" s="221">
        <v>0</v>
      </c>
      <c r="K84" s="222"/>
      <c r="L84" s="223">
        <f>J84</f>
        <v>0</v>
      </c>
      <c r="M84" s="221">
        <v>0</v>
      </c>
      <c r="N84" s="222"/>
      <c r="O84" s="223">
        <f>M84</f>
        <v>0</v>
      </c>
      <c r="P84" s="221">
        <v>0</v>
      </c>
      <c r="Q84" s="222"/>
      <c r="R84" s="223">
        <f>P84</f>
        <v>0</v>
      </c>
      <c r="S84" s="221">
        <v>0</v>
      </c>
      <c r="T84" s="222"/>
      <c r="U84" s="223">
        <f>S84</f>
        <v>0</v>
      </c>
      <c r="V84" s="221">
        <v>0</v>
      </c>
      <c r="W84" s="222"/>
      <c r="X84" s="223">
        <f>V84</f>
        <v>0</v>
      </c>
      <c r="Y84" s="221">
        <v>0</v>
      </c>
      <c r="Z84" s="222"/>
      <c r="AA84" s="223">
        <f>Y84</f>
        <v>0</v>
      </c>
      <c r="AB84" s="221">
        <v>0</v>
      </c>
      <c r="AC84" s="222"/>
      <c r="AD84" s="223">
        <f>AB84</f>
        <v>0</v>
      </c>
      <c r="AE84" s="221">
        <v>0</v>
      </c>
      <c r="AF84" s="222"/>
      <c r="AG84" s="223">
        <f>AE84</f>
        <v>0</v>
      </c>
      <c r="AH84" s="221">
        <v>0</v>
      </c>
      <c r="AI84" s="222"/>
      <c r="AJ84" s="223">
        <f>AH84</f>
        <v>0</v>
      </c>
      <c r="AK84" s="221">
        <v>0</v>
      </c>
      <c r="AL84" s="222"/>
      <c r="AM84" s="224">
        <f>AK84</f>
        <v>0</v>
      </c>
    </row>
    <row r="85" spans="1:39" ht="14.25" customHeight="1" hidden="1">
      <c r="A85" s="36"/>
      <c r="B85" s="261"/>
      <c r="C85" s="37"/>
      <c r="D85" s="225"/>
      <c r="E85" s="226">
        <f>F84</f>
        <v>0</v>
      </c>
      <c r="F85" s="227"/>
      <c r="G85" s="225"/>
      <c r="H85" s="226">
        <f>I84</f>
        <v>0</v>
      </c>
      <c r="I85" s="227"/>
      <c r="J85" s="225"/>
      <c r="K85" s="226">
        <f>L84</f>
        <v>0</v>
      </c>
      <c r="L85" s="227"/>
      <c r="M85" s="225"/>
      <c r="N85" s="226">
        <f>O84</f>
        <v>0</v>
      </c>
      <c r="O85" s="227"/>
      <c r="P85" s="225"/>
      <c r="Q85" s="226">
        <f>R84</f>
        <v>0</v>
      </c>
      <c r="R85" s="227"/>
      <c r="S85" s="225"/>
      <c r="T85" s="226">
        <f>U84</f>
        <v>0</v>
      </c>
      <c r="U85" s="227"/>
      <c r="V85" s="225"/>
      <c r="W85" s="226">
        <f>X84</f>
        <v>0</v>
      </c>
      <c r="X85" s="227"/>
      <c r="Y85" s="225"/>
      <c r="Z85" s="226">
        <f>AA84</f>
        <v>0</v>
      </c>
      <c r="AA85" s="227"/>
      <c r="AB85" s="225"/>
      <c r="AC85" s="226">
        <f>AD84</f>
        <v>0</v>
      </c>
      <c r="AD85" s="227"/>
      <c r="AE85" s="225"/>
      <c r="AF85" s="226">
        <f>AG84</f>
        <v>0</v>
      </c>
      <c r="AG85" s="227"/>
      <c r="AH85" s="225"/>
      <c r="AI85" s="226">
        <f>AJ84</f>
        <v>0</v>
      </c>
      <c r="AJ85" s="227"/>
      <c r="AK85" s="225"/>
      <c r="AL85" s="226">
        <f>AM84</f>
        <v>0</v>
      </c>
      <c r="AM85" s="228"/>
    </row>
    <row r="86" spans="1:39" s="24" customFormat="1" ht="14.25" customHeight="1" hidden="1">
      <c r="A86" s="33">
        <v>19</v>
      </c>
      <c r="B86" s="254" t="str">
        <f>nov!B64</f>
        <v>Pembinaan Perangkat Desa</v>
      </c>
      <c r="C86" s="137">
        <f>nov!C64</f>
        <v>0</v>
      </c>
      <c r="D86" s="213"/>
      <c r="E86" s="214"/>
      <c r="F86" s="215"/>
      <c r="G86" s="216"/>
      <c r="H86" s="233"/>
      <c r="I86" s="217"/>
      <c r="J86" s="216"/>
      <c r="K86" s="233"/>
      <c r="L86" s="217"/>
      <c r="M86" s="216"/>
      <c r="N86" s="233"/>
      <c r="O86" s="217"/>
      <c r="P86" s="216"/>
      <c r="Q86" s="233"/>
      <c r="R86" s="217"/>
      <c r="S86" s="216"/>
      <c r="T86" s="233"/>
      <c r="U86" s="217"/>
      <c r="V86" s="216"/>
      <c r="W86" s="233"/>
      <c r="X86" s="217"/>
      <c r="Y86" s="216"/>
      <c r="Z86" s="233"/>
      <c r="AA86" s="217"/>
      <c r="AB86" s="216"/>
      <c r="AC86" s="233"/>
      <c r="AD86" s="217"/>
      <c r="AE86" s="216"/>
      <c r="AF86" s="233"/>
      <c r="AG86" s="217"/>
      <c r="AH86" s="216"/>
      <c r="AI86" s="233"/>
      <c r="AJ86" s="217"/>
      <c r="AK86" s="216"/>
      <c r="AL86" s="233"/>
      <c r="AM86" s="232"/>
    </row>
    <row r="87" spans="1:39" s="24" customFormat="1" ht="14.25" customHeight="1" hidden="1">
      <c r="A87" s="11"/>
      <c r="B87" s="260"/>
      <c r="C87" s="138"/>
      <c r="D87" s="221">
        <v>0</v>
      </c>
      <c r="E87" s="222"/>
      <c r="F87" s="223">
        <f>D87</f>
        <v>0</v>
      </c>
      <c r="G87" s="221">
        <v>0</v>
      </c>
      <c r="H87" s="222"/>
      <c r="I87" s="223">
        <f>G87</f>
        <v>0</v>
      </c>
      <c r="J87" s="221">
        <v>0</v>
      </c>
      <c r="K87" s="222"/>
      <c r="L87" s="223">
        <f>J87</f>
        <v>0</v>
      </c>
      <c r="M87" s="221">
        <v>0</v>
      </c>
      <c r="N87" s="222"/>
      <c r="O87" s="223">
        <f>M87</f>
        <v>0</v>
      </c>
      <c r="P87" s="221">
        <v>0</v>
      </c>
      <c r="Q87" s="222"/>
      <c r="R87" s="223">
        <f>P87</f>
        <v>0</v>
      </c>
      <c r="S87" s="221">
        <v>0</v>
      </c>
      <c r="T87" s="222"/>
      <c r="U87" s="223">
        <f>S87</f>
        <v>0</v>
      </c>
      <c r="V87" s="221">
        <v>0</v>
      </c>
      <c r="W87" s="222"/>
      <c r="X87" s="223">
        <f>V87</f>
        <v>0</v>
      </c>
      <c r="Y87" s="221">
        <v>0</v>
      </c>
      <c r="Z87" s="222"/>
      <c r="AA87" s="223">
        <f>Y87</f>
        <v>0</v>
      </c>
      <c r="AB87" s="221">
        <v>0</v>
      </c>
      <c r="AC87" s="222"/>
      <c r="AD87" s="223">
        <f>AB87</f>
        <v>0</v>
      </c>
      <c r="AE87" s="221">
        <v>0</v>
      </c>
      <c r="AF87" s="222"/>
      <c r="AG87" s="223">
        <f>AE87</f>
        <v>0</v>
      </c>
      <c r="AH87" s="221">
        <v>0</v>
      </c>
      <c r="AI87" s="222"/>
      <c r="AJ87" s="223">
        <f>AH87</f>
        <v>0</v>
      </c>
      <c r="AK87" s="221">
        <v>0</v>
      </c>
      <c r="AL87" s="222"/>
      <c r="AM87" s="224">
        <f>AK87</f>
        <v>0</v>
      </c>
    </row>
    <row r="88" spans="1:39" ht="14.25" customHeight="1" hidden="1">
      <c r="A88" s="36"/>
      <c r="B88" s="261"/>
      <c r="C88" s="139"/>
      <c r="D88" s="225"/>
      <c r="E88" s="226">
        <f>F87</f>
        <v>0</v>
      </c>
      <c r="F88" s="227"/>
      <c r="G88" s="225"/>
      <c r="H88" s="226">
        <f>I87</f>
        <v>0</v>
      </c>
      <c r="I88" s="227"/>
      <c r="J88" s="225"/>
      <c r="K88" s="226">
        <f>L87</f>
        <v>0</v>
      </c>
      <c r="L88" s="227"/>
      <c r="M88" s="225"/>
      <c r="N88" s="226">
        <f>O87</f>
        <v>0</v>
      </c>
      <c r="O88" s="227"/>
      <c r="P88" s="225"/>
      <c r="Q88" s="226">
        <f>R87</f>
        <v>0</v>
      </c>
      <c r="R88" s="227"/>
      <c r="S88" s="225"/>
      <c r="T88" s="226">
        <f>U87</f>
        <v>0</v>
      </c>
      <c r="U88" s="227"/>
      <c r="V88" s="225"/>
      <c r="W88" s="226">
        <f>X87</f>
        <v>0</v>
      </c>
      <c r="X88" s="227"/>
      <c r="Y88" s="225"/>
      <c r="Z88" s="226">
        <f>AA87</f>
        <v>0</v>
      </c>
      <c r="AA88" s="227"/>
      <c r="AB88" s="225"/>
      <c r="AC88" s="226">
        <f>AD87</f>
        <v>0</v>
      </c>
      <c r="AD88" s="227"/>
      <c r="AE88" s="225"/>
      <c r="AF88" s="226">
        <f>AG87</f>
        <v>0</v>
      </c>
      <c r="AG88" s="227"/>
      <c r="AH88" s="225"/>
      <c r="AI88" s="226">
        <f>AJ87</f>
        <v>0</v>
      </c>
      <c r="AJ88" s="227"/>
      <c r="AK88" s="225"/>
      <c r="AL88" s="226">
        <f>AM87</f>
        <v>0</v>
      </c>
      <c r="AM88" s="228"/>
    </row>
    <row r="89" spans="1:39" s="24" customFormat="1" ht="14.25" customHeight="1" hidden="1">
      <c r="A89" s="33">
        <v>20</v>
      </c>
      <c r="B89" s="254" t="str">
        <f>nov!B66</f>
        <v>Pembinaan Kegiatan Administrasi Pemerintahan Desa</v>
      </c>
      <c r="C89" s="34">
        <f>nov!C66</f>
        <v>0</v>
      </c>
      <c r="D89" s="213"/>
      <c r="E89" s="214"/>
      <c r="F89" s="215"/>
      <c r="G89" s="216"/>
      <c r="H89" s="233"/>
      <c r="I89" s="217"/>
      <c r="J89" s="216"/>
      <c r="K89" s="233"/>
      <c r="L89" s="217"/>
      <c r="M89" s="216"/>
      <c r="N89" s="233"/>
      <c r="O89" s="217"/>
      <c r="P89" s="216"/>
      <c r="Q89" s="233"/>
      <c r="R89" s="217"/>
      <c r="S89" s="216"/>
      <c r="T89" s="233"/>
      <c r="U89" s="217"/>
      <c r="V89" s="216"/>
      <c r="W89" s="233"/>
      <c r="X89" s="217"/>
      <c r="Y89" s="216"/>
      <c r="Z89" s="233"/>
      <c r="AA89" s="217"/>
      <c r="AB89" s="216"/>
      <c r="AC89" s="233"/>
      <c r="AD89" s="217"/>
      <c r="AE89" s="216"/>
      <c r="AF89" s="233"/>
      <c r="AG89" s="217"/>
      <c r="AH89" s="216"/>
      <c r="AI89" s="233"/>
      <c r="AJ89" s="217"/>
      <c r="AK89" s="216"/>
      <c r="AL89" s="233"/>
      <c r="AM89" s="232"/>
    </row>
    <row r="90" spans="1:39" s="24" customFormat="1" ht="14.25" customHeight="1" hidden="1">
      <c r="A90" s="11"/>
      <c r="B90" s="260"/>
      <c r="C90" s="12"/>
      <c r="D90" s="221">
        <v>0</v>
      </c>
      <c r="E90" s="222"/>
      <c r="F90" s="223">
        <f>D90</f>
        <v>0</v>
      </c>
      <c r="G90" s="221">
        <v>0</v>
      </c>
      <c r="H90" s="222"/>
      <c r="I90" s="223">
        <f>G90</f>
        <v>0</v>
      </c>
      <c r="J90" s="221">
        <v>0</v>
      </c>
      <c r="K90" s="222"/>
      <c r="L90" s="223">
        <f>J90</f>
        <v>0</v>
      </c>
      <c r="M90" s="221">
        <v>0</v>
      </c>
      <c r="N90" s="222"/>
      <c r="O90" s="223">
        <f>M90</f>
        <v>0</v>
      </c>
      <c r="P90" s="221">
        <v>0</v>
      </c>
      <c r="Q90" s="222"/>
      <c r="R90" s="223">
        <f>P90</f>
        <v>0</v>
      </c>
      <c r="S90" s="221">
        <v>0</v>
      </c>
      <c r="T90" s="222"/>
      <c r="U90" s="223">
        <f>S90</f>
        <v>0</v>
      </c>
      <c r="V90" s="221">
        <v>0</v>
      </c>
      <c r="W90" s="222"/>
      <c r="X90" s="223">
        <f>V90</f>
        <v>0</v>
      </c>
      <c r="Y90" s="221">
        <v>0</v>
      </c>
      <c r="Z90" s="222"/>
      <c r="AA90" s="223">
        <f>Y90</f>
        <v>0</v>
      </c>
      <c r="AB90" s="221">
        <v>0</v>
      </c>
      <c r="AC90" s="222"/>
      <c r="AD90" s="223">
        <f>AB90</f>
        <v>0</v>
      </c>
      <c r="AE90" s="221">
        <v>0</v>
      </c>
      <c r="AF90" s="222"/>
      <c r="AG90" s="223">
        <f>AE90</f>
        <v>0</v>
      </c>
      <c r="AH90" s="221">
        <v>0</v>
      </c>
      <c r="AI90" s="222"/>
      <c r="AJ90" s="223">
        <f>AH90</f>
        <v>0</v>
      </c>
      <c r="AK90" s="221">
        <v>0</v>
      </c>
      <c r="AL90" s="222"/>
      <c r="AM90" s="224">
        <f>AK90</f>
        <v>0</v>
      </c>
    </row>
    <row r="91" spans="1:39" ht="14.25" customHeight="1" hidden="1">
      <c r="A91" s="36"/>
      <c r="B91" s="261"/>
      <c r="C91" s="37"/>
      <c r="D91" s="225"/>
      <c r="E91" s="226">
        <f>F90</f>
        <v>0</v>
      </c>
      <c r="F91" s="227"/>
      <c r="G91" s="225"/>
      <c r="H91" s="226">
        <f>I90</f>
        <v>0</v>
      </c>
      <c r="I91" s="227"/>
      <c r="J91" s="225"/>
      <c r="K91" s="226">
        <f>L90</f>
        <v>0</v>
      </c>
      <c r="L91" s="227"/>
      <c r="M91" s="225"/>
      <c r="N91" s="226">
        <f>O90</f>
        <v>0</v>
      </c>
      <c r="O91" s="227"/>
      <c r="P91" s="225"/>
      <c r="Q91" s="226">
        <f>R90</f>
        <v>0</v>
      </c>
      <c r="R91" s="227"/>
      <c r="S91" s="225"/>
      <c r="T91" s="226">
        <f>U90</f>
        <v>0</v>
      </c>
      <c r="U91" s="227"/>
      <c r="V91" s="225"/>
      <c r="W91" s="226">
        <f>X90</f>
        <v>0</v>
      </c>
      <c r="X91" s="227"/>
      <c r="Y91" s="225"/>
      <c r="Z91" s="226">
        <f>AA90</f>
        <v>0</v>
      </c>
      <c r="AA91" s="227"/>
      <c r="AB91" s="225"/>
      <c r="AC91" s="226">
        <f>AD90</f>
        <v>0</v>
      </c>
      <c r="AD91" s="227"/>
      <c r="AE91" s="225"/>
      <c r="AF91" s="226">
        <f>AG90</f>
        <v>0</v>
      </c>
      <c r="AG91" s="227"/>
      <c r="AH91" s="225"/>
      <c r="AI91" s="226">
        <f>AJ90</f>
        <v>0</v>
      </c>
      <c r="AJ91" s="227"/>
      <c r="AK91" s="225"/>
      <c r="AL91" s="226">
        <f>AM90</f>
        <v>0</v>
      </c>
      <c r="AM91" s="228"/>
    </row>
    <row r="92" spans="1:39" s="24" customFormat="1" ht="14.25" customHeight="1" hidden="1">
      <c r="A92" s="33">
        <v>20</v>
      </c>
      <c r="B92" s="254" t="str">
        <f>nov!B68</f>
        <v>Monitoring dan Evaluasi Pelaporan Pemerintahan Desa</v>
      </c>
      <c r="C92" s="34">
        <f>nov!C68</f>
        <v>0</v>
      </c>
      <c r="D92" s="213"/>
      <c r="E92" s="214"/>
      <c r="F92" s="215"/>
      <c r="G92" s="216"/>
      <c r="H92" s="233"/>
      <c r="I92" s="217"/>
      <c r="J92" s="216"/>
      <c r="K92" s="233"/>
      <c r="L92" s="217"/>
      <c r="M92" s="216"/>
      <c r="N92" s="233"/>
      <c r="O92" s="217"/>
      <c r="P92" s="216"/>
      <c r="Q92" s="233"/>
      <c r="R92" s="217"/>
      <c r="S92" s="216"/>
      <c r="T92" s="233"/>
      <c r="U92" s="217"/>
      <c r="V92" s="216"/>
      <c r="W92" s="233"/>
      <c r="X92" s="217"/>
      <c r="Y92" s="216"/>
      <c r="Z92" s="233"/>
      <c r="AA92" s="217"/>
      <c r="AB92" s="216"/>
      <c r="AC92" s="233"/>
      <c r="AD92" s="217"/>
      <c r="AE92" s="216"/>
      <c r="AF92" s="233"/>
      <c r="AG92" s="217"/>
      <c r="AH92" s="216"/>
      <c r="AI92" s="233"/>
      <c r="AJ92" s="217"/>
      <c r="AK92" s="216"/>
      <c r="AL92" s="233"/>
      <c r="AM92" s="232"/>
    </row>
    <row r="93" spans="1:39" s="24" customFormat="1" ht="14.25" customHeight="1" hidden="1">
      <c r="A93" s="11"/>
      <c r="B93" s="260"/>
      <c r="C93" s="12"/>
      <c r="D93" s="221">
        <v>0</v>
      </c>
      <c r="E93" s="222"/>
      <c r="F93" s="223">
        <f>D93</f>
        <v>0</v>
      </c>
      <c r="G93" s="221">
        <v>0</v>
      </c>
      <c r="H93" s="222"/>
      <c r="I93" s="223">
        <f>G93</f>
        <v>0</v>
      </c>
      <c r="J93" s="221">
        <v>0</v>
      </c>
      <c r="K93" s="222"/>
      <c r="L93" s="223">
        <f>J93</f>
        <v>0</v>
      </c>
      <c r="M93" s="221">
        <v>0</v>
      </c>
      <c r="N93" s="222"/>
      <c r="O93" s="223">
        <f>M93</f>
        <v>0</v>
      </c>
      <c r="P93" s="221">
        <v>0</v>
      </c>
      <c r="Q93" s="222"/>
      <c r="R93" s="223">
        <f>P93</f>
        <v>0</v>
      </c>
      <c r="S93" s="221">
        <v>0</v>
      </c>
      <c r="T93" s="222"/>
      <c r="U93" s="223">
        <f>S93</f>
        <v>0</v>
      </c>
      <c r="V93" s="221">
        <v>0</v>
      </c>
      <c r="W93" s="222"/>
      <c r="X93" s="223">
        <f>V93</f>
        <v>0</v>
      </c>
      <c r="Y93" s="221">
        <v>0</v>
      </c>
      <c r="Z93" s="222"/>
      <c r="AA93" s="223">
        <f>Y93</f>
        <v>0</v>
      </c>
      <c r="AB93" s="221">
        <v>0</v>
      </c>
      <c r="AC93" s="222"/>
      <c r="AD93" s="223">
        <f>AB93</f>
        <v>0</v>
      </c>
      <c r="AE93" s="221">
        <v>0</v>
      </c>
      <c r="AF93" s="222"/>
      <c r="AG93" s="223">
        <f>AE93</f>
        <v>0</v>
      </c>
      <c r="AH93" s="221">
        <v>0</v>
      </c>
      <c r="AI93" s="222"/>
      <c r="AJ93" s="223">
        <f>AH93</f>
        <v>0</v>
      </c>
      <c r="AK93" s="221">
        <v>0</v>
      </c>
      <c r="AL93" s="222"/>
      <c r="AM93" s="224">
        <f>AK93</f>
        <v>0</v>
      </c>
    </row>
    <row r="94" spans="1:39" ht="14.25" customHeight="1" hidden="1">
      <c r="A94" s="36"/>
      <c r="B94" s="261"/>
      <c r="C94" s="37"/>
      <c r="D94" s="225"/>
      <c r="E94" s="226">
        <f>F93</f>
        <v>0</v>
      </c>
      <c r="F94" s="227"/>
      <c r="G94" s="225"/>
      <c r="H94" s="226">
        <f>I93</f>
        <v>0</v>
      </c>
      <c r="I94" s="227"/>
      <c r="J94" s="225"/>
      <c r="K94" s="226">
        <f>L93</f>
        <v>0</v>
      </c>
      <c r="L94" s="227"/>
      <c r="M94" s="225"/>
      <c r="N94" s="226">
        <f>O93</f>
        <v>0</v>
      </c>
      <c r="O94" s="227"/>
      <c r="P94" s="225"/>
      <c r="Q94" s="226">
        <f>R93</f>
        <v>0</v>
      </c>
      <c r="R94" s="227"/>
      <c r="S94" s="225"/>
      <c r="T94" s="226">
        <f>U93</f>
        <v>0</v>
      </c>
      <c r="U94" s="227"/>
      <c r="V94" s="225"/>
      <c r="W94" s="226">
        <f>X93</f>
        <v>0</v>
      </c>
      <c r="X94" s="227"/>
      <c r="Y94" s="225"/>
      <c r="Z94" s="226">
        <f>AA93</f>
        <v>0</v>
      </c>
      <c r="AA94" s="227"/>
      <c r="AB94" s="225"/>
      <c r="AC94" s="226">
        <f>AD93</f>
        <v>0</v>
      </c>
      <c r="AD94" s="227"/>
      <c r="AE94" s="225"/>
      <c r="AF94" s="226">
        <f>AG93</f>
        <v>0</v>
      </c>
      <c r="AG94" s="227"/>
      <c r="AH94" s="225"/>
      <c r="AI94" s="226">
        <f>AJ93</f>
        <v>0</v>
      </c>
      <c r="AJ94" s="227"/>
      <c r="AK94" s="225"/>
      <c r="AL94" s="226">
        <f>AM93</f>
        <v>0</v>
      </c>
      <c r="AM94" s="228"/>
    </row>
    <row r="95" spans="1:39" s="24" customFormat="1" ht="14.25" customHeight="1" hidden="1">
      <c r="A95" s="33">
        <v>21</v>
      </c>
      <c r="B95" s="254" t="str">
        <f>nov!B70</f>
        <v>Pembinaan PKK Desa</v>
      </c>
      <c r="C95" s="34"/>
      <c r="D95" s="213"/>
      <c r="E95" s="214"/>
      <c r="F95" s="215"/>
      <c r="G95" s="216"/>
      <c r="H95" s="233"/>
      <c r="I95" s="217"/>
      <c r="J95" s="216"/>
      <c r="K95" s="233"/>
      <c r="L95" s="217"/>
      <c r="M95" s="216"/>
      <c r="N95" s="214"/>
      <c r="O95" s="217"/>
      <c r="P95" s="216"/>
      <c r="Q95" s="214"/>
      <c r="R95" s="217"/>
      <c r="S95" s="216"/>
      <c r="T95" s="214"/>
      <c r="U95" s="217"/>
      <c r="V95" s="216"/>
      <c r="W95" s="214"/>
      <c r="X95" s="217"/>
      <c r="Y95" s="216"/>
      <c r="Z95" s="214"/>
      <c r="AA95" s="217"/>
      <c r="AB95" s="216"/>
      <c r="AC95" s="214"/>
      <c r="AD95" s="217"/>
      <c r="AE95" s="216"/>
      <c r="AF95" s="214"/>
      <c r="AG95" s="217"/>
      <c r="AH95" s="216"/>
      <c r="AI95" s="214"/>
      <c r="AJ95" s="217"/>
      <c r="AK95" s="216"/>
      <c r="AL95" s="214"/>
      <c r="AM95" s="232"/>
    </row>
    <row r="96" spans="1:39" s="24" customFormat="1" ht="14.25" customHeight="1" hidden="1">
      <c r="A96" s="11"/>
      <c r="B96" s="260"/>
      <c r="C96" s="12"/>
      <c r="D96" s="221">
        <v>0</v>
      </c>
      <c r="E96" s="222"/>
      <c r="F96" s="223">
        <f>D96</f>
        <v>0</v>
      </c>
      <c r="G96" s="221">
        <v>0</v>
      </c>
      <c r="H96" s="222"/>
      <c r="I96" s="223">
        <f>G96</f>
        <v>0</v>
      </c>
      <c r="J96" s="221">
        <v>0</v>
      </c>
      <c r="K96" s="222"/>
      <c r="L96" s="223">
        <f>J96</f>
        <v>0</v>
      </c>
      <c r="M96" s="221">
        <v>0</v>
      </c>
      <c r="N96" s="222"/>
      <c r="O96" s="223">
        <f>M96</f>
        <v>0</v>
      </c>
      <c r="P96" s="221">
        <v>0</v>
      </c>
      <c r="Q96" s="222"/>
      <c r="R96" s="223">
        <f>P96</f>
        <v>0</v>
      </c>
      <c r="S96" s="221">
        <v>0</v>
      </c>
      <c r="T96" s="222"/>
      <c r="U96" s="223">
        <f>S96</f>
        <v>0</v>
      </c>
      <c r="V96" s="221">
        <v>0</v>
      </c>
      <c r="W96" s="222"/>
      <c r="X96" s="223">
        <f>V96</f>
        <v>0</v>
      </c>
      <c r="Y96" s="221">
        <v>0</v>
      </c>
      <c r="Z96" s="222"/>
      <c r="AA96" s="223">
        <f>Y96</f>
        <v>0</v>
      </c>
      <c r="AB96" s="221">
        <v>0</v>
      </c>
      <c r="AC96" s="222"/>
      <c r="AD96" s="223">
        <f>AB96</f>
        <v>0</v>
      </c>
      <c r="AE96" s="221">
        <v>0</v>
      </c>
      <c r="AF96" s="222"/>
      <c r="AG96" s="223">
        <f>AE96</f>
        <v>0</v>
      </c>
      <c r="AH96" s="221">
        <v>0</v>
      </c>
      <c r="AI96" s="222"/>
      <c r="AJ96" s="223">
        <f>AH96</f>
        <v>0</v>
      </c>
      <c r="AK96" s="221">
        <v>0</v>
      </c>
      <c r="AL96" s="222"/>
      <c r="AM96" s="224">
        <f>AK96</f>
        <v>0</v>
      </c>
    </row>
    <row r="97" spans="1:39" ht="14.25" customHeight="1" hidden="1">
      <c r="A97" s="36"/>
      <c r="B97" s="261"/>
      <c r="C97" s="37"/>
      <c r="D97" s="225"/>
      <c r="E97" s="226">
        <f>F96</f>
        <v>0</v>
      </c>
      <c r="F97" s="227"/>
      <c r="G97" s="225"/>
      <c r="H97" s="226">
        <f>I96</f>
        <v>0</v>
      </c>
      <c r="I97" s="227"/>
      <c r="J97" s="225"/>
      <c r="K97" s="226">
        <f>L96</f>
        <v>0</v>
      </c>
      <c r="L97" s="227"/>
      <c r="M97" s="225"/>
      <c r="N97" s="226">
        <f>O96</f>
        <v>0</v>
      </c>
      <c r="O97" s="227"/>
      <c r="P97" s="225"/>
      <c r="Q97" s="226">
        <f>R96</f>
        <v>0</v>
      </c>
      <c r="R97" s="227"/>
      <c r="S97" s="225"/>
      <c r="T97" s="226">
        <f>U96</f>
        <v>0</v>
      </c>
      <c r="U97" s="227"/>
      <c r="V97" s="225"/>
      <c r="W97" s="226">
        <f>X96</f>
        <v>0</v>
      </c>
      <c r="X97" s="227"/>
      <c r="Y97" s="225"/>
      <c r="Z97" s="226">
        <f>AA96</f>
        <v>0</v>
      </c>
      <c r="AA97" s="227"/>
      <c r="AB97" s="225"/>
      <c r="AC97" s="226">
        <f>AD96</f>
        <v>0</v>
      </c>
      <c r="AD97" s="227"/>
      <c r="AE97" s="225"/>
      <c r="AF97" s="226">
        <f>AG96</f>
        <v>0</v>
      </c>
      <c r="AG97" s="227"/>
      <c r="AH97" s="225"/>
      <c r="AI97" s="226">
        <f>AJ96</f>
        <v>0</v>
      </c>
      <c r="AJ97" s="227"/>
      <c r="AK97" s="225"/>
      <c r="AL97" s="226">
        <f>AM96</f>
        <v>0</v>
      </c>
      <c r="AM97" s="228"/>
    </row>
    <row r="98" spans="1:39" ht="14.25" customHeight="1">
      <c r="A98" s="33">
        <v>18</v>
      </c>
      <c r="B98" s="254" t="str">
        <f>nov!B72</f>
        <v>Sinergitas dengan Kepolisian Negara Republik Indonesia, Tentara Nasional Indonesia dan Instansi Vertikal di Wilayah Kecamatan</v>
      </c>
      <c r="C98" s="34">
        <f>nov!C72</f>
        <v>203696000</v>
      </c>
      <c r="D98" s="213"/>
      <c r="E98" s="214">
        <f>16440000*1/$C$98*100</f>
        <v>8.070850679443877</v>
      </c>
      <c r="F98" s="215"/>
      <c r="G98" s="216"/>
      <c r="H98" s="214">
        <f>16440000*2/$C$98*100</f>
        <v>16.141701358887754</v>
      </c>
      <c r="I98" s="217"/>
      <c r="J98" s="216"/>
      <c r="K98" s="214">
        <f>16440000*3/$C$98*100</f>
        <v>24.21255203833163</v>
      </c>
      <c r="L98" s="217"/>
      <c r="M98" s="216"/>
      <c r="N98" s="214">
        <f>16440000*4/$C$98*100</f>
        <v>32.28340271777551</v>
      </c>
      <c r="O98" s="217"/>
      <c r="P98" s="216"/>
      <c r="Q98" s="214">
        <f>16440000*5/$C$98*100</f>
        <v>40.35425339721939</v>
      </c>
      <c r="R98" s="217"/>
      <c r="S98" s="216"/>
      <c r="T98" s="214">
        <f>16440000*6/$C$98*100</f>
        <v>48.42510407666326</v>
      </c>
      <c r="U98" s="217"/>
      <c r="V98" s="216"/>
      <c r="W98" s="214">
        <f>16440000*7/$C$98*100</f>
        <v>56.49595475610714</v>
      </c>
      <c r="X98" s="217"/>
      <c r="Y98" s="216"/>
      <c r="Z98" s="214">
        <f>16440000*8/$C$98*100</f>
        <v>64.56680543555102</v>
      </c>
      <c r="AA98" s="217"/>
      <c r="AB98" s="216"/>
      <c r="AC98" s="214">
        <f>16440000*9/$C$98*100</f>
        <v>72.6376561149949</v>
      </c>
      <c r="AD98" s="217"/>
      <c r="AE98" s="216"/>
      <c r="AF98" s="214">
        <f>16440000*10/$C$98*100</f>
        <v>80.70850679443878</v>
      </c>
      <c r="AG98" s="217"/>
      <c r="AH98" s="216"/>
      <c r="AI98" s="214">
        <f>16440000*11/$C$98*100</f>
        <v>88.77935747388264</v>
      </c>
      <c r="AJ98" s="217"/>
      <c r="AK98" s="216"/>
      <c r="AL98" s="214">
        <f>16440000*12/$C$98*100</f>
        <v>96.85020815332652</v>
      </c>
      <c r="AM98" s="232"/>
    </row>
    <row r="99" spans="1:39" ht="14.25" customHeight="1">
      <c r="A99" s="11"/>
      <c r="B99" s="255"/>
      <c r="C99" s="12"/>
      <c r="D99" s="221">
        <v>0</v>
      </c>
      <c r="E99" s="222"/>
      <c r="F99" s="223">
        <f>D99</f>
        <v>0</v>
      </c>
      <c r="G99" s="221">
        <v>0</v>
      </c>
      <c r="H99" s="222"/>
      <c r="I99" s="223">
        <f>G99</f>
        <v>0</v>
      </c>
      <c r="J99" s="221">
        <v>18</v>
      </c>
      <c r="K99" s="222"/>
      <c r="L99" s="223">
        <f>J99</f>
        <v>18</v>
      </c>
      <c r="M99" s="221">
        <v>33</v>
      </c>
      <c r="N99" s="222"/>
      <c r="O99" s="223">
        <f>M99</f>
        <v>33</v>
      </c>
      <c r="P99" s="221">
        <v>42</v>
      </c>
      <c r="Q99" s="222"/>
      <c r="R99" s="223">
        <f>P99</f>
        <v>42</v>
      </c>
      <c r="S99" s="221">
        <v>50</v>
      </c>
      <c r="T99" s="222"/>
      <c r="U99" s="223">
        <f>S99</f>
        <v>50</v>
      </c>
      <c r="V99" s="221">
        <v>58</v>
      </c>
      <c r="W99" s="222"/>
      <c r="X99" s="223">
        <f>V99</f>
        <v>58</v>
      </c>
      <c r="Y99" s="221">
        <v>66</v>
      </c>
      <c r="Z99" s="222"/>
      <c r="AA99" s="223">
        <f>Y99</f>
        <v>66</v>
      </c>
      <c r="AB99" s="221">
        <v>76</v>
      </c>
      <c r="AC99" s="222"/>
      <c r="AD99" s="223">
        <f>AB99</f>
        <v>76</v>
      </c>
      <c r="AE99" s="221">
        <v>81</v>
      </c>
      <c r="AF99" s="222"/>
      <c r="AG99" s="223">
        <f>AE99</f>
        <v>81</v>
      </c>
      <c r="AH99" s="221">
        <v>83</v>
      </c>
      <c r="AI99" s="222"/>
      <c r="AJ99" s="223">
        <f>AH99</f>
        <v>83</v>
      </c>
      <c r="AK99" s="221">
        <v>0</v>
      </c>
      <c r="AL99" s="222"/>
      <c r="AM99" s="224">
        <f>AK99</f>
        <v>0</v>
      </c>
    </row>
    <row r="100" spans="1:39" ht="13.5" customHeight="1">
      <c r="A100" s="36"/>
      <c r="B100" s="256"/>
      <c r="C100" s="37"/>
      <c r="D100" s="225"/>
      <c r="E100" s="226">
        <f>F99</f>
        <v>0</v>
      </c>
      <c r="F100" s="227"/>
      <c r="G100" s="225"/>
      <c r="H100" s="226">
        <f>I99</f>
        <v>0</v>
      </c>
      <c r="I100" s="227"/>
      <c r="J100" s="225"/>
      <c r="K100" s="226">
        <f>L99</f>
        <v>18</v>
      </c>
      <c r="L100" s="227"/>
      <c r="M100" s="225"/>
      <c r="N100" s="226">
        <f>O99</f>
        <v>33</v>
      </c>
      <c r="O100" s="227"/>
      <c r="P100" s="225"/>
      <c r="Q100" s="226">
        <f>R99</f>
        <v>42</v>
      </c>
      <c r="R100" s="227"/>
      <c r="S100" s="225"/>
      <c r="T100" s="226">
        <f>U99</f>
        <v>50</v>
      </c>
      <c r="U100" s="227"/>
      <c r="V100" s="225"/>
      <c r="W100" s="226">
        <f>X99</f>
        <v>58</v>
      </c>
      <c r="X100" s="227"/>
      <c r="Y100" s="225"/>
      <c r="Z100" s="226">
        <f>AA99</f>
        <v>66</v>
      </c>
      <c r="AA100" s="227"/>
      <c r="AB100" s="225"/>
      <c r="AC100" s="226">
        <f>AD99</f>
        <v>76</v>
      </c>
      <c r="AD100" s="227"/>
      <c r="AE100" s="225"/>
      <c r="AF100" s="226">
        <f>AG99</f>
        <v>81</v>
      </c>
      <c r="AG100" s="227"/>
      <c r="AH100" s="225"/>
      <c r="AI100" s="226">
        <f>AJ99</f>
        <v>83</v>
      </c>
      <c r="AJ100" s="227"/>
      <c r="AK100" s="225"/>
      <c r="AL100" s="226">
        <f>AM99</f>
        <v>0</v>
      </c>
      <c r="AM100" s="228"/>
    </row>
    <row r="101" spans="1:39" s="120" customFormat="1" ht="23.25" customHeight="1">
      <c r="A101" s="118">
        <v>19</v>
      </c>
      <c r="B101" s="257" t="str">
        <f>nov!B74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C101" s="125">
        <f>nov!C74</f>
        <v>62750000</v>
      </c>
      <c r="D101" s="201"/>
      <c r="E101" s="202">
        <v>0</v>
      </c>
      <c r="F101" s="203"/>
      <c r="G101" s="204"/>
      <c r="H101" s="202">
        <v>50</v>
      </c>
      <c r="I101" s="205"/>
      <c r="J101" s="204"/>
      <c r="K101" s="202">
        <v>50</v>
      </c>
      <c r="L101" s="205"/>
      <c r="M101" s="204"/>
      <c r="N101" s="202">
        <v>50</v>
      </c>
      <c r="O101" s="205"/>
      <c r="P101" s="204"/>
      <c r="Q101" s="202">
        <v>50</v>
      </c>
      <c r="R101" s="205"/>
      <c r="S101" s="204"/>
      <c r="T101" s="202">
        <v>50</v>
      </c>
      <c r="U101" s="205"/>
      <c r="V101" s="204"/>
      <c r="W101" s="202">
        <v>50</v>
      </c>
      <c r="X101" s="205"/>
      <c r="Y101" s="204"/>
      <c r="Z101" s="202">
        <v>50</v>
      </c>
      <c r="AA101" s="205"/>
      <c r="AB101" s="204"/>
      <c r="AC101" s="202">
        <v>50</v>
      </c>
      <c r="AD101" s="205"/>
      <c r="AE101" s="204"/>
      <c r="AF101" s="202">
        <v>50</v>
      </c>
      <c r="AG101" s="205"/>
      <c r="AH101" s="204"/>
      <c r="AI101" s="202">
        <v>50</v>
      </c>
      <c r="AJ101" s="205"/>
      <c r="AK101" s="204"/>
      <c r="AL101" s="202">
        <f>100</f>
        <v>100</v>
      </c>
      <c r="AM101" s="206"/>
    </row>
    <row r="102" spans="1:39" s="120" customFormat="1" ht="30.75" customHeight="1">
      <c r="A102" s="121"/>
      <c r="B102" s="258"/>
      <c r="C102" s="126"/>
      <c r="D102" s="207">
        <v>0</v>
      </c>
      <c r="E102" s="208"/>
      <c r="F102" s="209">
        <f>D102</f>
        <v>0</v>
      </c>
      <c r="G102" s="207">
        <v>50</v>
      </c>
      <c r="H102" s="208"/>
      <c r="I102" s="209">
        <f>G102</f>
        <v>50</v>
      </c>
      <c r="J102" s="207">
        <v>50</v>
      </c>
      <c r="K102" s="208"/>
      <c r="L102" s="209">
        <f>J102</f>
        <v>50</v>
      </c>
      <c r="M102" s="207">
        <v>75</v>
      </c>
      <c r="N102" s="208"/>
      <c r="O102" s="209">
        <f>M102</f>
        <v>75</v>
      </c>
      <c r="P102" s="207">
        <v>75</v>
      </c>
      <c r="Q102" s="208"/>
      <c r="R102" s="209">
        <f>P102</f>
        <v>75</v>
      </c>
      <c r="S102" s="207">
        <v>75</v>
      </c>
      <c r="T102" s="208"/>
      <c r="U102" s="209">
        <f>S102</f>
        <v>75</v>
      </c>
      <c r="V102" s="207">
        <v>75</v>
      </c>
      <c r="W102" s="208"/>
      <c r="X102" s="209">
        <f>V102</f>
        <v>75</v>
      </c>
      <c r="Y102" s="207">
        <v>75</v>
      </c>
      <c r="Z102" s="208"/>
      <c r="AA102" s="209">
        <f>Y102</f>
        <v>75</v>
      </c>
      <c r="AB102" s="207">
        <v>93</v>
      </c>
      <c r="AC102" s="208"/>
      <c r="AD102" s="209">
        <f>AB102</f>
        <v>93</v>
      </c>
      <c r="AE102" s="207">
        <v>15</v>
      </c>
      <c r="AF102" s="208"/>
      <c r="AG102" s="209">
        <f>AE102</f>
        <v>15</v>
      </c>
      <c r="AH102" s="207">
        <v>97</v>
      </c>
      <c r="AI102" s="208"/>
      <c r="AJ102" s="209">
        <f>AH102</f>
        <v>97</v>
      </c>
      <c r="AK102" s="207">
        <v>0</v>
      </c>
      <c r="AL102" s="208"/>
      <c r="AM102" s="230">
        <f>AK102</f>
        <v>0</v>
      </c>
    </row>
    <row r="103" spans="1:39" s="120" customFormat="1" ht="48" customHeight="1">
      <c r="A103" s="123"/>
      <c r="B103" s="259"/>
      <c r="C103" s="127"/>
      <c r="D103" s="210"/>
      <c r="E103" s="211">
        <f>F102</f>
        <v>0</v>
      </c>
      <c r="F103" s="212"/>
      <c r="G103" s="210"/>
      <c r="H103" s="211">
        <f>I102</f>
        <v>50</v>
      </c>
      <c r="I103" s="212"/>
      <c r="J103" s="210"/>
      <c r="K103" s="211">
        <f>L102</f>
        <v>50</v>
      </c>
      <c r="L103" s="212"/>
      <c r="M103" s="210"/>
      <c r="N103" s="211">
        <f>O102</f>
        <v>75</v>
      </c>
      <c r="O103" s="212"/>
      <c r="P103" s="210"/>
      <c r="Q103" s="211">
        <f>R102</f>
        <v>75</v>
      </c>
      <c r="R103" s="212"/>
      <c r="S103" s="210"/>
      <c r="T103" s="211">
        <f>U102</f>
        <v>75</v>
      </c>
      <c r="U103" s="212"/>
      <c r="V103" s="210"/>
      <c r="W103" s="211">
        <f>X102</f>
        <v>75</v>
      </c>
      <c r="X103" s="212"/>
      <c r="Y103" s="210"/>
      <c r="Z103" s="211">
        <f>AA102</f>
        <v>75</v>
      </c>
      <c r="AA103" s="212"/>
      <c r="AB103" s="210"/>
      <c r="AC103" s="211">
        <f>AD102</f>
        <v>93</v>
      </c>
      <c r="AD103" s="212"/>
      <c r="AE103" s="210"/>
      <c r="AF103" s="211">
        <f>AG102</f>
        <v>15</v>
      </c>
      <c r="AG103" s="212"/>
      <c r="AH103" s="210"/>
      <c r="AI103" s="211">
        <f>AJ102</f>
        <v>97</v>
      </c>
      <c r="AJ103" s="212"/>
      <c r="AK103" s="210"/>
      <c r="AL103" s="211">
        <f>AM102</f>
        <v>0</v>
      </c>
      <c r="AM103" s="231"/>
    </row>
    <row r="104" spans="1:39" ht="14.25" customHeight="1">
      <c r="A104" s="33">
        <v>20</v>
      </c>
      <c r="B104" s="254" t="str">
        <f>nov!B76</f>
        <v>Fasilitasi Administrasi Tata Pemerintahan Desa</v>
      </c>
      <c r="C104" s="34">
        <f>nov!C76</f>
        <v>15300000</v>
      </c>
      <c r="D104" s="213"/>
      <c r="E104" s="214">
        <v>0</v>
      </c>
      <c r="F104" s="215"/>
      <c r="G104" s="216"/>
      <c r="H104" s="214">
        <v>0</v>
      </c>
      <c r="I104" s="217"/>
      <c r="J104" s="216"/>
      <c r="K104" s="214">
        <v>50</v>
      </c>
      <c r="L104" s="217"/>
      <c r="M104" s="216"/>
      <c r="N104" s="214">
        <v>50</v>
      </c>
      <c r="O104" s="217"/>
      <c r="P104" s="216"/>
      <c r="Q104" s="214">
        <v>50</v>
      </c>
      <c r="R104" s="217"/>
      <c r="S104" s="216"/>
      <c r="T104" s="214">
        <v>50</v>
      </c>
      <c r="U104" s="217"/>
      <c r="V104" s="216"/>
      <c r="W104" s="214">
        <v>100</v>
      </c>
      <c r="X104" s="217"/>
      <c r="Y104" s="216"/>
      <c r="Z104" s="214">
        <v>100</v>
      </c>
      <c r="AA104" s="217"/>
      <c r="AB104" s="216"/>
      <c r="AC104" s="214">
        <f>100</f>
        <v>100</v>
      </c>
      <c r="AD104" s="217"/>
      <c r="AE104" s="216"/>
      <c r="AF104" s="214">
        <f>100</f>
        <v>100</v>
      </c>
      <c r="AG104" s="217"/>
      <c r="AH104" s="216"/>
      <c r="AI104" s="214">
        <f>100</f>
        <v>100</v>
      </c>
      <c r="AJ104" s="217"/>
      <c r="AK104" s="216"/>
      <c r="AL104" s="214">
        <f>100</f>
        <v>100</v>
      </c>
      <c r="AM104" s="232"/>
    </row>
    <row r="105" spans="1:39" ht="14.25" customHeight="1">
      <c r="A105" s="11"/>
      <c r="B105" s="260"/>
      <c r="C105" s="12"/>
      <c r="D105" s="221">
        <v>0</v>
      </c>
      <c r="E105" s="222"/>
      <c r="F105" s="223">
        <f>D105</f>
        <v>0</v>
      </c>
      <c r="G105" s="221">
        <v>0</v>
      </c>
      <c r="H105" s="222"/>
      <c r="I105" s="223">
        <f>G105</f>
        <v>0</v>
      </c>
      <c r="J105" s="221">
        <v>15</v>
      </c>
      <c r="K105" s="222"/>
      <c r="L105" s="223">
        <f>J105</f>
        <v>15</v>
      </c>
      <c r="M105" s="221">
        <v>15</v>
      </c>
      <c r="N105" s="222"/>
      <c r="O105" s="223">
        <f>M105</f>
        <v>15</v>
      </c>
      <c r="P105" s="221">
        <v>15</v>
      </c>
      <c r="Q105" s="222"/>
      <c r="R105" s="223">
        <f>P105</f>
        <v>15</v>
      </c>
      <c r="S105" s="221">
        <v>75</v>
      </c>
      <c r="T105" s="222"/>
      <c r="U105" s="223">
        <f>S105</f>
        <v>75</v>
      </c>
      <c r="V105" s="221">
        <v>99</v>
      </c>
      <c r="W105" s="222"/>
      <c r="X105" s="223">
        <f>V105</f>
        <v>99</v>
      </c>
      <c r="Y105" s="221">
        <v>99</v>
      </c>
      <c r="Z105" s="222"/>
      <c r="AA105" s="223">
        <f>Y105</f>
        <v>99</v>
      </c>
      <c r="AB105" s="221">
        <v>99</v>
      </c>
      <c r="AC105" s="222"/>
      <c r="AD105" s="223">
        <f>AB105</f>
        <v>99</v>
      </c>
      <c r="AE105" s="221">
        <v>83</v>
      </c>
      <c r="AF105" s="222"/>
      <c r="AG105" s="223">
        <f>AE105</f>
        <v>83</v>
      </c>
      <c r="AH105" s="221">
        <v>83</v>
      </c>
      <c r="AI105" s="222"/>
      <c r="AJ105" s="223">
        <f>AH105</f>
        <v>83</v>
      </c>
      <c r="AK105" s="221">
        <v>0</v>
      </c>
      <c r="AL105" s="222"/>
      <c r="AM105" s="224">
        <f>AK105</f>
        <v>0</v>
      </c>
    </row>
    <row r="106" spans="1:39" ht="13.5" customHeight="1">
      <c r="A106" s="36"/>
      <c r="B106" s="261"/>
      <c r="C106" s="37"/>
      <c r="D106" s="225"/>
      <c r="E106" s="226">
        <f>F105</f>
        <v>0</v>
      </c>
      <c r="F106" s="227"/>
      <c r="G106" s="225"/>
      <c r="H106" s="226">
        <f>I105</f>
        <v>0</v>
      </c>
      <c r="I106" s="227"/>
      <c r="J106" s="225"/>
      <c r="K106" s="226">
        <f>L105</f>
        <v>15</v>
      </c>
      <c r="L106" s="227"/>
      <c r="M106" s="225"/>
      <c r="N106" s="226">
        <f>O105</f>
        <v>15</v>
      </c>
      <c r="O106" s="227"/>
      <c r="P106" s="225"/>
      <c r="Q106" s="226">
        <f>R105</f>
        <v>15</v>
      </c>
      <c r="R106" s="227"/>
      <c r="S106" s="225"/>
      <c r="T106" s="226">
        <f>U105</f>
        <v>75</v>
      </c>
      <c r="U106" s="227"/>
      <c r="V106" s="225"/>
      <c r="W106" s="226">
        <f>X105</f>
        <v>99</v>
      </c>
      <c r="X106" s="227"/>
      <c r="Y106" s="225"/>
      <c r="Z106" s="226">
        <f>AA105</f>
        <v>99</v>
      </c>
      <c r="AA106" s="227"/>
      <c r="AB106" s="225"/>
      <c r="AC106" s="226">
        <f>AD105</f>
        <v>99</v>
      </c>
      <c r="AD106" s="227"/>
      <c r="AE106" s="225"/>
      <c r="AF106" s="226">
        <f>AG105</f>
        <v>83</v>
      </c>
      <c r="AG106" s="227"/>
      <c r="AH106" s="225"/>
      <c r="AI106" s="226">
        <f>AJ105</f>
        <v>83</v>
      </c>
      <c r="AJ106" s="227"/>
      <c r="AK106" s="225"/>
      <c r="AL106" s="226">
        <f>AM105</f>
        <v>0</v>
      </c>
      <c r="AM106" s="228"/>
    </row>
    <row r="107" spans="1:39" s="182" customFormat="1" ht="14.25" customHeight="1">
      <c r="A107" s="180"/>
      <c r="B107" s="271" t="s">
        <v>105</v>
      </c>
      <c r="C107" s="181">
        <f>SUM(C14:C104)</f>
        <v>2577618000</v>
      </c>
      <c r="D107" s="242"/>
      <c r="E107" s="243">
        <f>(E14+E17+E20+E23+E29+E32+E35+E38+E41+E44+E47+E53+E56+E65+E68+E71+E74+E98+E101+E104)/20</f>
        <v>6.687760710350514</v>
      </c>
      <c r="F107" s="244"/>
      <c r="G107" s="242"/>
      <c r="H107" s="243">
        <f>(H14+H17+H20+H23+H29+H32+H35+H38+H41+H44+H47+H53+H56+H65+H68+H71+H74+H98+H101+H104)/20</f>
        <v>16.37552142070103</v>
      </c>
      <c r="I107" s="244"/>
      <c r="J107" s="242"/>
      <c r="K107" s="243">
        <f>(K14+K17+K20+K23+K29+K32+K35+K38+K41+K44+K47+K53+K56+K65+K68+K71+K74+K98+K101+K104)/20</f>
        <v>32.75871360313276</v>
      </c>
      <c r="L107" s="244"/>
      <c r="M107" s="242"/>
      <c r="N107" s="243">
        <f>(N14+N17+N20+N23+N29+N32+N35+N38+N41+N44+N47+N53+N56+N65+N68+N71+N74+N98+N101+N104)/20</f>
        <v>41.94647431348328</v>
      </c>
      <c r="O107" s="244"/>
      <c r="P107" s="242"/>
      <c r="Q107" s="243">
        <f>(Q14+Q17+Q20+Q23+Q29+Q32+Q35+Q38+Q41+Q44+Q47+Q53+Q56+Q65+Q68+Q71+Q74+Q98+Q101+Q104)/20</f>
        <v>46.6953600238338</v>
      </c>
      <c r="R107" s="244"/>
      <c r="S107" s="242"/>
      <c r="T107" s="243">
        <f>(T14+T17+T20+T23+T29+T32+T35+T38+T41+T44+T47+T53+T56+T65+T68+T71+T74+T98+T101+T104)/20</f>
        <v>50.88312073418431</v>
      </c>
      <c r="U107" s="244"/>
      <c r="V107" s="242"/>
      <c r="W107" s="243">
        <f>(W14+W17+W20+W23+W29+W32+W35+W38+W41+W44+W47+W53+W56+W65+W68+W71+W74+W98+W101+W104)/20</f>
        <v>57.57088144453483</v>
      </c>
      <c r="X107" s="244"/>
      <c r="Y107" s="242"/>
      <c r="Z107" s="243">
        <f>(Z14+Z17+Z20+Z23+Z29+Z32+Z35+Z38+Z41+Z44+Z47+Z53+Z56+Z65+Z68+Z71+Z74+Z98+Z101+Z104)/20</f>
        <v>61.758642154885344</v>
      </c>
      <c r="AA107" s="244"/>
      <c r="AB107" s="242"/>
      <c r="AC107" s="243">
        <f>(AC14+AC17+AC20+AC23+AC29+AC32+AC35+AC38+AC41+AC44+AC47+AC53+AC56+AC65+AC68+AC71+AC74+AC98+AC101+AC104)/20</f>
        <v>70.38527786523585</v>
      </c>
      <c r="AD107" s="244"/>
      <c r="AE107" s="242"/>
      <c r="AF107" s="243">
        <f>(AF14+AF17+AF20+AF23+AF29+AF32+AF35+AF38+AF41+AF44+AF47+AF53+AF56+AF65+AF68+AF71+AF74+AF98+AF101+AF104)/20</f>
        <v>77.07303857558637</v>
      </c>
      <c r="AG107" s="244"/>
      <c r="AH107" s="242"/>
      <c r="AI107" s="243">
        <f>(AI14+AI17+AI20+AI23+AI29+AI32+AI35+AI38+AI41+AI44+AI47+AI53+AI56+AI65+AI68+AI71+AI74+AI98+AI101+AI104)/20</f>
        <v>81.26079928593688</v>
      </c>
      <c r="AJ107" s="244"/>
      <c r="AK107" s="242"/>
      <c r="AL107" s="243">
        <f>(AL14+AL17+AL20+AL23+AL29+AL32+AL35+AL38+AL41+AL44+AL47+AL53+AL56+AL65+AL68+AL71+AL74)/20</f>
        <v>80.41061811653985</v>
      </c>
      <c r="AM107" s="245"/>
    </row>
    <row r="108" spans="1:39" s="182" customFormat="1" ht="14.25" customHeight="1">
      <c r="A108" s="183"/>
      <c r="B108" s="272"/>
      <c r="C108" s="184"/>
      <c r="D108" s="185">
        <v>3</v>
      </c>
      <c r="E108" s="186"/>
      <c r="F108" s="187">
        <f>D108</f>
        <v>3</v>
      </c>
      <c r="G108" s="185">
        <v>7.68</v>
      </c>
      <c r="H108" s="186"/>
      <c r="I108" s="188">
        <f>G108</f>
        <v>7.68</v>
      </c>
      <c r="J108" s="185">
        <v>17</v>
      </c>
      <c r="K108" s="186"/>
      <c r="L108" s="187">
        <f>J108</f>
        <v>17</v>
      </c>
      <c r="M108" s="185">
        <v>32</v>
      </c>
      <c r="N108" s="186"/>
      <c r="O108" s="187">
        <f>M108</f>
        <v>32</v>
      </c>
      <c r="P108" s="185">
        <v>40</v>
      </c>
      <c r="Q108" s="186"/>
      <c r="R108" s="187">
        <f>P108</f>
        <v>40</v>
      </c>
      <c r="S108" s="185">
        <v>47</v>
      </c>
      <c r="T108" s="186"/>
      <c r="U108" s="187">
        <f>S108</f>
        <v>47</v>
      </c>
      <c r="V108" s="185">
        <v>54</v>
      </c>
      <c r="W108" s="186"/>
      <c r="X108" s="187">
        <f>V108</f>
        <v>54</v>
      </c>
      <c r="Y108" s="185">
        <v>60</v>
      </c>
      <c r="Z108" s="186"/>
      <c r="AA108" s="187">
        <f>Y108</f>
        <v>60</v>
      </c>
      <c r="AB108" s="185">
        <v>69</v>
      </c>
      <c r="AC108" s="186"/>
      <c r="AD108" s="187">
        <f>AB108</f>
        <v>69</v>
      </c>
      <c r="AE108" s="185">
        <v>68</v>
      </c>
      <c r="AF108" s="186"/>
      <c r="AG108" s="187">
        <f>AE108</f>
        <v>68</v>
      </c>
      <c r="AH108" s="185">
        <v>76</v>
      </c>
      <c r="AI108" s="186"/>
      <c r="AJ108" s="187">
        <f>AH108</f>
        <v>76</v>
      </c>
      <c r="AK108" s="185">
        <v>0</v>
      </c>
      <c r="AL108" s="186"/>
      <c r="AM108" s="188">
        <f>AK108</f>
        <v>0</v>
      </c>
    </row>
    <row r="109" spans="1:39" s="195" customFormat="1" ht="14.25" customHeight="1">
      <c r="A109" s="189"/>
      <c r="B109" s="273"/>
      <c r="C109" s="190"/>
      <c r="D109" s="191"/>
      <c r="E109" s="192">
        <f>F108</f>
        <v>3</v>
      </c>
      <c r="F109" s="193"/>
      <c r="G109" s="191"/>
      <c r="H109" s="192">
        <f>I108</f>
        <v>7.68</v>
      </c>
      <c r="I109" s="194"/>
      <c r="J109" s="191"/>
      <c r="K109" s="192">
        <f>L108</f>
        <v>17</v>
      </c>
      <c r="L109" s="193"/>
      <c r="M109" s="191"/>
      <c r="N109" s="192">
        <f>O108</f>
        <v>32</v>
      </c>
      <c r="O109" s="193"/>
      <c r="P109" s="191"/>
      <c r="Q109" s="192">
        <f>R108</f>
        <v>40</v>
      </c>
      <c r="R109" s="193"/>
      <c r="S109" s="191"/>
      <c r="T109" s="192">
        <f>U108</f>
        <v>47</v>
      </c>
      <c r="U109" s="193"/>
      <c r="V109" s="191"/>
      <c r="W109" s="192">
        <f>X108</f>
        <v>54</v>
      </c>
      <c r="X109" s="193"/>
      <c r="Y109" s="191"/>
      <c r="Z109" s="192">
        <f>AA108</f>
        <v>60</v>
      </c>
      <c r="AA109" s="193"/>
      <c r="AB109" s="191"/>
      <c r="AC109" s="192">
        <f>AD108</f>
        <v>69</v>
      </c>
      <c r="AD109" s="193"/>
      <c r="AE109" s="191"/>
      <c r="AF109" s="192">
        <f>AG108</f>
        <v>68</v>
      </c>
      <c r="AG109" s="193"/>
      <c r="AH109" s="191"/>
      <c r="AI109" s="192">
        <f>AJ108</f>
        <v>76</v>
      </c>
      <c r="AJ109" s="193"/>
      <c r="AK109" s="191"/>
      <c r="AL109" s="192">
        <f>AM108</f>
        <v>0</v>
      </c>
      <c r="AM109" s="194"/>
    </row>
    <row r="110" spans="1:39" ht="14.25" customHeight="1">
      <c r="A110" s="129"/>
      <c r="B110" s="130"/>
      <c r="C110" s="131"/>
      <c r="D110" s="35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128"/>
      <c r="AL110" s="128"/>
      <c r="AM110" s="128"/>
    </row>
    <row r="111" spans="1:39" ht="14.25" customHeight="1">
      <c r="A111" s="129"/>
      <c r="B111" s="133" t="s">
        <v>79</v>
      </c>
      <c r="C111" s="131"/>
      <c r="D111" s="3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128"/>
      <c r="AL111" s="128"/>
      <c r="AM111" s="128"/>
    </row>
    <row r="112" spans="1:35" ht="14.25">
      <c r="A112" s="104"/>
      <c r="B112" s="105" t="s">
        <v>80</v>
      </c>
      <c r="C112" s="105"/>
      <c r="D112" s="132"/>
      <c r="E112" s="107" t="s">
        <v>89</v>
      </c>
      <c r="F112" s="108"/>
      <c r="G112" s="135"/>
      <c r="AC112" s="142"/>
      <c r="AD112" s="142"/>
      <c r="AE112" s="142"/>
      <c r="AF112" s="142" t="str">
        <f>nov!J81</f>
        <v>Kebakkramat, 1 Desember 2022</v>
      </c>
      <c r="AG112" s="142"/>
      <c r="AH112" s="142"/>
      <c r="AI112" s="142"/>
    </row>
    <row r="113" spans="1:35" ht="14.25">
      <c r="A113" s="104"/>
      <c r="B113" s="105" t="s">
        <v>81</v>
      </c>
      <c r="C113" s="105"/>
      <c r="D113" s="109" t="s">
        <v>91</v>
      </c>
      <c r="E113" s="110"/>
      <c r="F113" s="111" t="s">
        <v>90</v>
      </c>
      <c r="G113" s="136"/>
      <c r="AC113" s="142"/>
      <c r="AD113" s="142"/>
      <c r="AE113" s="142"/>
      <c r="AF113" s="142" t="str">
        <f>nov!J82</f>
        <v>CAMAT KEBAKKRAMAT</v>
      </c>
      <c r="AG113" s="142"/>
      <c r="AH113" s="142"/>
      <c r="AI113" s="142"/>
    </row>
    <row r="114" spans="1:35" ht="15">
      <c r="A114" s="104"/>
      <c r="B114" s="105" t="s">
        <v>82</v>
      </c>
      <c r="C114" s="105"/>
      <c r="D114" s="113"/>
      <c r="E114" s="114" t="s">
        <v>92</v>
      </c>
      <c r="F114" s="115"/>
      <c r="G114" s="136"/>
      <c r="AC114" s="142"/>
      <c r="AD114" s="142"/>
      <c r="AE114" s="142"/>
      <c r="AF114" s="142"/>
      <c r="AG114" s="142"/>
      <c r="AH114" s="142"/>
      <c r="AI114" s="142"/>
    </row>
    <row r="115" spans="1:35" ht="14.25">
      <c r="A115" s="104"/>
      <c r="B115" s="105" t="s">
        <v>83</v>
      </c>
      <c r="C115" s="105"/>
      <c r="D115" s="116"/>
      <c r="E115" s="116"/>
      <c r="F115" s="116"/>
      <c r="G115" s="112"/>
      <c r="AC115" s="142"/>
      <c r="AD115" s="142"/>
      <c r="AE115" s="142"/>
      <c r="AF115" s="142"/>
      <c r="AG115" s="142"/>
      <c r="AH115" s="142"/>
      <c r="AI115" s="142"/>
    </row>
    <row r="116" spans="1:35" ht="14.25">
      <c r="A116" s="104"/>
      <c r="B116" s="106"/>
      <c r="C116" s="106"/>
      <c r="D116" s="117"/>
      <c r="E116" s="106"/>
      <c r="F116" s="106"/>
      <c r="G116" s="106"/>
      <c r="AC116" s="142"/>
      <c r="AD116" s="142"/>
      <c r="AE116" s="142"/>
      <c r="AF116" s="142"/>
      <c r="AG116" s="142"/>
      <c r="AH116" s="142"/>
      <c r="AI116" s="142"/>
    </row>
    <row r="117" spans="29:35" ht="12.75">
      <c r="AC117" s="142"/>
      <c r="AD117" s="142"/>
      <c r="AE117" s="142"/>
      <c r="AF117" s="5" t="str">
        <f>nov!J86</f>
        <v>Joko Sutrisno, S.H., M.M.</v>
      </c>
      <c r="AG117" s="142"/>
      <c r="AH117" s="142"/>
      <c r="AI117" s="142"/>
    </row>
    <row r="118" spans="2:35" ht="12.75">
      <c r="B118" s="246"/>
      <c r="C118" s="246"/>
      <c r="AC118" s="142"/>
      <c r="AD118" s="142"/>
      <c r="AE118" s="142"/>
      <c r="AF118" s="142" t="str">
        <f>nov!J87</f>
        <v>Pembina Tk I</v>
      </c>
      <c r="AG118" s="142"/>
      <c r="AH118" s="142"/>
      <c r="AI118" s="142"/>
    </row>
    <row r="119" spans="2:35" ht="12.75">
      <c r="B119" s="248"/>
      <c r="C119" s="248"/>
      <c r="AC119" s="142"/>
      <c r="AD119" s="142"/>
      <c r="AE119" s="142"/>
      <c r="AF119" s="142" t="str">
        <f>nov!J88</f>
        <v>NIP. 19680305 199003 1 010</v>
      </c>
      <c r="AG119" s="142"/>
      <c r="AH119" s="142"/>
      <c r="AI119" s="142"/>
    </row>
    <row r="120" spans="2:35" ht="12.75">
      <c r="B120" s="248"/>
      <c r="C120" s="248"/>
      <c r="AC120" s="142"/>
      <c r="AD120" s="142"/>
      <c r="AE120" s="142"/>
      <c r="AF120" s="142"/>
      <c r="AG120" s="142"/>
      <c r="AH120" s="142"/>
      <c r="AI120" s="142"/>
    </row>
  </sheetData>
  <sheetProtection/>
  <mergeCells count="64">
    <mergeCell ref="A1:AM1"/>
    <mergeCell ref="A2:AM2"/>
    <mergeCell ref="AB12:AD12"/>
    <mergeCell ref="V10:X11"/>
    <mergeCell ref="AB10:AD11"/>
    <mergeCell ref="Y10:AA11"/>
    <mergeCell ref="AH10:AJ11"/>
    <mergeCell ref="P10:R11"/>
    <mergeCell ref="AK10:AM11"/>
    <mergeCell ref="AH12:AJ12"/>
    <mergeCell ref="B120:C120"/>
    <mergeCell ref="M12:O12"/>
    <mergeCell ref="P12:R12"/>
    <mergeCell ref="B119:C119"/>
    <mergeCell ref="B89:B91"/>
    <mergeCell ref="D12:F12"/>
    <mergeCell ref="B92:B94"/>
    <mergeCell ref="B80:B82"/>
    <mergeCell ref="B74:B76"/>
    <mergeCell ref="B26:B28"/>
    <mergeCell ref="B17:B19"/>
    <mergeCell ref="B56:B58"/>
    <mergeCell ref="B71:B73"/>
    <mergeCell ref="B35:B37"/>
    <mergeCell ref="B41:B43"/>
    <mergeCell ref="B38:B40"/>
    <mergeCell ref="M6:O6"/>
    <mergeCell ref="B14:B16"/>
    <mergeCell ref="B47:B49"/>
    <mergeCell ref="B53:B55"/>
    <mergeCell ref="G12:I12"/>
    <mergeCell ref="B62:B64"/>
    <mergeCell ref="B32:B34"/>
    <mergeCell ref="D9:AM9"/>
    <mergeCell ref="D10:F11"/>
    <mergeCell ref="G10:I11"/>
    <mergeCell ref="J10:L11"/>
    <mergeCell ref="AE10:AG11"/>
    <mergeCell ref="J12:L12"/>
    <mergeCell ref="V12:X12"/>
    <mergeCell ref="Y12:AA12"/>
    <mergeCell ref="S10:U11"/>
    <mergeCell ref="S12:U12"/>
    <mergeCell ref="AE12:AG12"/>
    <mergeCell ref="AK12:AM12"/>
    <mergeCell ref="M10:O11"/>
    <mergeCell ref="B118:C118"/>
    <mergeCell ref="B68:B70"/>
    <mergeCell ref="B23:B25"/>
    <mergeCell ref="B29:B31"/>
    <mergeCell ref="B107:B109"/>
    <mergeCell ref="B77:B79"/>
    <mergeCell ref="B95:B97"/>
    <mergeCell ref="B50:B52"/>
    <mergeCell ref="B98:B100"/>
    <mergeCell ref="B101:B103"/>
    <mergeCell ref="B104:B106"/>
    <mergeCell ref="B10:B11"/>
    <mergeCell ref="B44:B46"/>
    <mergeCell ref="B20:B22"/>
    <mergeCell ref="B59:B61"/>
    <mergeCell ref="B83:B85"/>
    <mergeCell ref="B65:B67"/>
    <mergeCell ref="B86:B88"/>
  </mergeCells>
  <printOptions horizontalCentered="1"/>
  <pageMargins left="0.25" right="0.2" top="0.36" bottom="0.29" header="0.3" footer="0.25"/>
  <pageSetup horizontalDpi="600" verticalDpi="600" orientation="landscape" paperSize="9" scale="55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6.57421875" style="39" customWidth="1"/>
    <col min="2" max="2" width="24.140625" style="39" customWidth="1"/>
    <col min="3" max="3" width="27.57421875" style="39" customWidth="1"/>
    <col min="4" max="4" width="2.7109375" style="39" customWidth="1"/>
    <col min="5" max="5" width="26.8515625" style="39" customWidth="1"/>
    <col min="6" max="7" width="9.140625" style="39" customWidth="1"/>
    <col min="8" max="8" width="30.00390625" style="39" customWidth="1"/>
    <col min="9" max="9" width="17.421875" style="39" customWidth="1"/>
    <col min="10" max="16384" width="9.140625" style="39" customWidth="1"/>
  </cols>
  <sheetData>
    <row r="1" spans="1:9" ht="14.25">
      <c r="A1" s="295" t="s">
        <v>53</v>
      </c>
      <c r="B1" s="295"/>
      <c r="C1" s="295"/>
      <c r="D1" s="295"/>
      <c r="E1" s="295"/>
      <c r="F1" s="295"/>
      <c r="G1" s="295"/>
      <c r="H1" s="295"/>
      <c r="I1" s="295"/>
    </row>
    <row r="2" spans="1:9" ht="14.25">
      <c r="A2" s="295" t="s">
        <v>33</v>
      </c>
      <c r="B2" s="295"/>
      <c r="C2" s="295"/>
      <c r="D2" s="295"/>
      <c r="E2" s="295"/>
      <c r="F2" s="295"/>
      <c r="G2" s="295"/>
      <c r="H2" s="295"/>
      <c r="I2" s="295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3:5" s="32" customFormat="1" ht="15" customHeight="1">
      <c r="C4" s="32" t="s">
        <v>106</v>
      </c>
      <c r="D4" s="32" t="s">
        <v>75</v>
      </c>
      <c r="E4" s="32" t="str">
        <f>nov!G4</f>
        <v>KECAMATAN KEBAKKRAMAT</v>
      </c>
    </row>
    <row r="5" spans="1:9" ht="14.25">
      <c r="A5" s="32"/>
      <c r="B5" s="32"/>
      <c r="C5" s="40" t="s">
        <v>48</v>
      </c>
      <c r="D5" s="40" t="s">
        <v>75</v>
      </c>
      <c r="E5" s="32" t="str">
        <f>nov!G5</f>
        <v>APBD</v>
      </c>
      <c r="G5" s="32"/>
      <c r="H5" s="32"/>
      <c r="I5" s="32"/>
    </row>
    <row r="6" spans="1:9" ht="14.25">
      <c r="A6" s="32"/>
      <c r="B6" s="32"/>
      <c r="C6" s="32" t="s">
        <v>49</v>
      </c>
      <c r="D6" s="32" t="s">
        <v>75</v>
      </c>
      <c r="E6" s="41" t="str">
        <f>nov!G6</f>
        <v>2022</v>
      </c>
      <c r="G6" s="32"/>
      <c r="H6" s="32"/>
      <c r="I6" s="32"/>
    </row>
    <row r="7" spans="1:9" ht="14.25">
      <c r="A7" s="32"/>
      <c r="B7" s="32"/>
      <c r="C7" s="32" t="s">
        <v>50</v>
      </c>
      <c r="D7" s="32" t="s">
        <v>75</v>
      </c>
      <c r="E7" s="32" t="str">
        <f>nov!G7</f>
        <v>NOVEMBER</v>
      </c>
      <c r="G7" s="32"/>
      <c r="H7" s="32"/>
      <c r="I7" s="32"/>
    </row>
    <row r="8" ht="15">
      <c r="I8" s="42" t="s">
        <v>51</v>
      </c>
    </row>
    <row r="9" spans="1:9" ht="15">
      <c r="A9" s="43"/>
      <c r="B9" s="43"/>
      <c r="C9" s="43" t="s">
        <v>35</v>
      </c>
      <c r="D9" s="298" t="s">
        <v>38</v>
      </c>
      <c r="E9" s="299"/>
      <c r="F9" s="296" t="s">
        <v>47</v>
      </c>
      <c r="G9" s="296"/>
      <c r="H9" s="296"/>
      <c r="I9" s="43"/>
    </row>
    <row r="10" spans="1:9" ht="15">
      <c r="A10" s="45" t="s">
        <v>1</v>
      </c>
      <c r="B10" s="45" t="s">
        <v>34</v>
      </c>
      <c r="C10" s="45" t="s">
        <v>37</v>
      </c>
      <c r="D10" s="287" t="s">
        <v>39</v>
      </c>
      <c r="E10" s="288"/>
      <c r="F10" s="43"/>
      <c r="G10" s="43"/>
      <c r="H10" s="43" t="s">
        <v>43</v>
      </c>
      <c r="I10" s="297" t="s">
        <v>46</v>
      </c>
    </row>
    <row r="11" spans="1:9" ht="15">
      <c r="A11" s="45"/>
      <c r="B11" s="45" t="s">
        <v>3</v>
      </c>
      <c r="C11" s="45" t="s">
        <v>36</v>
      </c>
      <c r="D11" s="287" t="s">
        <v>40</v>
      </c>
      <c r="E11" s="288"/>
      <c r="F11" s="45" t="s">
        <v>41</v>
      </c>
      <c r="G11" s="45" t="s">
        <v>42</v>
      </c>
      <c r="H11" s="45" t="s">
        <v>44</v>
      </c>
      <c r="I11" s="297"/>
    </row>
    <row r="12" spans="1:9" ht="15">
      <c r="A12" s="47"/>
      <c r="B12" s="47"/>
      <c r="C12" s="47"/>
      <c r="D12" s="293"/>
      <c r="E12" s="294"/>
      <c r="F12" s="47"/>
      <c r="G12" s="47"/>
      <c r="H12" s="47" t="s">
        <v>45</v>
      </c>
      <c r="I12" s="47"/>
    </row>
    <row r="13" spans="1:9" ht="15">
      <c r="A13" s="44">
        <v>1</v>
      </c>
      <c r="B13" s="44">
        <v>2</v>
      </c>
      <c r="C13" s="44">
        <v>3</v>
      </c>
      <c r="D13" s="285">
        <v>4</v>
      </c>
      <c r="E13" s="286"/>
      <c r="F13" s="44">
        <v>5</v>
      </c>
      <c r="G13" s="44">
        <v>6</v>
      </c>
      <c r="H13" s="44">
        <v>7</v>
      </c>
      <c r="I13" s="44">
        <v>8</v>
      </c>
    </row>
    <row r="14" spans="1:9" ht="14.25">
      <c r="A14" s="49"/>
      <c r="B14" s="49"/>
      <c r="C14" s="49"/>
      <c r="D14" s="291"/>
      <c r="E14" s="292"/>
      <c r="F14" s="50"/>
      <c r="G14" s="50"/>
      <c r="H14" s="50"/>
      <c r="I14" s="50"/>
    </row>
    <row r="15" spans="1:9" ht="26.25">
      <c r="A15" s="45"/>
      <c r="B15" s="51"/>
      <c r="C15" s="51" t="s">
        <v>85</v>
      </c>
      <c r="D15" s="283" t="s">
        <v>86</v>
      </c>
      <c r="E15" s="284"/>
      <c r="F15" s="52" t="s">
        <v>87</v>
      </c>
      <c r="G15" s="52" t="s">
        <v>86</v>
      </c>
      <c r="H15" s="52" t="s">
        <v>88</v>
      </c>
      <c r="I15" s="53"/>
    </row>
    <row r="16" spans="1:9" ht="14.25">
      <c r="A16" s="54"/>
      <c r="B16" s="54"/>
      <c r="C16" s="54"/>
      <c r="D16" s="289"/>
      <c r="E16" s="290"/>
      <c r="F16" s="55"/>
      <c r="G16" s="55"/>
      <c r="H16" s="55"/>
      <c r="I16" s="55"/>
    </row>
    <row r="17" spans="1:9" ht="14.25">
      <c r="A17" s="56"/>
      <c r="B17" s="56"/>
      <c r="C17" s="56"/>
      <c r="D17" s="281"/>
      <c r="E17" s="282"/>
      <c r="F17" s="57"/>
      <c r="G17" s="57"/>
      <c r="H17" s="57"/>
      <c r="I17" s="57"/>
    </row>
    <row r="20" ht="14.25">
      <c r="H20" s="157" t="str">
        <f>nov!J81</f>
        <v>Kebakkramat, 1 Desember 2022</v>
      </c>
    </row>
    <row r="21" ht="14.25">
      <c r="H21" s="157" t="str">
        <f>nov!J82</f>
        <v>CAMAT KEBAKKRAMAT</v>
      </c>
    </row>
    <row r="22" ht="14.25">
      <c r="H22" s="158"/>
    </row>
    <row r="23" ht="14.25">
      <c r="H23" s="158"/>
    </row>
    <row r="24" ht="14.25">
      <c r="H24" s="158"/>
    </row>
    <row r="25" ht="15">
      <c r="H25" s="159" t="str">
        <f>nov!J86</f>
        <v>Joko Sutrisno, S.H., M.M.</v>
      </c>
    </row>
    <row r="26" ht="14.25">
      <c r="H26" s="157" t="str">
        <f>nov!J87</f>
        <v>Pembina Tk I</v>
      </c>
    </row>
    <row r="27" ht="14.25">
      <c r="H27" s="157" t="str">
        <f>nov!J88</f>
        <v>NIP. 19680305 199003 1 010</v>
      </c>
    </row>
  </sheetData>
  <sheetProtection/>
  <mergeCells count="13">
    <mergeCell ref="A1:I1"/>
    <mergeCell ref="A2:I2"/>
    <mergeCell ref="F9:H9"/>
    <mergeCell ref="I10:I11"/>
    <mergeCell ref="D9:E9"/>
    <mergeCell ref="D10:E10"/>
    <mergeCell ref="D17:E17"/>
    <mergeCell ref="D15:E15"/>
    <mergeCell ref="D13:E13"/>
    <mergeCell ref="D11:E11"/>
    <mergeCell ref="D16:E16"/>
    <mergeCell ref="D14:E14"/>
    <mergeCell ref="D12:E12"/>
  </mergeCells>
  <printOptions horizontalCentered="1"/>
  <pageMargins left="0.44" right="0.48" top="0.45" bottom="0.44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view="pageBreakPreview" zoomScaleNormal="80" zoomScaleSheetLayoutView="100" zoomScalePageLayoutView="0" workbookViewId="0" topLeftCell="A1">
      <selection activeCell="A1" sqref="A1:J27"/>
    </sheetView>
  </sheetViews>
  <sheetFormatPr defaultColWidth="9.140625" defaultRowHeight="15"/>
  <cols>
    <col min="1" max="1" width="6.00390625" style="39" customWidth="1"/>
    <col min="2" max="2" width="33.8515625" style="39" customWidth="1"/>
    <col min="3" max="3" width="5.140625" style="39" customWidth="1"/>
    <col min="4" max="4" width="20.57421875" style="39" customWidth="1"/>
    <col min="5" max="5" width="32.28125" style="39" customWidth="1"/>
    <col min="6" max="6" width="2.28125" style="39" customWidth="1"/>
    <col min="7" max="7" width="14.421875" style="39" customWidth="1"/>
    <col min="8" max="8" width="13.57421875" style="39" customWidth="1"/>
    <col min="9" max="9" width="21.7109375" style="39" customWidth="1"/>
    <col min="10" max="10" width="36.7109375" style="39" customWidth="1"/>
    <col min="11" max="16384" width="9.140625" style="39" customWidth="1"/>
  </cols>
  <sheetData>
    <row r="1" spans="1:10" ht="18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/>
      <c r="B4" s="58"/>
      <c r="C4" s="58"/>
      <c r="D4" s="58"/>
      <c r="E4" s="32" t="s">
        <v>106</v>
      </c>
      <c r="F4" s="32" t="s">
        <v>75</v>
      </c>
      <c r="G4" s="32" t="str">
        <f>nov!G4</f>
        <v>KECAMATAN KEBAKKRAMAT</v>
      </c>
      <c r="H4" s="58"/>
      <c r="I4" s="58"/>
      <c r="J4" s="58"/>
    </row>
    <row r="5" spans="1:10" ht="15">
      <c r="A5" s="58"/>
      <c r="B5" s="58"/>
      <c r="C5" s="58"/>
      <c r="D5" s="58"/>
      <c r="E5" s="40" t="s">
        <v>48</v>
      </c>
      <c r="F5" s="40" t="s">
        <v>75</v>
      </c>
      <c r="G5" s="32" t="str">
        <f>nov!G5</f>
        <v>APBD</v>
      </c>
      <c r="H5" s="58"/>
      <c r="I5" s="58"/>
      <c r="J5" s="58"/>
    </row>
    <row r="6" spans="1:10" ht="15">
      <c r="A6" s="58"/>
      <c r="B6" s="58"/>
      <c r="C6" s="58"/>
      <c r="D6" s="58"/>
      <c r="E6" s="32" t="s">
        <v>49</v>
      </c>
      <c r="F6" s="32" t="s">
        <v>75</v>
      </c>
      <c r="G6" s="59" t="str">
        <f>nov!G6</f>
        <v>2022</v>
      </c>
      <c r="H6" s="58"/>
      <c r="I6" s="58"/>
      <c r="J6" s="58"/>
    </row>
    <row r="7" spans="1:10" ht="15">
      <c r="A7" s="58"/>
      <c r="B7" s="58"/>
      <c r="C7" s="58"/>
      <c r="D7" s="58"/>
      <c r="E7" s="32" t="s">
        <v>50</v>
      </c>
      <c r="F7" s="32" t="s">
        <v>75</v>
      </c>
      <c r="G7" s="32" t="str">
        <f>nov!G7</f>
        <v>NOVEMBER</v>
      </c>
      <c r="H7" s="58"/>
      <c r="I7" s="58"/>
      <c r="J7" s="58"/>
    </row>
    <row r="8" ht="14.25">
      <c r="J8" s="60" t="s">
        <v>30</v>
      </c>
    </row>
    <row r="9" spans="1:10" ht="15">
      <c r="A9" s="43"/>
      <c r="B9" s="43" t="s">
        <v>2</v>
      </c>
      <c r="C9" s="298" t="s">
        <v>4</v>
      </c>
      <c r="D9" s="299"/>
      <c r="E9" s="43" t="s">
        <v>7</v>
      </c>
      <c r="F9" s="285" t="s">
        <v>9</v>
      </c>
      <c r="G9" s="315"/>
      <c r="H9" s="286"/>
      <c r="I9" s="43" t="s">
        <v>12</v>
      </c>
      <c r="J9" s="43" t="s">
        <v>14</v>
      </c>
    </row>
    <row r="10" spans="1:10" ht="15">
      <c r="A10" s="45" t="s">
        <v>1</v>
      </c>
      <c r="B10" s="297" t="s">
        <v>3</v>
      </c>
      <c r="C10" s="46"/>
      <c r="D10" s="61" t="s">
        <v>5</v>
      </c>
      <c r="E10" s="45" t="s">
        <v>8</v>
      </c>
      <c r="F10" s="316" t="s">
        <v>10</v>
      </c>
      <c r="G10" s="317"/>
      <c r="H10" s="297" t="s">
        <v>11</v>
      </c>
      <c r="I10" s="297" t="s">
        <v>13</v>
      </c>
      <c r="J10" s="45" t="s">
        <v>15</v>
      </c>
    </row>
    <row r="11" spans="1:10" ht="15">
      <c r="A11" s="47"/>
      <c r="B11" s="313"/>
      <c r="C11" s="48"/>
      <c r="D11" s="62" t="s">
        <v>6</v>
      </c>
      <c r="E11" s="47"/>
      <c r="F11" s="318"/>
      <c r="G11" s="319"/>
      <c r="H11" s="313"/>
      <c r="I11" s="313"/>
      <c r="J11" s="47" t="s">
        <v>16</v>
      </c>
    </row>
    <row r="12" spans="1:10" ht="15">
      <c r="A12" s="63">
        <v>1</v>
      </c>
      <c r="B12" s="63">
        <v>2</v>
      </c>
      <c r="C12" s="304">
        <v>3</v>
      </c>
      <c r="D12" s="305"/>
      <c r="E12" s="63">
        <v>4</v>
      </c>
      <c r="F12" s="306">
        <v>5</v>
      </c>
      <c r="G12" s="306"/>
      <c r="H12" s="63">
        <v>6</v>
      </c>
      <c r="I12" s="63">
        <v>7</v>
      </c>
      <c r="J12" s="63">
        <v>8</v>
      </c>
    </row>
    <row r="13" spans="1:10" s="70" customFormat="1" ht="18.75" customHeight="1">
      <c r="A13" s="64"/>
      <c r="B13" s="65"/>
      <c r="C13" s="66"/>
      <c r="D13" s="67"/>
      <c r="E13" s="68"/>
      <c r="F13" s="309"/>
      <c r="G13" s="310"/>
      <c r="H13" s="69"/>
      <c r="I13" s="64"/>
      <c r="J13" s="64"/>
    </row>
    <row r="14" spans="1:10" s="70" customFormat="1" ht="55.5" customHeight="1">
      <c r="A14" s="71"/>
      <c r="B14" s="72" t="s">
        <v>85</v>
      </c>
      <c r="C14" s="73"/>
      <c r="D14" s="74" t="s">
        <v>86</v>
      </c>
      <c r="E14" s="75" t="s">
        <v>87</v>
      </c>
      <c r="F14" s="307" t="s">
        <v>86</v>
      </c>
      <c r="G14" s="308"/>
      <c r="H14" s="76" t="s">
        <v>88</v>
      </c>
      <c r="I14" s="77"/>
      <c r="J14" s="78"/>
    </row>
    <row r="15" spans="1:10" s="70" customFormat="1" ht="18.75" customHeight="1">
      <c r="A15" s="64"/>
      <c r="B15" s="68"/>
      <c r="C15" s="66"/>
      <c r="D15" s="79"/>
      <c r="E15" s="80"/>
      <c r="F15" s="311"/>
      <c r="G15" s="312"/>
      <c r="H15" s="80"/>
      <c r="I15" s="80"/>
      <c r="J15" s="80"/>
    </row>
    <row r="16" spans="1:10" s="70" customFormat="1" ht="18.75" customHeight="1">
      <c r="A16" s="81"/>
      <c r="B16" s="81"/>
      <c r="C16" s="82"/>
      <c r="D16" s="83"/>
      <c r="E16" s="84"/>
      <c r="F16" s="300"/>
      <c r="G16" s="301"/>
      <c r="H16" s="84"/>
      <c r="I16" s="84"/>
      <c r="J16" s="84"/>
    </row>
    <row r="17" spans="1:10" ht="14.25">
      <c r="A17" s="56"/>
      <c r="B17" s="56"/>
      <c r="C17" s="85"/>
      <c r="D17" s="86"/>
      <c r="E17" s="87"/>
      <c r="F17" s="302"/>
      <c r="G17" s="303"/>
      <c r="H17" s="87"/>
      <c r="I17" s="88"/>
      <c r="J17" s="89"/>
    </row>
    <row r="20" spans="8:10" ht="14.25">
      <c r="H20" s="158"/>
      <c r="I20" s="157" t="str">
        <f>nov!J81</f>
        <v>Kebakkramat, 1 Desember 2022</v>
      </c>
      <c r="J20" s="158"/>
    </row>
    <row r="21" spans="8:10" ht="14.25">
      <c r="H21" s="158"/>
      <c r="I21" s="157" t="str">
        <f>nov!J82</f>
        <v>CAMAT KEBAKKRAMAT</v>
      </c>
      <c r="J21" s="158"/>
    </row>
    <row r="22" spans="8:10" ht="14.25">
      <c r="H22" s="158"/>
      <c r="I22" s="158"/>
      <c r="J22" s="158"/>
    </row>
    <row r="23" spans="8:10" ht="14.25">
      <c r="H23" s="158"/>
      <c r="I23" s="158"/>
      <c r="J23" s="158"/>
    </row>
    <row r="24" spans="8:10" ht="14.25">
      <c r="H24" s="158"/>
      <c r="I24" s="158"/>
      <c r="J24" s="158"/>
    </row>
    <row r="25" spans="8:10" ht="15">
      <c r="H25" s="158"/>
      <c r="I25" s="159" t="str">
        <f>nov!J86</f>
        <v>Joko Sutrisno, S.H., M.M.</v>
      </c>
      <c r="J25" s="158"/>
    </row>
    <row r="26" spans="8:10" ht="14.25">
      <c r="H26" s="158"/>
      <c r="I26" s="157" t="str">
        <f>nov!J87</f>
        <v>Pembina Tk I</v>
      </c>
      <c r="J26" s="158"/>
    </row>
    <row r="27" spans="8:10" ht="14.25">
      <c r="H27" s="158"/>
      <c r="I27" s="157" t="str">
        <f>nov!J88</f>
        <v>NIP. 19680305 199003 1 010</v>
      </c>
      <c r="J27" s="158"/>
    </row>
  </sheetData>
  <sheetProtection/>
  <mergeCells count="14">
    <mergeCell ref="C9:D9"/>
    <mergeCell ref="B10:B11"/>
    <mergeCell ref="A1:J1"/>
    <mergeCell ref="H10:H11"/>
    <mergeCell ref="I10:I11"/>
    <mergeCell ref="F9:H9"/>
    <mergeCell ref="F10:G11"/>
    <mergeCell ref="F16:G16"/>
    <mergeCell ref="F17:G17"/>
    <mergeCell ref="C12:D12"/>
    <mergeCell ref="F12:G12"/>
    <mergeCell ref="F14:G14"/>
    <mergeCell ref="F13:G13"/>
    <mergeCell ref="F15:G15"/>
  </mergeCells>
  <printOptions horizontalCentered="1"/>
  <pageMargins left="0.5" right="0.51" top="0.42" bottom="0.39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ismail - [2010]</cp:lastModifiedBy>
  <cp:lastPrinted>2022-12-01T03:04:20Z</cp:lastPrinted>
  <dcterms:created xsi:type="dcterms:W3CDTF">2010-04-07T02:39:12Z</dcterms:created>
  <dcterms:modified xsi:type="dcterms:W3CDTF">2022-12-01T07:40:42Z</dcterms:modified>
  <cp:category/>
  <cp:version/>
  <cp:contentType/>
  <cp:contentStatus/>
</cp:coreProperties>
</file>